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Ekomonicky utvar\- Oddelenie  financne\MFT602\Capova\ROZPOČET2015\Zmeny rozpočtu\Zmena rozpočtu október 2015\"/>
    </mc:Choice>
  </mc:AlternateContent>
  <bookViews>
    <workbookView xWindow="0" yWindow="0" windowWidth="11310" windowHeight="3960" tabRatio="840"/>
  </bookViews>
  <sheets>
    <sheet name="Príjmy" sheetId="7" r:id="rId1"/>
    <sheet name="Výdavky" sheetId="21" r:id="rId2"/>
    <sheet name="Sumarizácia" sheetId="15" r:id="rId3"/>
  </sheets>
  <definedNames>
    <definedName name="_xlnm._FilterDatabase" localSheetId="0" hidden="1">Príjmy!#REF!</definedName>
    <definedName name="_xlnm.Print_Area" localSheetId="0">Príjmy!$B$2:$J$283</definedName>
    <definedName name="_xlnm.Print_Area" localSheetId="2">Sumarizácia!$B$1:$L$46</definedName>
    <definedName name="_xlnm.Print_Area" localSheetId="1">Výdavky!$B$1:$R$1488</definedName>
  </definedNames>
  <calcPr calcId="152511"/>
</workbook>
</file>

<file path=xl/calcChain.xml><?xml version="1.0" encoding="utf-8"?>
<calcChain xmlns="http://schemas.openxmlformats.org/spreadsheetml/2006/main">
  <c r="I358" i="21" l="1"/>
  <c r="I115" i="21" l="1"/>
  <c r="I236" i="7" l="1"/>
  <c r="J251" i="7"/>
  <c r="P715" i="21"/>
  <c r="Q715" i="21"/>
  <c r="J715" i="21"/>
  <c r="R715" i="21" s="1"/>
  <c r="M1230" i="21" l="1"/>
  <c r="P1243" i="21"/>
  <c r="Q1243" i="21"/>
  <c r="N1243" i="21"/>
  <c r="R1243" i="21" s="1"/>
  <c r="Q1292" i="21" l="1"/>
  <c r="Q1290" i="21"/>
  <c r="N53" i="21"/>
  <c r="N54" i="21"/>
  <c r="N55" i="21"/>
  <c r="N56" i="21"/>
  <c r="N57" i="21"/>
  <c r="N58" i="21"/>
  <c r="N59" i="21"/>
  <c r="J270" i="7"/>
  <c r="J70" i="21"/>
  <c r="J69" i="21"/>
  <c r="J68" i="21"/>
  <c r="J67" i="21"/>
  <c r="J66" i="21"/>
  <c r="J65" i="21"/>
  <c r="J64" i="21"/>
  <c r="J63" i="21"/>
  <c r="J62" i="21"/>
  <c r="J61" i="21"/>
  <c r="J58" i="21"/>
  <c r="J57" i="21"/>
  <c r="J56" i="21"/>
  <c r="J55" i="21"/>
  <c r="J54" i="21"/>
  <c r="J53" i="21"/>
  <c r="J51" i="21"/>
  <c r="J50" i="21"/>
  <c r="J49" i="21"/>
  <c r="J45" i="21"/>
  <c r="J44" i="21"/>
  <c r="J43" i="21"/>
  <c r="J42" i="21"/>
  <c r="J41" i="21"/>
  <c r="J40" i="21"/>
  <c r="J38" i="21"/>
  <c r="J32" i="21"/>
  <c r="J31" i="21"/>
  <c r="J30" i="21"/>
  <c r="J29" i="21"/>
  <c r="J28" i="21"/>
  <c r="J27" i="21"/>
  <c r="J24" i="21"/>
  <c r="J23" i="21"/>
  <c r="J21" i="21"/>
  <c r="J20" i="21"/>
  <c r="J18" i="21"/>
  <c r="J16" i="21"/>
  <c r="J14" i="21"/>
  <c r="J12" i="21"/>
  <c r="J10" i="21"/>
  <c r="J9" i="21"/>
  <c r="I968" i="21" l="1"/>
  <c r="I269" i="7"/>
  <c r="I447" i="21"/>
  <c r="I388" i="21"/>
  <c r="I425" i="21"/>
  <c r="J428" i="21"/>
  <c r="I744" i="21"/>
  <c r="I741" i="21" s="1"/>
  <c r="I808" i="21"/>
  <c r="I1047" i="21"/>
  <c r="I1044" i="21" s="1"/>
  <c r="I783" i="21"/>
  <c r="I707" i="21"/>
  <c r="L42" i="15"/>
  <c r="L41" i="15"/>
  <c r="L40" i="15"/>
  <c r="L39" i="15"/>
  <c r="L38" i="15"/>
  <c r="L35" i="15"/>
  <c r="L34" i="15"/>
  <c r="L33" i="15"/>
  <c r="L32" i="15"/>
  <c r="L29" i="15"/>
  <c r="L28" i="15"/>
  <c r="K25" i="15"/>
  <c r="K31" i="15"/>
  <c r="K37" i="15"/>
  <c r="K30" i="15" s="1"/>
  <c r="I21" i="15"/>
  <c r="F19" i="15"/>
  <c r="Q1477" i="21"/>
  <c r="Q1480" i="21"/>
  <c r="Q1481" i="21"/>
  <c r="Q1482" i="21"/>
  <c r="Q1484" i="21"/>
  <c r="Q1485" i="21"/>
  <c r="Q1486" i="21"/>
  <c r="Q1488" i="21"/>
  <c r="M1476" i="21"/>
  <c r="H17" i="15" s="1"/>
  <c r="J1488" i="21"/>
  <c r="R1488" i="21" s="1"/>
  <c r="J1486" i="21"/>
  <c r="R1486" i="21" s="1"/>
  <c r="J1485" i="21"/>
  <c r="J1484" i="21"/>
  <c r="R1484" i="21" s="1"/>
  <c r="J1482" i="21"/>
  <c r="R1482" i="21" s="1"/>
  <c r="J1477" i="21"/>
  <c r="R1477" i="21" s="1"/>
  <c r="I1479" i="21"/>
  <c r="Q1479" i="21" s="1"/>
  <c r="I1483" i="21"/>
  <c r="Q1483" i="21" s="1"/>
  <c r="I1487" i="21"/>
  <c r="Q1335" i="21"/>
  <c r="Q1336" i="21"/>
  <c r="Q1337" i="21"/>
  <c r="Q1338" i="21"/>
  <c r="Q1339" i="21"/>
  <c r="Q1340" i="21"/>
  <c r="Q1341" i="21"/>
  <c r="Q1342" i="21"/>
  <c r="Q1344" i="21"/>
  <c r="Q1346" i="21"/>
  <c r="Q1347" i="21"/>
  <c r="Q1348" i="21"/>
  <c r="Q1349" i="21"/>
  <c r="Q1350" i="21"/>
  <c r="Q1351" i="21"/>
  <c r="Q1352" i="21"/>
  <c r="Q1353" i="21"/>
  <c r="Q1354" i="21"/>
  <c r="Q1355" i="21"/>
  <c r="Q1356" i="21"/>
  <c r="Q1357" i="21"/>
  <c r="Q1360" i="21"/>
  <c r="Q1361" i="21"/>
  <c r="Q1362" i="21"/>
  <c r="Q1363" i="21"/>
  <c r="Q1364" i="21"/>
  <c r="Q1365" i="21"/>
  <c r="Q1366" i="21"/>
  <c r="Q1367" i="21"/>
  <c r="Q1370" i="21"/>
  <c r="Q1371" i="21"/>
  <c r="Q1372" i="21"/>
  <c r="Q1373" i="21"/>
  <c r="Q1374" i="21"/>
  <c r="Q1375" i="21"/>
  <c r="Q1376" i="21"/>
  <c r="Q1377" i="21"/>
  <c r="Q1379" i="21"/>
  <c r="Q1380" i="21"/>
  <c r="Q1381" i="21"/>
  <c r="Q1383" i="21"/>
  <c r="Q1384" i="21"/>
  <c r="Q1385" i="21"/>
  <c r="Q1388" i="21"/>
  <c r="Q1389" i="21"/>
  <c r="Q1391" i="21"/>
  <c r="Q1392" i="21"/>
  <c r="Q1393" i="21"/>
  <c r="Q1394" i="21"/>
  <c r="Q1395" i="21"/>
  <c r="Q1396" i="21"/>
  <c r="Q1397" i="21"/>
  <c r="Q1399" i="21"/>
  <c r="Q1402" i="21"/>
  <c r="Q1403" i="21"/>
  <c r="Q1404" i="21"/>
  <c r="Q1405" i="21"/>
  <c r="Q1407" i="21"/>
  <c r="Q1408" i="21"/>
  <c r="Q1409" i="21"/>
  <c r="Q1410" i="21"/>
  <c r="Q1413" i="21"/>
  <c r="Q1414" i="21"/>
  <c r="Q1415" i="21"/>
  <c r="Q1416" i="21"/>
  <c r="Q1417" i="21"/>
  <c r="Q1418" i="21"/>
  <c r="Q1419" i="21"/>
  <c r="Q1420" i="21"/>
  <c r="Q1421" i="21"/>
  <c r="Q1422" i="21"/>
  <c r="Q1424" i="21"/>
  <c r="Q1425" i="21"/>
  <c r="Q1427" i="21"/>
  <c r="Q1428" i="21"/>
  <c r="Q1432" i="21"/>
  <c r="Q1433" i="21"/>
  <c r="Q1434" i="21"/>
  <c r="Q1435" i="21"/>
  <c r="Q1436" i="21"/>
  <c r="Q1437" i="21"/>
  <c r="Q1438" i="21"/>
  <c r="Q1439" i="21"/>
  <c r="Q1442" i="21"/>
  <c r="Q1444" i="21"/>
  <c r="Q1445" i="21"/>
  <c r="Q1446" i="21"/>
  <c r="Q1447" i="21"/>
  <c r="Q1448" i="21"/>
  <c r="Q1451" i="21"/>
  <c r="Q1452" i="21"/>
  <c r="Q1453" i="21"/>
  <c r="Q1454" i="21"/>
  <c r="Q1455" i="21"/>
  <c r="Q1456" i="21"/>
  <c r="Q1457" i="21"/>
  <c r="Q1460" i="21"/>
  <c r="Q1461" i="21"/>
  <c r="Q1462" i="21"/>
  <c r="Q1463" i="21"/>
  <c r="Q1464" i="21"/>
  <c r="Q1465" i="21"/>
  <c r="Q1466" i="21"/>
  <c r="Q1467" i="21"/>
  <c r="Q1468" i="21"/>
  <c r="Q1487" i="21" l="1"/>
  <c r="R1485" i="21"/>
  <c r="I1478" i="21"/>
  <c r="J1468" i="21"/>
  <c r="R1468" i="21" s="1"/>
  <c r="J1467" i="21"/>
  <c r="R1467" i="21" s="1"/>
  <c r="J1466" i="21"/>
  <c r="R1466" i="21" s="1"/>
  <c r="J1465" i="21"/>
  <c r="R1465" i="21" s="1"/>
  <c r="J1464" i="21"/>
  <c r="R1464" i="21" s="1"/>
  <c r="J1463" i="21"/>
  <c r="R1463" i="21" s="1"/>
  <c r="J1461" i="21"/>
  <c r="R1461" i="21" s="1"/>
  <c r="J1460" i="21"/>
  <c r="R1460" i="21" s="1"/>
  <c r="J1457" i="21"/>
  <c r="R1457" i="21" s="1"/>
  <c r="J1456" i="21"/>
  <c r="R1456" i="21" s="1"/>
  <c r="J1454" i="21"/>
  <c r="R1454" i="21" s="1"/>
  <c r="J1452" i="21"/>
  <c r="R1452" i="21" s="1"/>
  <c r="J1451" i="21"/>
  <c r="R1451" i="21" s="1"/>
  <c r="J1448" i="21"/>
  <c r="R1448" i="21" s="1"/>
  <c r="J1445" i="21"/>
  <c r="R1445" i="21" s="1"/>
  <c r="J1444" i="21"/>
  <c r="R1444" i="21" s="1"/>
  <c r="J1442" i="21"/>
  <c r="R1442" i="21" s="1"/>
  <c r="J1440" i="21"/>
  <c r="J1439" i="21"/>
  <c r="R1439" i="21" s="1"/>
  <c r="J1438" i="21"/>
  <c r="R1438" i="21" s="1"/>
  <c r="J1437" i="21"/>
  <c r="R1437" i="21" s="1"/>
  <c r="J1436" i="21"/>
  <c r="R1436" i="21" s="1"/>
  <c r="J1435" i="21"/>
  <c r="R1435" i="21" s="1"/>
  <c r="J1433" i="21"/>
  <c r="R1433" i="21" s="1"/>
  <c r="J1432" i="21"/>
  <c r="R1432" i="21" s="1"/>
  <c r="J1429" i="21"/>
  <c r="J1428" i="21"/>
  <c r="R1428" i="21" s="1"/>
  <c r="J1427" i="21"/>
  <c r="R1427" i="21" s="1"/>
  <c r="J1426" i="21"/>
  <c r="J1425" i="21"/>
  <c r="R1425" i="21" s="1"/>
  <c r="J1424" i="21"/>
  <c r="R1424" i="21" s="1"/>
  <c r="J1423" i="21"/>
  <c r="J1422" i="21"/>
  <c r="R1422" i="21" s="1"/>
  <c r="J1421" i="21"/>
  <c r="R1421" i="21" s="1"/>
  <c r="J1419" i="21"/>
  <c r="R1419" i="21" s="1"/>
  <c r="J1417" i="21"/>
  <c r="R1417" i="21" s="1"/>
  <c r="J1416" i="21"/>
  <c r="R1416" i="21" s="1"/>
  <c r="J1414" i="21"/>
  <c r="R1414" i="21" s="1"/>
  <c r="J1413" i="21"/>
  <c r="R1413" i="21" s="1"/>
  <c r="J1410" i="21"/>
  <c r="R1410" i="21" s="1"/>
  <c r="J1409" i="21"/>
  <c r="R1409" i="21" s="1"/>
  <c r="J1408" i="21"/>
  <c r="R1408" i="21" s="1"/>
  <c r="J1407" i="21"/>
  <c r="R1407" i="21" s="1"/>
  <c r="J1406" i="21"/>
  <c r="J1405" i="21"/>
  <c r="R1405" i="21" s="1"/>
  <c r="J1402" i="21"/>
  <c r="R1402" i="21" s="1"/>
  <c r="J1399" i="21"/>
  <c r="R1399" i="21" s="1"/>
  <c r="J1398" i="21"/>
  <c r="J1397" i="21"/>
  <c r="R1397" i="21" s="1"/>
  <c r="J1396" i="21"/>
  <c r="R1396" i="21" s="1"/>
  <c r="J1395" i="21"/>
  <c r="R1395" i="21" s="1"/>
  <c r="J1394" i="21"/>
  <c r="R1394" i="21" s="1"/>
  <c r="J1393" i="21"/>
  <c r="R1393" i="21" s="1"/>
  <c r="J1392" i="21"/>
  <c r="R1392" i="21" s="1"/>
  <c r="J1391" i="21"/>
  <c r="R1391" i="21" s="1"/>
  <c r="J1389" i="21"/>
  <c r="R1389" i="21" s="1"/>
  <c r="J1388" i="21"/>
  <c r="R1388" i="21" s="1"/>
  <c r="J1385" i="21"/>
  <c r="R1385" i="21" s="1"/>
  <c r="J1384" i="21"/>
  <c r="R1384" i="21" s="1"/>
  <c r="J1383" i="21"/>
  <c r="R1383" i="21" s="1"/>
  <c r="J1381" i="21"/>
  <c r="R1381" i="21" s="1"/>
  <c r="J1380" i="21"/>
  <c r="R1380" i="21" s="1"/>
  <c r="J1377" i="21"/>
  <c r="R1377" i="21" s="1"/>
  <c r="J1376" i="21"/>
  <c r="R1376" i="21" s="1"/>
  <c r="J1375" i="21"/>
  <c r="R1375" i="21" s="1"/>
  <c r="J1374" i="21"/>
  <c r="R1374" i="21" s="1"/>
  <c r="J1373" i="21"/>
  <c r="R1373" i="21" s="1"/>
  <c r="J1372" i="21"/>
  <c r="R1372" i="21" s="1"/>
  <c r="J1371" i="21"/>
  <c r="R1371" i="21" s="1"/>
  <c r="J1370" i="21"/>
  <c r="R1370" i="21" s="1"/>
  <c r="J1366" i="21"/>
  <c r="R1366" i="21" s="1"/>
  <c r="J1365" i="21"/>
  <c r="R1365" i="21" s="1"/>
  <c r="J1364" i="21"/>
  <c r="R1364" i="21" s="1"/>
  <c r="J1363" i="21"/>
  <c r="R1363" i="21" s="1"/>
  <c r="J1361" i="21"/>
  <c r="R1361" i="21" s="1"/>
  <c r="J1360" i="21"/>
  <c r="R1360" i="21" s="1"/>
  <c r="J1357" i="21"/>
  <c r="R1357" i="21" s="1"/>
  <c r="J1356" i="21"/>
  <c r="R1356" i="21" s="1"/>
  <c r="J1355" i="21"/>
  <c r="R1355" i="21" s="1"/>
  <c r="J1354" i="21"/>
  <c r="R1354" i="21" s="1"/>
  <c r="J1353" i="21"/>
  <c r="R1353" i="21" s="1"/>
  <c r="J1352" i="21"/>
  <c r="R1352" i="21" s="1"/>
  <c r="J1351" i="21"/>
  <c r="R1351" i="21" s="1"/>
  <c r="J1350" i="21"/>
  <c r="R1350" i="21" s="1"/>
  <c r="J1348" i="21"/>
  <c r="R1348" i="21" s="1"/>
  <c r="J1347" i="21"/>
  <c r="R1347" i="21" s="1"/>
  <c r="J1346" i="21"/>
  <c r="R1346" i="21" s="1"/>
  <c r="J1344" i="21"/>
  <c r="R1344" i="21" s="1"/>
  <c r="J1342" i="21"/>
  <c r="R1342" i="21" s="1"/>
  <c r="J1341" i="21"/>
  <c r="R1341" i="21" s="1"/>
  <c r="J1340" i="21"/>
  <c r="R1340" i="21" s="1"/>
  <c r="J1339" i="21"/>
  <c r="R1339" i="21" s="1"/>
  <c r="J1338" i="21"/>
  <c r="R1338" i="21" s="1"/>
  <c r="J1336" i="21"/>
  <c r="R1336" i="21" s="1"/>
  <c r="J1335" i="21"/>
  <c r="R1335" i="21" s="1"/>
  <c r="I1334" i="21"/>
  <c r="I1343" i="21"/>
  <c r="Q1343" i="21" s="1"/>
  <c r="I1345" i="21"/>
  <c r="Q1345" i="21" s="1"/>
  <c r="I1359" i="21"/>
  <c r="I1369" i="21"/>
  <c r="I1390" i="21"/>
  <c r="I1401" i="21"/>
  <c r="I1412" i="21"/>
  <c r="I1431" i="21"/>
  <c r="I1441" i="21"/>
  <c r="Q1441" i="21" s="1"/>
  <c r="I1443" i="21"/>
  <c r="Q1443" i="21" s="1"/>
  <c r="I1450" i="21"/>
  <c r="I1459" i="21"/>
  <c r="Q1254" i="21"/>
  <c r="Q1255" i="21"/>
  <c r="Q1257" i="21"/>
  <c r="Q1258" i="21"/>
  <c r="Q1259" i="21"/>
  <c r="Q1260" i="21"/>
  <c r="Q1261" i="21"/>
  <c r="Q1262" i="21"/>
  <c r="Q1263" i="21"/>
  <c r="Q1265" i="21"/>
  <c r="Q1266" i="21"/>
  <c r="Q1267" i="21"/>
  <c r="Q1268" i="21"/>
  <c r="Q1269" i="21"/>
  <c r="Q1270" i="21"/>
  <c r="Q1271" i="21"/>
  <c r="Q1273" i="21"/>
  <c r="Q1274" i="21"/>
  <c r="Q1275" i="21"/>
  <c r="Q1276" i="21"/>
  <c r="Q1277" i="21"/>
  <c r="Q1278" i="21"/>
  <c r="Q1279" i="21"/>
  <c r="Q1280" i="21"/>
  <c r="Q1281" i="21"/>
  <c r="Q1283" i="21"/>
  <c r="Q1284" i="21"/>
  <c r="Q1288" i="21"/>
  <c r="Q1289" i="21"/>
  <c r="Q1291" i="21"/>
  <c r="Q1294" i="21"/>
  <c r="Q1295" i="21"/>
  <c r="Q1296" i="21"/>
  <c r="Q1298" i="21"/>
  <c r="Q1299" i="21"/>
  <c r="Q1300" i="21"/>
  <c r="Q1301" i="21"/>
  <c r="Q1302" i="21"/>
  <c r="Q1303" i="21"/>
  <c r="Q1305" i="21"/>
  <c r="Q1308" i="21"/>
  <c r="Q1309" i="21"/>
  <c r="Q1310" i="21"/>
  <c r="Q1311" i="21"/>
  <c r="Q1312" i="21"/>
  <c r="Q1313" i="21"/>
  <c r="Q1316" i="21"/>
  <c r="Q1317" i="21"/>
  <c r="Q1318" i="21"/>
  <c r="Q1319" i="21"/>
  <c r="Q1320" i="21"/>
  <c r="Q1321" i="21"/>
  <c r="Q1322" i="21"/>
  <c r="Q1323" i="21"/>
  <c r="Q1324" i="21"/>
  <c r="Q1325" i="21"/>
  <c r="N1306" i="21"/>
  <c r="N1304" i="21"/>
  <c r="N1296" i="21"/>
  <c r="N1295" i="21"/>
  <c r="N1292" i="21"/>
  <c r="N1284" i="21"/>
  <c r="R1284" i="21" s="1"/>
  <c r="M1252" i="21"/>
  <c r="M1286" i="21"/>
  <c r="M1297" i="21"/>
  <c r="M1314" i="21"/>
  <c r="L1252" i="21"/>
  <c r="N1252" i="21" s="1"/>
  <c r="L1287" i="21"/>
  <c r="N1287" i="21" s="1"/>
  <c r="L1293" i="21"/>
  <c r="L1297" i="21"/>
  <c r="L1314" i="21"/>
  <c r="J1313" i="21"/>
  <c r="R1313" i="21" s="1"/>
  <c r="J1311" i="21"/>
  <c r="J1309" i="21"/>
  <c r="R1309" i="21" s="1"/>
  <c r="J1308" i="21"/>
  <c r="J1305" i="21"/>
  <c r="R1305" i="21" s="1"/>
  <c r="J1303" i="21"/>
  <c r="R1303" i="21" s="1"/>
  <c r="J1302" i="21"/>
  <c r="R1302" i="21" s="1"/>
  <c r="J1301" i="21"/>
  <c r="R1301" i="21" s="1"/>
  <c r="J1300" i="21"/>
  <c r="J1299" i="21"/>
  <c r="R1299" i="21" s="1"/>
  <c r="J1298" i="21"/>
  <c r="R1298" i="21" s="1"/>
  <c r="J1296" i="21"/>
  <c r="R1296" i="21" s="1"/>
  <c r="J1295" i="21"/>
  <c r="J1294" i="21"/>
  <c r="R1294" i="21" s="1"/>
  <c r="J1284" i="21"/>
  <c r="J1283" i="21"/>
  <c r="R1283" i="21" s="1"/>
  <c r="J1281" i="21"/>
  <c r="J1279" i="21"/>
  <c r="R1279" i="21" s="1"/>
  <c r="J1269" i="21"/>
  <c r="J1268" i="21"/>
  <c r="R1268" i="21" s="1"/>
  <c r="J1267" i="21"/>
  <c r="R1267" i="21" s="1"/>
  <c r="J1265" i="21"/>
  <c r="J1261" i="21"/>
  <c r="J1260" i="21"/>
  <c r="R1260" i="21" s="1"/>
  <c r="J1258" i="21"/>
  <c r="R1258" i="21" s="1"/>
  <c r="J1257" i="21"/>
  <c r="J1255" i="21"/>
  <c r="R1255" i="21" s="1"/>
  <c r="J1254" i="21"/>
  <c r="R1254" i="21" s="1"/>
  <c r="I1256" i="21"/>
  <c r="I1253" i="21" s="1"/>
  <c r="Q1253" i="21" s="1"/>
  <c r="I1264" i="21"/>
  <c r="Q1264" i="21" s="1"/>
  <c r="I1272" i="21"/>
  <c r="Q1272" i="21" s="1"/>
  <c r="I1287" i="21"/>
  <c r="Q1287" i="21" s="1"/>
  <c r="I1293" i="21"/>
  <c r="Q1293" i="21" s="1"/>
  <c r="I1297" i="21"/>
  <c r="Q1297" i="21" s="1"/>
  <c r="I1304" i="21"/>
  <c r="Q1304" i="21" s="1"/>
  <c r="I1307" i="21"/>
  <c r="Q1202" i="21"/>
  <c r="Q1204" i="21"/>
  <c r="Q1205" i="21"/>
  <c r="Q1206" i="21"/>
  <c r="Q1207" i="21"/>
  <c r="Q1208" i="21"/>
  <c r="Q1209" i="21"/>
  <c r="Q1210" i="21"/>
  <c r="Q1211" i="21"/>
  <c r="Q1212" i="21"/>
  <c r="Q1213" i="21"/>
  <c r="Q1214" i="21"/>
  <c r="Q1217" i="21"/>
  <c r="Q1218" i="21"/>
  <c r="Q1219" i="21"/>
  <c r="Q1220" i="21"/>
  <c r="Q1221" i="21"/>
  <c r="Q1222" i="21"/>
  <c r="Q1223" i="21"/>
  <c r="Q1224" i="21"/>
  <c r="Q1225" i="21"/>
  <c r="Q1226" i="21"/>
  <c r="Q1227" i="21"/>
  <c r="Q1228" i="21"/>
  <c r="Q1229" i="21"/>
  <c r="Q1232" i="21"/>
  <c r="Q1233" i="21"/>
  <c r="Q1234" i="21"/>
  <c r="Q1235" i="21"/>
  <c r="Q1237" i="21"/>
  <c r="Q1238" i="21"/>
  <c r="Q1239" i="21"/>
  <c r="Q1240" i="21"/>
  <c r="Q1241" i="21"/>
  <c r="Q1242" i="21"/>
  <c r="Q1244" i="21"/>
  <c r="N1244" i="21"/>
  <c r="M1201" i="21"/>
  <c r="J1244" i="21"/>
  <c r="J1242" i="21"/>
  <c r="R1242" i="21" s="1"/>
  <c r="J1241" i="21"/>
  <c r="J1240" i="21"/>
  <c r="R1240" i="21" s="1"/>
  <c r="J1239" i="21"/>
  <c r="R1239" i="21" s="1"/>
  <c r="J1238" i="21"/>
  <c r="R1238" i="21" s="1"/>
  <c r="J1237" i="21"/>
  <c r="J1235" i="21"/>
  <c r="R1235" i="21" s="1"/>
  <c r="J1233" i="21"/>
  <c r="J1232" i="21"/>
  <c r="R1232" i="21" s="1"/>
  <c r="J1228" i="21"/>
  <c r="R1228" i="21" s="1"/>
  <c r="J1226" i="21"/>
  <c r="R1226" i="21" s="1"/>
  <c r="J1225" i="21"/>
  <c r="R1225" i="21" s="1"/>
  <c r="J1224" i="21"/>
  <c r="J1222" i="21"/>
  <c r="R1222" i="21" s="1"/>
  <c r="J1221" i="21"/>
  <c r="R1221" i="21" s="1"/>
  <c r="J1217" i="21"/>
  <c r="R1217" i="21" s="1"/>
  <c r="J1214" i="21"/>
  <c r="R1214" i="21" s="1"/>
  <c r="J1213" i="21"/>
  <c r="R1213" i="21" s="1"/>
  <c r="J1212" i="21"/>
  <c r="J1211" i="21"/>
  <c r="R1211" i="21" s="1"/>
  <c r="J1210" i="21"/>
  <c r="R1210" i="21" s="1"/>
  <c r="J1209" i="21"/>
  <c r="R1209" i="21" s="1"/>
  <c r="J1208" i="21"/>
  <c r="J1207" i="21"/>
  <c r="R1207" i="21" s="1"/>
  <c r="J1206" i="21"/>
  <c r="R1206" i="21" s="1"/>
  <c r="J1204" i="21"/>
  <c r="R1204" i="21" s="1"/>
  <c r="J1202" i="21"/>
  <c r="R1202" i="21" s="1"/>
  <c r="I1203" i="21"/>
  <c r="I1201" i="21" s="1"/>
  <c r="I1216" i="21"/>
  <c r="I1215" i="21" s="1"/>
  <c r="Q1215" i="21" s="1"/>
  <c r="I1231" i="21"/>
  <c r="I1230" i="21" s="1"/>
  <c r="Q1123" i="21"/>
  <c r="Q1125" i="21"/>
  <c r="Q1126" i="21"/>
  <c r="Q1127" i="21"/>
  <c r="Q1128" i="21"/>
  <c r="Q1129" i="21"/>
  <c r="Q1130" i="21"/>
  <c r="Q1131" i="21"/>
  <c r="Q1132" i="21"/>
  <c r="Q1133" i="21"/>
  <c r="Q1136" i="21"/>
  <c r="Q1137" i="21"/>
  <c r="Q1139" i="21"/>
  <c r="Q1140" i="21"/>
  <c r="Q1141" i="21"/>
  <c r="Q1142" i="21"/>
  <c r="Q1143" i="21"/>
  <c r="Q1144" i="21"/>
  <c r="Q1145" i="21"/>
  <c r="Q1146" i="21"/>
  <c r="Q1149" i="21"/>
  <c r="Q1150" i="21"/>
  <c r="Q1151" i="21"/>
  <c r="Q1152" i="21"/>
  <c r="Q1153" i="21"/>
  <c r="Q1154" i="21"/>
  <c r="Q1155" i="21"/>
  <c r="Q1156" i="21"/>
  <c r="Q1157" i="21"/>
  <c r="Q1159" i="21"/>
  <c r="Q1161" i="21"/>
  <c r="Q1164" i="21"/>
  <c r="Q1166" i="21"/>
  <c r="Q1167" i="21"/>
  <c r="Q1168" i="21"/>
  <c r="Q1169" i="21"/>
  <c r="Q1170" i="21"/>
  <c r="Q1171" i="21"/>
  <c r="Q1172" i="21"/>
  <c r="Q1173" i="21"/>
  <c r="Q1174" i="21"/>
  <c r="Q1176" i="21"/>
  <c r="Q1177" i="21"/>
  <c r="Q1179" i="21"/>
  <c r="Q1183" i="21"/>
  <c r="Q1184" i="21"/>
  <c r="Q1185" i="21"/>
  <c r="Q1186" i="21"/>
  <c r="Q1187" i="21"/>
  <c r="Q1188" i="21"/>
  <c r="Q1189" i="21"/>
  <c r="Q1190" i="21"/>
  <c r="Q1192" i="21"/>
  <c r="Q1193" i="21"/>
  <c r="N1193" i="21"/>
  <c r="N1192" i="21"/>
  <c r="N1179" i="21"/>
  <c r="N1174" i="21"/>
  <c r="N1161" i="21"/>
  <c r="R1161" i="21" s="1"/>
  <c r="N1146" i="21"/>
  <c r="N1135" i="21"/>
  <c r="N1124" i="21"/>
  <c r="N1123" i="21"/>
  <c r="M1138" i="21"/>
  <c r="M1147" i="21"/>
  <c r="M1165" i="21"/>
  <c r="M1163" i="21" s="1"/>
  <c r="M1181" i="21"/>
  <c r="J1193" i="21"/>
  <c r="J1192" i="21"/>
  <c r="R1192" i="21" s="1"/>
  <c r="J1190" i="21"/>
  <c r="R1190" i="21" s="1"/>
  <c r="J1189" i="21"/>
  <c r="R1189" i="21" s="1"/>
  <c r="J1188" i="21"/>
  <c r="R1188" i="21" s="1"/>
  <c r="J1187" i="21"/>
  <c r="R1187" i="21" s="1"/>
  <c r="J1186" i="21"/>
  <c r="R1186" i="21" s="1"/>
  <c r="J1184" i="21"/>
  <c r="J1183" i="21"/>
  <c r="R1183" i="21" s="1"/>
  <c r="J1179" i="21"/>
  <c r="J1177" i="21"/>
  <c r="J1173" i="21"/>
  <c r="R1173" i="21" s="1"/>
  <c r="J1172" i="21"/>
  <c r="R1172" i="21" s="1"/>
  <c r="J1170" i="21"/>
  <c r="J1169" i="21"/>
  <c r="R1169" i="21" s="1"/>
  <c r="J1167" i="21"/>
  <c r="R1167" i="21" s="1"/>
  <c r="J1166" i="21"/>
  <c r="R1166" i="21" s="1"/>
  <c r="J1164" i="21"/>
  <c r="R1164" i="21" s="1"/>
  <c r="J1159" i="21"/>
  <c r="R1159" i="21" s="1"/>
  <c r="J1157" i="21"/>
  <c r="R1157" i="21" s="1"/>
  <c r="J1156" i="21"/>
  <c r="R1156" i="21" s="1"/>
  <c r="J1155" i="21"/>
  <c r="R1155" i="21" s="1"/>
  <c r="J1154" i="21"/>
  <c r="R1154" i="21" s="1"/>
  <c r="J1153" i="21"/>
  <c r="R1153" i="21" s="1"/>
  <c r="J1152" i="21"/>
  <c r="R1152" i="21" s="1"/>
  <c r="J1150" i="21"/>
  <c r="R1150" i="21" s="1"/>
  <c r="J1149" i="21"/>
  <c r="R1149" i="21" s="1"/>
  <c r="J1146" i="21"/>
  <c r="J1145" i="21"/>
  <c r="R1145" i="21" s="1"/>
  <c r="J1143" i="21"/>
  <c r="R1143" i="21" s="1"/>
  <c r="J1142" i="21"/>
  <c r="R1142" i="21" s="1"/>
  <c r="J1140" i="21"/>
  <c r="R1140" i="21" s="1"/>
  <c r="J1139" i="21"/>
  <c r="R1139" i="21" s="1"/>
  <c r="J1137" i="21"/>
  <c r="R1137" i="21" s="1"/>
  <c r="J1136" i="21"/>
  <c r="R1136" i="21" s="1"/>
  <c r="J1133" i="21"/>
  <c r="R1133" i="21" s="1"/>
  <c r="J1132" i="21"/>
  <c r="R1132" i="21" s="1"/>
  <c r="J1131" i="21"/>
  <c r="R1131" i="21" s="1"/>
  <c r="J1130" i="21"/>
  <c r="R1130" i="21" s="1"/>
  <c r="J1129" i="21"/>
  <c r="R1129" i="21" s="1"/>
  <c r="J1128" i="21"/>
  <c r="R1128" i="21" s="1"/>
  <c r="J1127" i="21"/>
  <c r="R1127" i="21" s="1"/>
  <c r="J1126" i="21"/>
  <c r="R1126" i="21" s="1"/>
  <c r="J1125" i="21"/>
  <c r="R1125" i="21" s="1"/>
  <c r="J1123" i="21"/>
  <c r="R1123" i="21" s="1"/>
  <c r="I1124" i="21"/>
  <c r="Q1124" i="21" s="1"/>
  <c r="I1135" i="21"/>
  <c r="Q1135" i="21" s="1"/>
  <c r="I1138" i="21"/>
  <c r="I1148" i="21"/>
  <c r="I1147" i="21" s="1"/>
  <c r="I1165" i="21"/>
  <c r="I1163" i="21" s="1"/>
  <c r="Q1163" i="21" s="1"/>
  <c r="I1182" i="21"/>
  <c r="I1181" i="21" s="1"/>
  <c r="Q361" i="21"/>
  <c r="Q362" i="21"/>
  <c r="Q364" i="21"/>
  <c r="Q365" i="21"/>
  <c r="Q366" i="21"/>
  <c r="Q367" i="21"/>
  <c r="Q369" i="21"/>
  <c r="Q370" i="21"/>
  <c r="Q372" i="21"/>
  <c r="Q373" i="21"/>
  <c r="Q374" i="21"/>
  <c r="Q375" i="21"/>
  <c r="Q376" i="21"/>
  <c r="Q377" i="21"/>
  <c r="Q379" i="21"/>
  <c r="Q380" i="21"/>
  <c r="Q381" i="21"/>
  <c r="Q382" i="21"/>
  <c r="Q383" i="21"/>
  <c r="Q384" i="21"/>
  <c r="Q386" i="21"/>
  <c r="Q387" i="21"/>
  <c r="Q388" i="21"/>
  <c r="Q389" i="21"/>
  <c r="Q390" i="21"/>
  <c r="Q391" i="21"/>
  <c r="Q392" i="21"/>
  <c r="Q393" i="21"/>
  <c r="Q395" i="21"/>
  <c r="Q396" i="21"/>
  <c r="Q397" i="21"/>
  <c r="Q398" i="21"/>
  <c r="Q399" i="21"/>
  <c r="Q401" i="21"/>
  <c r="Q402" i="21"/>
  <c r="Q403" i="21"/>
  <c r="Q405" i="21"/>
  <c r="Q406" i="21"/>
  <c r="Q407" i="21"/>
  <c r="Q408" i="21"/>
  <c r="Q409" i="21"/>
  <c r="Q410" i="21"/>
  <c r="Q411" i="21"/>
  <c r="Q413" i="21"/>
  <c r="Q414" i="21"/>
  <c r="Q415" i="21"/>
  <c r="Q416" i="21"/>
  <c r="Q417" i="21"/>
  <c r="Q418" i="21"/>
  <c r="Q419" i="21"/>
  <c r="Q420" i="21"/>
  <c r="Q421" i="21"/>
  <c r="Q423" i="21"/>
  <c r="Q424" i="21"/>
  <c r="Q425" i="21"/>
  <c r="Q426" i="21"/>
  <c r="Q427" i="21"/>
  <c r="Q429" i="21"/>
  <c r="Q430" i="21"/>
  <c r="Q431" i="21"/>
  <c r="Q432" i="21"/>
  <c r="Q433" i="21"/>
  <c r="Q435" i="21"/>
  <c r="Q436" i="21"/>
  <c r="Q437" i="21"/>
  <c r="Q438" i="21"/>
  <c r="Q439" i="21"/>
  <c r="Q440" i="21"/>
  <c r="Q441" i="21"/>
  <c r="Q442" i="21"/>
  <c r="Q443" i="21"/>
  <c r="Q445" i="21"/>
  <c r="Q446" i="21"/>
  <c r="Q447" i="21"/>
  <c r="Q448" i="21"/>
  <c r="Q449" i="21"/>
  <c r="Q450" i="21"/>
  <c r="Q451" i="21"/>
  <c r="Q452" i="21"/>
  <c r="Q453" i="21"/>
  <c r="Q455" i="21"/>
  <c r="Q456" i="21"/>
  <c r="Q457" i="21"/>
  <c r="Q458" i="21"/>
  <c r="Q459" i="21"/>
  <c r="Q460" i="21"/>
  <c r="Q461" i="21"/>
  <c r="Q462" i="21"/>
  <c r="Q464" i="21"/>
  <c r="Q465" i="21"/>
  <c r="Q466" i="21"/>
  <c r="Q467" i="21"/>
  <c r="Q468" i="21"/>
  <c r="Q469" i="21"/>
  <c r="Q471" i="21"/>
  <c r="Q472" i="21"/>
  <c r="Q473" i="21"/>
  <c r="Q474" i="21"/>
  <c r="Q475" i="21"/>
  <c r="Q476" i="21"/>
  <c r="Q477" i="21"/>
  <c r="Q479" i="21"/>
  <c r="Q480" i="21"/>
  <c r="Q481" i="21"/>
  <c r="Q482" i="21"/>
  <c r="Q483" i="21"/>
  <c r="Q484" i="21"/>
  <c r="Q485" i="21"/>
  <c r="Q486" i="21"/>
  <c r="Q487" i="21"/>
  <c r="Q489" i="21"/>
  <c r="Q490" i="21"/>
  <c r="Q491" i="21"/>
  <c r="Q492" i="21"/>
  <c r="Q493" i="21"/>
  <c r="Q494" i="21"/>
  <c r="Q495" i="21"/>
  <c r="Q496" i="21"/>
  <c r="Q498" i="21"/>
  <c r="Q499" i="21"/>
  <c r="Q500" i="21"/>
  <c r="Q501" i="21"/>
  <c r="Q502" i="21"/>
  <c r="Q503" i="21"/>
  <c r="Q504" i="21"/>
  <c r="Q505" i="21"/>
  <c r="Q506" i="21"/>
  <c r="Q508" i="21"/>
  <c r="Q510" i="21"/>
  <c r="Q511" i="21"/>
  <c r="Q512" i="21"/>
  <c r="Q517" i="21"/>
  <c r="Q518" i="21"/>
  <c r="Q519" i="21"/>
  <c r="Q520" i="21"/>
  <c r="Q521" i="21"/>
  <c r="Q522" i="21"/>
  <c r="Q523" i="21"/>
  <c r="Q524" i="21"/>
  <c r="Q527" i="21"/>
  <c r="Q528" i="21"/>
  <c r="Q529" i="21"/>
  <c r="Q530" i="21"/>
  <c r="Q531" i="21"/>
  <c r="Q532" i="21"/>
  <c r="Q533" i="21"/>
  <c r="Q534" i="21"/>
  <c r="Q535" i="21"/>
  <c r="Q536" i="21"/>
  <c r="Q538" i="21"/>
  <c r="Q539" i="21"/>
  <c r="Q540" i="21"/>
  <c r="Q541" i="21"/>
  <c r="Q542" i="21"/>
  <c r="Q543" i="21"/>
  <c r="Q544" i="21"/>
  <c r="Q545" i="21"/>
  <c r="Q546" i="21"/>
  <c r="Q547" i="21"/>
  <c r="Q548" i="21"/>
  <c r="Q551" i="21"/>
  <c r="Q552" i="21"/>
  <c r="Q553" i="21"/>
  <c r="Q554" i="21"/>
  <c r="Q555" i="21"/>
  <c r="Q556" i="21"/>
  <c r="Q557" i="21"/>
  <c r="Q558" i="21"/>
  <c r="Q559" i="21"/>
  <c r="Q561" i="21"/>
  <c r="Q562" i="21"/>
  <c r="Q563" i="21"/>
  <c r="Q564" i="21"/>
  <c r="Q565" i="21"/>
  <c r="Q566" i="21"/>
  <c r="Q567" i="21"/>
  <c r="Q568" i="21"/>
  <c r="Q569" i="21"/>
  <c r="Q570" i="21"/>
  <c r="Q571" i="21"/>
  <c r="Q574" i="21"/>
  <c r="Q575" i="21"/>
  <c r="Q576" i="21"/>
  <c r="Q577" i="21"/>
  <c r="Q578" i="21"/>
  <c r="Q579" i="21"/>
  <c r="Q580" i="21"/>
  <c r="Q581" i="21"/>
  <c r="Q582" i="21"/>
  <c r="Q583" i="21"/>
  <c r="Q584" i="21"/>
  <c r="Q586" i="21"/>
  <c r="Q587" i="21"/>
  <c r="Q588" i="21"/>
  <c r="Q589" i="21"/>
  <c r="Q590" i="21"/>
  <c r="Q591" i="21"/>
  <c r="Q592" i="21"/>
  <c r="Q593" i="21"/>
  <c r="Q594" i="21"/>
  <c r="Q595" i="21"/>
  <c r="Q596" i="21"/>
  <c r="Q597" i="21"/>
  <c r="Q598" i="21"/>
  <c r="Q601" i="21"/>
  <c r="Q602" i="21"/>
  <c r="Q603" i="21"/>
  <c r="Q604" i="21"/>
  <c r="Q605" i="21"/>
  <c r="Q606" i="21"/>
  <c r="Q607" i="21"/>
  <c r="Q608" i="21"/>
  <c r="Q609" i="21"/>
  <c r="Q610" i="21"/>
  <c r="Q611" i="21"/>
  <c r="Q613" i="21"/>
  <c r="Q614" i="21"/>
  <c r="Q615" i="21"/>
  <c r="Q616" i="21"/>
  <c r="Q617" i="21"/>
  <c r="Q618" i="21"/>
  <c r="Q619" i="21"/>
  <c r="Q620" i="21"/>
  <c r="Q621" i="21"/>
  <c r="Q622" i="21"/>
  <c r="Q623" i="21"/>
  <c r="Q626" i="21"/>
  <c r="Q627" i="21"/>
  <c r="Q628" i="21"/>
  <c r="Q629" i="21"/>
  <c r="Q630" i="21"/>
  <c r="Q631" i="21"/>
  <c r="Q632" i="21"/>
  <c r="Q633" i="21"/>
  <c r="Q634" i="21"/>
  <c r="Q636" i="21"/>
  <c r="Q637" i="21"/>
  <c r="Q638" i="21"/>
  <c r="Q639" i="21"/>
  <c r="Q640" i="21"/>
  <c r="Q641" i="21"/>
  <c r="Q642" i="21"/>
  <c r="Q643" i="21"/>
  <c r="Q644" i="21"/>
  <c r="Q645" i="21"/>
  <c r="Q647" i="21"/>
  <c r="Q650" i="21"/>
  <c r="Q651" i="21"/>
  <c r="Q652" i="21"/>
  <c r="Q653" i="21"/>
  <c r="Q654" i="21"/>
  <c r="Q655" i="21"/>
  <c r="Q656" i="21"/>
  <c r="Q657" i="21"/>
  <c r="Q658" i="21"/>
  <c r="Q660" i="21"/>
  <c r="Q661" i="21"/>
  <c r="Q662" i="21"/>
  <c r="Q663" i="21"/>
  <c r="Q664" i="21"/>
  <c r="Q665" i="21"/>
  <c r="Q666" i="21"/>
  <c r="Q667" i="21"/>
  <c r="Q668" i="21"/>
  <c r="Q669" i="21"/>
  <c r="Q670" i="21"/>
  <c r="Q673" i="21"/>
  <c r="Q674" i="21"/>
  <c r="Q675" i="21"/>
  <c r="Q676" i="21"/>
  <c r="Q677" i="21"/>
  <c r="Q678" i="21"/>
  <c r="Q679" i="21"/>
  <c r="Q680" i="21"/>
  <c r="Q681" i="21"/>
  <c r="Q683" i="21"/>
  <c r="Q684" i="21"/>
  <c r="Q685" i="21"/>
  <c r="Q686" i="21"/>
  <c r="Q687" i="21"/>
  <c r="Q688" i="21"/>
  <c r="Q689" i="21"/>
  <c r="Q690" i="21"/>
  <c r="Q691" i="21"/>
  <c r="Q692" i="21"/>
  <c r="Q695" i="21"/>
  <c r="Q696" i="21"/>
  <c r="Q697" i="21"/>
  <c r="Q698" i="21"/>
  <c r="Q699" i="21"/>
  <c r="Q700" i="21"/>
  <c r="Q701" i="21"/>
  <c r="Q702" i="21"/>
  <c r="Q703" i="21"/>
  <c r="Q705" i="21"/>
  <c r="Q706" i="21"/>
  <c r="Q707" i="21"/>
  <c r="Q708" i="21"/>
  <c r="Q709" i="21"/>
  <c r="Q710" i="21"/>
  <c r="Q711" i="21"/>
  <c r="Q712" i="21"/>
  <c r="Q713" i="21"/>
  <c r="Q719" i="21"/>
  <c r="Q720" i="21"/>
  <c r="Q721" i="21"/>
  <c r="Q722" i="21"/>
  <c r="Q723" i="21"/>
  <c r="Q724" i="21"/>
  <c r="Q726" i="21"/>
  <c r="Q727" i="21"/>
  <c r="Q728" i="21"/>
  <c r="Q729" i="21"/>
  <c r="Q730" i="21"/>
  <c r="Q731" i="21"/>
  <c r="Q732" i="21"/>
  <c r="Q734" i="21"/>
  <c r="Q735" i="21"/>
  <c r="Q736" i="21"/>
  <c r="Q737" i="21"/>
  <c r="Q738" i="21"/>
  <c r="Q739" i="21"/>
  <c r="Q740" i="21"/>
  <c r="Q742" i="21"/>
  <c r="Q743" i="21"/>
  <c r="Q744" i="21"/>
  <c r="Q745" i="21"/>
  <c r="Q746" i="21"/>
  <c r="Q747" i="21"/>
  <c r="Q748" i="21"/>
  <c r="Q750" i="21"/>
  <c r="Q751" i="21"/>
  <c r="Q752" i="21"/>
  <c r="Q753" i="21"/>
  <c r="Q754" i="21"/>
  <c r="Q755" i="21"/>
  <c r="Q756" i="21"/>
  <c r="Q758" i="21"/>
  <c r="Q759" i="21"/>
  <c r="Q760" i="21"/>
  <c r="Q761" i="21"/>
  <c r="Q762" i="21"/>
  <c r="Q763" i="21"/>
  <c r="Q765" i="21"/>
  <c r="Q766" i="21"/>
  <c r="Q767" i="21"/>
  <c r="Q768" i="21"/>
  <c r="Q769" i="21"/>
  <c r="Q770" i="21"/>
  <c r="Q771" i="21"/>
  <c r="Q773" i="21"/>
  <c r="Q774" i="21"/>
  <c r="Q775" i="21"/>
  <c r="Q776" i="21"/>
  <c r="Q777" i="21"/>
  <c r="Q778" i="21"/>
  <c r="Q779" i="21"/>
  <c r="Q781" i="21"/>
  <c r="Q782" i="21"/>
  <c r="Q783" i="21"/>
  <c r="Q784" i="21"/>
  <c r="Q785" i="21"/>
  <c r="Q786" i="21"/>
  <c r="Q787" i="21"/>
  <c r="Q789" i="21"/>
  <c r="Q790" i="21"/>
  <c r="Q791" i="21"/>
  <c r="Q792" i="21"/>
  <c r="Q795" i="21"/>
  <c r="Q796" i="21"/>
  <c r="Q797" i="21"/>
  <c r="Q798" i="21"/>
  <c r="Q799" i="21"/>
  <c r="Q800" i="21"/>
  <c r="Q801" i="21"/>
  <c r="Q802" i="21"/>
  <c r="Q803" i="21"/>
  <c r="Q804" i="21"/>
  <c r="Q806" i="21"/>
  <c r="Q807" i="21"/>
  <c r="Q808" i="21"/>
  <c r="Q809" i="21"/>
  <c r="Q810" i="21"/>
  <c r="Q811" i="21"/>
  <c r="Q812" i="21"/>
  <c r="Q813" i="21"/>
  <c r="Q814" i="21"/>
  <c r="Q816" i="21"/>
  <c r="Q817" i="21"/>
  <c r="Q822" i="21"/>
  <c r="Q823" i="21"/>
  <c r="Q824" i="21"/>
  <c r="Q825" i="21"/>
  <c r="Q826" i="21"/>
  <c r="Q827" i="21"/>
  <c r="Q828" i="21"/>
  <c r="Q830" i="21"/>
  <c r="Q831" i="21"/>
  <c r="Q832" i="21"/>
  <c r="Q833" i="21"/>
  <c r="Q834" i="21"/>
  <c r="Q835" i="21"/>
  <c r="Q836" i="21"/>
  <c r="Q838" i="21"/>
  <c r="Q839" i="21"/>
  <c r="Q840" i="21"/>
  <c r="Q841" i="21"/>
  <c r="Q842" i="21"/>
  <c r="Q843" i="21"/>
  <c r="Q845" i="21"/>
  <c r="Q846" i="21"/>
  <c r="Q847" i="21"/>
  <c r="Q848" i="21"/>
  <c r="Q849" i="21"/>
  <c r="Q850" i="21"/>
  <c r="Q852" i="21"/>
  <c r="Q853" i="21"/>
  <c r="Q854" i="21"/>
  <c r="Q855" i="21"/>
  <c r="Q856" i="21"/>
  <c r="Q857" i="21"/>
  <c r="Q858" i="21"/>
  <c r="Q859" i="21"/>
  <c r="Q861" i="21"/>
  <c r="Q862" i="21"/>
  <c r="Q863" i="21"/>
  <c r="Q864" i="21"/>
  <c r="Q865" i="21"/>
  <c r="Q866" i="21"/>
  <c r="Q867" i="21"/>
  <c r="Q869" i="21"/>
  <c r="Q870" i="21"/>
  <c r="Q871" i="21"/>
  <c r="Q872" i="21"/>
  <c r="Q873" i="21"/>
  <c r="Q874" i="21"/>
  <c r="Q875" i="21"/>
  <c r="Q876" i="21"/>
  <c r="Q878" i="21"/>
  <c r="Q879" i="21"/>
  <c r="Q880" i="21"/>
  <c r="Q881" i="21"/>
  <c r="Q882" i="21"/>
  <c r="Q883" i="21"/>
  <c r="Q884" i="21"/>
  <c r="Q886" i="21"/>
  <c r="Q887" i="21"/>
  <c r="Q888" i="21"/>
  <c r="Q889" i="21"/>
  <c r="Q890" i="21"/>
  <c r="Q891" i="21"/>
  <c r="Q892" i="21"/>
  <c r="Q894" i="21"/>
  <c r="Q895" i="21"/>
  <c r="Q896" i="21"/>
  <c r="Q897" i="21"/>
  <c r="Q898" i="21"/>
  <c r="Q899" i="21"/>
  <c r="Q900" i="21"/>
  <c r="Q902" i="21"/>
  <c r="Q903" i="21"/>
  <c r="Q904" i="21"/>
  <c r="Q905" i="21"/>
  <c r="Q906" i="21"/>
  <c r="Q907" i="21"/>
  <c r="Q908" i="21"/>
  <c r="Q910" i="21"/>
  <c r="Q911" i="21"/>
  <c r="Q912" i="21"/>
  <c r="Q913" i="21"/>
  <c r="Q914" i="21"/>
  <c r="Q915" i="21"/>
  <c r="Q916" i="21"/>
  <c r="Q918" i="21"/>
  <c r="Q919" i="21"/>
  <c r="Q920" i="21"/>
  <c r="Q921" i="21"/>
  <c r="Q922" i="21"/>
  <c r="Q923" i="21"/>
  <c r="Q924" i="21"/>
  <c r="Q926" i="21"/>
  <c r="Q927" i="21"/>
  <c r="Q928" i="21"/>
  <c r="Q929" i="21"/>
  <c r="Q930" i="21"/>
  <c r="Q931" i="21"/>
  <c r="Q932" i="21"/>
  <c r="Q936" i="21"/>
  <c r="Q937" i="21"/>
  <c r="Q938" i="21"/>
  <c r="Q939" i="21"/>
  <c r="Q940" i="21"/>
  <c r="Q941" i="21"/>
  <c r="Q942" i="21"/>
  <c r="Q943" i="21"/>
  <c r="Q944" i="21"/>
  <c r="Q946" i="21"/>
  <c r="Q947" i="21"/>
  <c r="Q948" i="21"/>
  <c r="Q949" i="21"/>
  <c r="Q950" i="21"/>
  <c r="Q951" i="21"/>
  <c r="Q952" i="21"/>
  <c r="Q953" i="21"/>
  <c r="Q954" i="21"/>
  <c r="Q957" i="21"/>
  <c r="Q958" i="21"/>
  <c r="Q959" i="21"/>
  <c r="Q960" i="21"/>
  <c r="Q961" i="21"/>
  <c r="Q962" i="21"/>
  <c r="Q963" i="21"/>
  <c r="Q964" i="21"/>
  <c r="Q966" i="21"/>
  <c r="Q967" i="21"/>
  <c r="Q968" i="21"/>
  <c r="Q969" i="21"/>
  <c r="Q970" i="21"/>
  <c r="Q971" i="21"/>
  <c r="Q972" i="21"/>
  <c r="Q973" i="21"/>
  <c r="Q976" i="21"/>
  <c r="Q977" i="21"/>
  <c r="Q978" i="21"/>
  <c r="Q979" i="21"/>
  <c r="Q980" i="21"/>
  <c r="Q981" i="21"/>
  <c r="Q982" i="21"/>
  <c r="Q983" i="21"/>
  <c r="Q984" i="21"/>
  <c r="Q985" i="21"/>
  <c r="Q987" i="21"/>
  <c r="Q988" i="21"/>
  <c r="Q989" i="21"/>
  <c r="Q990" i="21"/>
  <c r="Q991" i="21"/>
  <c r="Q992" i="21"/>
  <c r="Q993" i="21"/>
  <c r="Q994" i="21"/>
  <c r="Q995" i="21"/>
  <c r="Q998" i="21"/>
  <c r="Q999" i="21"/>
  <c r="Q1000" i="21"/>
  <c r="Q1001" i="21"/>
  <c r="Q1002" i="21"/>
  <c r="Q1003" i="21"/>
  <c r="Q1004" i="21"/>
  <c r="Q1005" i="21"/>
  <c r="Q1007" i="21"/>
  <c r="Q1008" i="21"/>
  <c r="Q1009" i="21"/>
  <c r="Q1010" i="21"/>
  <c r="Q1011" i="21"/>
  <c r="Q1012" i="21"/>
  <c r="Q1013" i="21"/>
  <c r="Q1014" i="21"/>
  <c r="Q1017" i="21"/>
  <c r="Q1018" i="21"/>
  <c r="Q1019" i="21"/>
  <c r="Q1020" i="21"/>
  <c r="Q1021" i="21"/>
  <c r="Q1022" i="21"/>
  <c r="Q1023" i="21"/>
  <c r="Q1024" i="21"/>
  <c r="Q1026" i="21"/>
  <c r="Q1027" i="21"/>
  <c r="Q1028" i="21"/>
  <c r="Q1029" i="21"/>
  <c r="Q1030" i="21"/>
  <c r="Q1031" i="21"/>
  <c r="Q1032" i="21"/>
  <c r="Q1033" i="21"/>
  <c r="Q1036" i="21"/>
  <c r="Q1037" i="21"/>
  <c r="Q1038" i="21"/>
  <c r="Q1039" i="21"/>
  <c r="Q1040" i="21"/>
  <c r="Q1041" i="21"/>
  <c r="Q1042" i="21"/>
  <c r="Q1043" i="21"/>
  <c r="Q1045" i="21"/>
  <c r="Q1046" i="21"/>
  <c r="Q1047" i="21"/>
  <c r="Q1048" i="21"/>
  <c r="Q1049" i="21"/>
  <c r="Q1050" i="21"/>
  <c r="Q1051" i="21"/>
  <c r="Q1052" i="21"/>
  <c r="Q1053" i="21"/>
  <c r="Q1054" i="21"/>
  <c r="Q1057" i="21"/>
  <c r="Q1058" i="21"/>
  <c r="Q1059" i="21"/>
  <c r="Q1060" i="21"/>
  <c r="Q1061" i="21"/>
  <c r="Q1062" i="21"/>
  <c r="Q1063" i="21"/>
  <c r="Q1064" i="21"/>
  <c r="Q1065" i="21"/>
  <c r="Q1067" i="21"/>
  <c r="Q1068" i="21"/>
  <c r="Q1069" i="21"/>
  <c r="Q1070" i="21"/>
  <c r="Q1071" i="21"/>
  <c r="Q1072" i="21"/>
  <c r="Q1073" i="21"/>
  <c r="Q1074" i="21"/>
  <c r="Q1078" i="21"/>
  <c r="Q1079" i="21"/>
  <c r="Q1082" i="21"/>
  <c r="Q1084" i="21"/>
  <c r="Q1085" i="21"/>
  <c r="Q1086" i="21"/>
  <c r="Q1087" i="21"/>
  <c r="Q1091" i="21"/>
  <c r="Q1092" i="21"/>
  <c r="Q1093" i="21"/>
  <c r="Q1094" i="21"/>
  <c r="Q1095" i="21"/>
  <c r="Q1096" i="21"/>
  <c r="Q1097" i="21"/>
  <c r="Q1098" i="21"/>
  <c r="Q1099" i="21"/>
  <c r="Q1100" i="21"/>
  <c r="Q1102" i="21"/>
  <c r="Q1103" i="21"/>
  <c r="Q1104" i="21"/>
  <c r="Q1105" i="21"/>
  <c r="Q1107" i="21"/>
  <c r="Q1108" i="21"/>
  <c r="Q1109" i="21"/>
  <c r="Q1110" i="21"/>
  <c r="Q1111" i="21"/>
  <c r="Q1112" i="21"/>
  <c r="Q1113" i="21"/>
  <c r="Q1114" i="21"/>
  <c r="Q1115" i="21"/>
  <c r="N1089" i="21"/>
  <c r="N1079" i="21"/>
  <c r="N1065" i="21"/>
  <c r="N1054" i="21"/>
  <c r="N1043" i="21"/>
  <c r="N985" i="21"/>
  <c r="N932" i="21"/>
  <c r="N908" i="21"/>
  <c r="N876" i="21"/>
  <c r="N867" i="21"/>
  <c r="N859" i="21"/>
  <c r="N836" i="21"/>
  <c r="N828" i="21"/>
  <c r="N647" i="21"/>
  <c r="R647" i="21" s="1"/>
  <c r="N584" i="21"/>
  <c r="R584" i="21" s="1"/>
  <c r="N443" i="21"/>
  <c r="R443" i="21" s="1"/>
  <c r="N432" i="21"/>
  <c r="R432" i="21" s="1"/>
  <c r="M422" i="21"/>
  <c r="M434" i="21"/>
  <c r="M573" i="21"/>
  <c r="M585" i="21"/>
  <c r="M635" i="21"/>
  <c r="M624" i="21" s="1"/>
  <c r="M821" i="21"/>
  <c r="M829" i="21"/>
  <c r="M851" i="21"/>
  <c r="M860" i="21"/>
  <c r="M868" i="21"/>
  <c r="M877" i="21"/>
  <c r="M885" i="21"/>
  <c r="M893" i="21"/>
  <c r="M901" i="21"/>
  <c r="M909" i="21"/>
  <c r="M925" i="21"/>
  <c r="J1115" i="21"/>
  <c r="R1115" i="21" s="1"/>
  <c r="J1114" i="21"/>
  <c r="R1114" i="21" s="1"/>
  <c r="J1113" i="21"/>
  <c r="R1113" i="21" s="1"/>
  <c r="J1112" i="21"/>
  <c r="R1112" i="21" s="1"/>
  <c r="J1111" i="21"/>
  <c r="R1111" i="21" s="1"/>
  <c r="J1110" i="21"/>
  <c r="R1110" i="21" s="1"/>
  <c r="J1108" i="21"/>
  <c r="R1108" i="21" s="1"/>
  <c r="J1107" i="21"/>
  <c r="J1105" i="21"/>
  <c r="R1105" i="21" s="1"/>
  <c r="J1104" i="21"/>
  <c r="R1104" i="21" s="1"/>
  <c r="J1103" i="21"/>
  <c r="J1102" i="21"/>
  <c r="R1102" i="21" s="1"/>
  <c r="J1100" i="21"/>
  <c r="R1100" i="21" s="1"/>
  <c r="J1098" i="21"/>
  <c r="R1098" i="21" s="1"/>
  <c r="J1097" i="21"/>
  <c r="R1097" i="21" s="1"/>
  <c r="J1096" i="21"/>
  <c r="R1096" i="21" s="1"/>
  <c r="J1095" i="21"/>
  <c r="R1095" i="21" s="1"/>
  <c r="J1094" i="21"/>
  <c r="R1094" i="21" s="1"/>
  <c r="J1092" i="21"/>
  <c r="R1092" i="21" s="1"/>
  <c r="J1087" i="21"/>
  <c r="R1087" i="21" s="1"/>
  <c r="J1086" i="21"/>
  <c r="R1086" i="21" s="1"/>
  <c r="J1085" i="21"/>
  <c r="R1085" i="21" s="1"/>
  <c r="J1084" i="21"/>
  <c r="R1084" i="21" s="1"/>
  <c r="J1082" i="21"/>
  <c r="R1082" i="21" s="1"/>
  <c r="J1078" i="21"/>
  <c r="R1078" i="21" s="1"/>
  <c r="J1074" i="21"/>
  <c r="R1074" i="21" s="1"/>
  <c r="J1073" i="21"/>
  <c r="J1071" i="21"/>
  <c r="R1071" i="21" s="1"/>
  <c r="J1070" i="21"/>
  <c r="R1070" i="21" s="1"/>
  <c r="J1065" i="21"/>
  <c r="J1064" i="21"/>
  <c r="R1064" i="21" s="1"/>
  <c r="J1061" i="21"/>
  <c r="J1060" i="21"/>
  <c r="R1060" i="21" s="1"/>
  <c r="J1054" i="21"/>
  <c r="J1053" i="21"/>
  <c r="R1053" i="21" s="1"/>
  <c r="J1052" i="21"/>
  <c r="R1052" i="21" s="1"/>
  <c r="J1051" i="21"/>
  <c r="J1048" i="21"/>
  <c r="R1048" i="21" s="1"/>
  <c r="J1043" i="21"/>
  <c r="J1042" i="21"/>
  <c r="J1041" i="21"/>
  <c r="R1041" i="21" s="1"/>
  <c r="J1040" i="21"/>
  <c r="R1040" i="21" s="1"/>
  <c r="J1039" i="21"/>
  <c r="R1039" i="21" s="1"/>
  <c r="J1033" i="21"/>
  <c r="R1033" i="21" s="1"/>
  <c r="J1031" i="21"/>
  <c r="R1031" i="21" s="1"/>
  <c r="J1024" i="21"/>
  <c r="R1024" i="21" s="1"/>
  <c r="J1022" i="21"/>
  <c r="R1022" i="21" s="1"/>
  <c r="J1014" i="21"/>
  <c r="R1014" i="21" s="1"/>
  <c r="J1012" i="21"/>
  <c r="J1005" i="21"/>
  <c r="R1005" i="21" s="1"/>
  <c r="J1003" i="21"/>
  <c r="R1003" i="21" s="1"/>
  <c r="J995" i="21"/>
  <c r="R995" i="21" s="1"/>
  <c r="J994" i="21"/>
  <c r="R994" i="21" s="1"/>
  <c r="J993" i="21"/>
  <c r="R993" i="21" s="1"/>
  <c r="J992" i="21"/>
  <c r="J991" i="21"/>
  <c r="R991" i="21" s="1"/>
  <c r="J990" i="21"/>
  <c r="R990" i="21" s="1"/>
  <c r="J985" i="21"/>
  <c r="R985" i="21" s="1"/>
  <c r="J984" i="21"/>
  <c r="J983" i="21"/>
  <c r="R983" i="21" s="1"/>
  <c r="J982" i="21"/>
  <c r="R982" i="21" s="1"/>
  <c r="J981" i="21"/>
  <c r="R981" i="21" s="1"/>
  <c r="J980" i="21"/>
  <c r="J979" i="21"/>
  <c r="R979" i="21" s="1"/>
  <c r="J973" i="21"/>
  <c r="R973" i="21" s="1"/>
  <c r="J972" i="21"/>
  <c r="R972" i="21" s="1"/>
  <c r="J971" i="21"/>
  <c r="J970" i="21"/>
  <c r="R970" i="21" s="1"/>
  <c r="J969" i="21"/>
  <c r="R969" i="21" s="1"/>
  <c r="J964" i="21"/>
  <c r="R964" i="21" s="1"/>
  <c r="J963" i="21"/>
  <c r="J962" i="21"/>
  <c r="R962" i="21" s="1"/>
  <c r="J961" i="21"/>
  <c r="R961" i="21" s="1"/>
  <c r="J960" i="21"/>
  <c r="R960" i="21" s="1"/>
  <c r="J954" i="21"/>
  <c r="R954" i="21" s="1"/>
  <c r="J953" i="21"/>
  <c r="R953" i="21" s="1"/>
  <c r="J952" i="21"/>
  <c r="R952" i="21" s="1"/>
  <c r="J951" i="21"/>
  <c r="R951" i="21" s="1"/>
  <c r="J950" i="21"/>
  <c r="R950" i="21" s="1"/>
  <c r="J949" i="21"/>
  <c r="R949" i="21" s="1"/>
  <c r="J944" i="21"/>
  <c r="R944" i="21" s="1"/>
  <c r="J943" i="21"/>
  <c r="R943" i="21" s="1"/>
  <c r="J942" i="21"/>
  <c r="R942" i="21" s="1"/>
  <c r="J941" i="21"/>
  <c r="R941" i="21" s="1"/>
  <c r="J940" i="21"/>
  <c r="R940" i="21" s="1"/>
  <c r="J939" i="21"/>
  <c r="R939" i="21" s="1"/>
  <c r="J932" i="21"/>
  <c r="J931" i="21"/>
  <c r="R931" i="21" s="1"/>
  <c r="J930" i="21"/>
  <c r="J929" i="21"/>
  <c r="R929" i="21" s="1"/>
  <c r="J924" i="21"/>
  <c r="R924" i="21" s="1"/>
  <c r="J923" i="21"/>
  <c r="R923" i="21" s="1"/>
  <c r="J922" i="21"/>
  <c r="R922" i="21" s="1"/>
  <c r="J921" i="21"/>
  <c r="R921" i="21" s="1"/>
  <c r="J916" i="21"/>
  <c r="J915" i="21"/>
  <c r="R915" i="21" s="1"/>
  <c r="J914" i="21"/>
  <c r="R914" i="21" s="1"/>
  <c r="J913" i="21"/>
  <c r="R913" i="21" s="1"/>
  <c r="J908" i="21"/>
  <c r="J907" i="21"/>
  <c r="J906" i="21"/>
  <c r="R906" i="21" s="1"/>
  <c r="J905" i="21"/>
  <c r="R905" i="21" s="1"/>
  <c r="J900" i="21"/>
  <c r="J899" i="21"/>
  <c r="R899" i="21" s="1"/>
  <c r="J898" i="21"/>
  <c r="R898" i="21" s="1"/>
  <c r="J897" i="21"/>
  <c r="R897" i="21" s="1"/>
  <c r="J892" i="21"/>
  <c r="J891" i="21"/>
  <c r="J890" i="21"/>
  <c r="R890" i="21" s="1"/>
  <c r="J884" i="21"/>
  <c r="J883" i="21"/>
  <c r="R883" i="21" s="1"/>
  <c r="J882" i="21"/>
  <c r="R882" i="21" s="1"/>
  <c r="J881" i="21"/>
  <c r="J876" i="21"/>
  <c r="J875" i="21"/>
  <c r="J874" i="21"/>
  <c r="J873" i="21"/>
  <c r="R873" i="21" s="1"/>
  <c r="J872" i="21"/>
  <c r="J867" i="21"/>
  <c r="J866" i="21"/>
  <c r="R866" i="21" s="1"/>
  <c r="J865" i="21"/>
  <c r="R865" i="21" s="1"/>
  <c r="J864" i="21"/>
  <c r="R864" i="21" s="1"/>
  <c r="J859" i="21"/>
  <c r="J857" i="21"/>
  <c r="R857" i="21" s="1"/>
  <c r="J856" i="21"/>
  <c r="R856" i="21" s="1"/>
  <c r="J855" i="21"/>
  <c r="R855" i="21" s="1"/>
  <c r="J850" i="21"/>
  <c r="R850" i="21" s="1"/>
  <c r="J849" i="21"/>
  <c r="J848" i="21"/>
  <c r="R848" i="21" s="1"/>
  <c r="J843" i="21"/>
  <c r="R843" i="21" s="1"/>
  <c r="J842" i="21"/>
  <c r="R842" i="21" s="1"/>
  <c r="J841" i="21"/>
  <c r="J836" i="21"/>
  <c r="R836" i="21" s="1"/>
  <c r="J835" i="21"/>
  <c r="R835" i="21" s="1"/>
  <c r="J834" i="21"/>
  <c r="R834" i="21" s="1"/>
  <c r="J833" i="21"/>
  <c r="J828" i="21"/>
  <c r="J827" i="21"/>
  <c r="R827" i="21" s="1"/>
  <c r="J826" i="21"/>
  <c r="R826" i="21" s="1"/>
  <c r="J825" i="21"/>
  <c r="R825" i="21" s="1"/>
  <c r="J818" i="21"/>
  <c r="J817" i="21"/>
  <c r="R817" i="21" s="1"/>
  <c r="J816" i="21"/>
  <c r="R816" i="21" s="1"/>
  <c r="J815" i="21"/>
  <c r="J814" i="21"/>
  <c r="R814" i="21" s="1"/>
  <c r="J812" i="21"/>
  <c r="R812" i="21" s="1"/>
  <c r="J811" i="21"/>
  <c r="R811" i="21" s="1"/>
  <c r="J810" i="21"/>
  <c r="R810" i="21" s="1"/>
  <c r="J809" i="21"/>
  <c r="J804" i="21"/>
  <c r="R804" i="21" s="1"/>
  <c r="J803" i="21"/>
  <c r="R803" i="21" s="1"/>
  <c r="J802" i="21"/>
  <c r="R802" i="21" s="1"/>
  <c r="J799" i="21"/>
  <c r="R799" i="21" s="1"/>
  <c r="J798" i="21"/>
  <c r="R798" i="21" s="1"/>
  <c r="J793" i="21"/>
  <c r="J792" i="21"/>
  <c r="R792" i="21" s="1"/>
  <c r="J791" i="21"/>
  <c r="R791" i="21" s="1"/>
  <c r="J790" i="21"/>
  <c r="R790" i="21" s="1"/>
  <c r="J789" i="21"/>
  <c r="J788" i="21"/>
  <c r="J787" i="21"/>
  <c r="R787" i="21" s="1"/>
  <c r="J786" i="21"/>
  <c r="R786" i="21" s="1"/>
  <c r="J785" i="21"/>
  <c r="J784" i="21"/>
  <c r="R784" i="21" s="1"/>
  <c r="J779" i="21"/>
  <c r="R779" i="21" s="1"/>
  <c r="J777" i="21"/>
  <c r="R777" i="21" s="1"/>
  <c r="J771" i="21"/>
  <c r="R771" i="21" s="1"/>
  <c r="J770" i="21"/>
  <c r="R770" i="21" s="1"/>
  <c r="J769" i="21"/>
  <c r="J768" i="21"/>
  <c r="R768" i="21" s="1"/>
  <c r="J763" i="21"/>
  <c r="R763" i="21" s="1"/>
  <c r="J756" i="21"/>
  <c r="R756" i="21" s="1"/>
  <c r="J755" i="21"/>
  <c r="R755" i="21" s="1"/>
  <c r="J754" i="21"/>
  <c r="R754" i="21" s="1"/>
  <c r="J753" i="21"/>
  <c r="J748" i="21"/>
  <c r="R748" i="21" s="1"/>
  <c r="J747" i="21"/>
  <c r="R747" i="21" s="1"/>
  <c r="J746" i="21"/>
  <c r="R746" i="21" s="1"/>
  <c r="J745" i="21"/>
  <c r="J740" i="21"/>
  <c r="R740" i="21" s="1"/>
  <c r="J739" i="21"/>
  <c r="R739" i="21" s="1"/>
  <c r="J738" i="21"/>
  <c r="R738" i="21" s="1"/>
  <c r="J737" i="21"/>
  <c r="J732" i="21"/>
  <c r="R732" i="21" s="1"/>
  <c r="J731" i="21"/>
  <c r="R731" i="21" s="1"/>
  <c r="J730" i="21"/>
  <c r="R730" i="21" s="1"/>
  <c r="J729" i="21"/>
  <c r="J724" i="21"/>
  <c r="R724" i="21" s="1"/>
  <c r="J723" i="21"/>
  <c r="R723" i="21" s="1"/>
  <c r="J722" i="21"/>
  <c r="R722" i="21" s="1"/>
  <c r="J716" i="21"/>
  <c r="J712" i="21"/>
  <c r="R712" i="21" s="1"/>
  <c r="J711" i="21"/>
  <c r="J708" i="21"/>
  <c r="R708" i="21" s="1"/>
  <c r="J702" i="21"/>
  <c r="R702" i="21" s="1"/>
  <c r="J701" i="21"/>
  <c r="R701" i="21" s="1"/>
  <c r="J698" i="21"/>
  <c r="R698" i="21" s="1"/>
  <c r="J692" i="21"/>
  <c r="R692" i="21" s="1"/>
  <c r="J691" i="21"/>
  <c r="J688" i="21"/>
  <c r="R688" i="21" s="1"/>
  <c r="J686" i="21"/>
  <c r="R686" i="21" s="1"/>
  <c r="J681" i="21"/>
  <c r="R681" i="21" s="1"/>
  <c r="J678" i="21"/>
  <c r="R678" i="21" s="1"/>
  <c r="J676" i="21"/>
  <c r="R676" i="21" s="1"/>
  <c r="J670" i="21"/>
  <c r="R670" i="21" s="1"/>
  <c r="J669" i="21"/>
  <c r="R669" i="21" s="1"/>
  <c r="J667" i="21"/>
  <c r="J663" i="21"/>
  <c r="J658" i="21"/>
  <c r="R658" i="21" s="1"/>
  <c r="J657" i="21"/>
  <c r="R657" i="21" s="1"/>
  <c r="J654" i="21"/>
  <c r="R654" i="21" s="1"/>
  <c r="J653" i="21"/>
  <c r="R653" i="21" s="1"/>
  <c r="J647" i="21"/>
  <c r="J646" i="21"/>
  <c r="J645" i="21"/>
  <c r="R645" i="21" s="1"/>
  <c r="J644" i="21"/>
  <c r="R644" i="21" s="1"/>
  <c r="J643" i="21"/>
  <c r="J641" i="21"/>
  <c r="R641" i="21" s="1"/>
  <c r="J640" i="21"/>
  <c r="R640" i="21" s="1"/>
  <c r="J639" i="21"/>
  <c r="N377" i="21"/>
  <c r="R377" i="21" s="1"/>
  <c r="N360" i="21"/>
  <c r="M368" i="21"/>
  <c r="J629" i="21"/>
  <c r="R629" i="21" s="1"/>
  <c r="J630" i="21"/>
  <c r="J631" i="21"/>
  <c r="R631" i="21" s="1"/>
  <c r="J633" i="21"/>
  <c r="R633" i="21" s="1"/>
  <c r="J634" i="21"/>
  <c r="J616" i="21"/>
  <c r="R616" i="21" s="1"/>
  <c r="J617" i="21"/>
  <c r="J618" i="21"/>
  <c r="R618" i="21" s="1"/>
  <c r="J619" i="21"/>
  <c r="R619" i="21" s="1"/>
  <c r="J621" i="21"/>
  <c r="J604" i="21"/>
  <c r="R604" i="21" s="1"/>
  <c r="J605" i="21"/>
  <c r="R605" i="21" s="1"/>
  <c r="J606" i="21"/>
  <c r="R606" i="21" s="1"/>
  <c r="J607" i="21"/>
  <c r="R607" i="21" s="1"/>
  <c r="J609" i="21"/>
  <c r="J610" i="21"/>
  <c r="R610" i="21" s="1"/>
  <c r="J589" i="21"/>
  <c r="R589" i="21" s="1"/>
  <c r="J590" i="21"/>
  <c r="R590" i="21" s="1"/>
  <c r="J592" i="21"/>
  <c r="R592" i="21" s="1"/>
  <c r="J593" i="21"/>
  <c r="R593" i="21" s="1"/>
  <c r="J594" i="21"/>
  <c r="R594" i="21" s="1"/>
  <c r="J595" i="21"/>
  <c r="J596" i="21"/>
  <c r="R596" i="21" s="1"/>
  <c r="J577" i="21"/>
  <c r="R577" i="21" s="1"/>
  <c r="J578" i="21"/>
  <c r="J580" i="21"/>
  <c r="R580" i="21" s="1"/>
  <c r="J582" i="21"/>
  <c r="J583" i="21"/>
  <c r="R583" i="21" s="1"/>
  <c r="J564" i="21"/>
  <c r="J566" i="21"/>
  <c r="R566" i="21" s="1"/>
  <c r="J567" i="21"/>
  <c r="R567" i="21" s="1"/>
  <c r="J568" i="21"/>
  <c r="R568" i="21" s="1"/>
  <c r="J569" i="21"/>
  <c r="R569" i="21" s="1"/>
  <c r="J570" i="21"/>
  <c r="R570" i="21" s="1"/>
  <c r="J554" i="21"/>
  <c r="R554" i="21" s="1"/>
  <c r="J556" i="21"/>
  <c r="R556" i="21" s="1"/>
  <c r="J557" i="21"/>
  <c r="R557" i="21" s="1"/>
  <c r="J558" i="21"/>
  <c r="R558" i="21" s="1"/>
  <c r="J541" i="21"/>
  <c r="R541" i="21" s="1"/>
  <c r="J542" i="21"/>
  <c r="R542" i="21" s="1"/>
  <c r="J543" i="21"/>
  <c r="R543" i="21" s="1"/>
  <c r="J544" i="21"/>
  <c r="J546" i="21"/>
  <c r="R546" i="21" s="1"/>
  <c r="J547" i="21"/>
  <c r="R547" i="21" s="1"/>
  <c r="J530" i="21"/>
  <c r="R530" i="21" s="1"/>
  <c r="J531" i="21"/>
  <c r="R531" i="21" s="1"/>
  <c r="J532" i="21"/>
  <c r="J533" i="21"/>
  <c r="R533" i="21" s="1"/>
  <c r="J535" i="21"/>
  <c r="R535" i="21" s="1"/>
  <c r="J521" i="21"/>
  <c r="R521" i="21" s="1"/>
  <c r="J522" i="21"/>
  <c r="R522" i="21" s="1"/>
  <c r="J523" i="21"/>
  <c r="R523" i="21" s="1"/>
  <c r="J524" i="21"/>
  <c r="J510" i="21"/>
  <c r="R510" i="21" s="1"/>
  <c r="J511" i="21"/>
  <c r="J512" i="21"/>
  <c r="R512" i="21" s="1"/>
  <c r="J501" i="21"/>
  <c r="R501" i="21" s="1"/>
  <c r="J502" i="21"/>
  <c r="R502" i="21" s="1"/>
  <c r="J503" i="21"/>
  <c r="J504" i="21"/>
  <c r="R504" i="21" s="1"/>
  <c r="J505" i="21"/>
  <c r="R505" i="21" s="1"/>
  <c r="J506" i="21"/>
  <c r="R506" i="21" s="1"/>
  <c r="J493" i="21"/>
  <c r="R493" i="21" s="1"/>
  <c r="J494" i="21"/>
  <c r="R494" i="21" s="1"/>
  <c r="J495" i="21"/>
  <c r="J496" i="21"/>
  <c r="R496" i="21" s="1"/>
  <c r="J482" i="21"/>
  <c r="R482" i="21" s="1"/>
  <c r="J484" i="21"/>
  <c r="R484" i="21" s="1"/>
  <c r="J485" i="21"/>
  <c r="R485" i="21" s="1"/>
  <c r="J486" i="21"/>
  <c r="R486" i="21" s="1"/>
  <c r="J487" i="21"/>
  <c r="J474" i="21"/>
  <c r="R474" i="21" s="1"/>
  <c r="J475" i="21"/>
  <c r="J476" i="21"/>
  <c r="R476" i="21" s="1"/>
  <c r="J477" i="21"/>
  <c r="R477" i="21" s="1"/>
  <c r="J467" i="21"/>
  <c r="R467" i="21" s="1"/>
  <c r="J468" i="21"/>
  <c r="R468" i="21" s="1"/>
  <c r="J469" i="21"/>
  <c r="R469" i="21" s="1"/>
  <c r="J458" i="21"/>
  <c r="J459" i="21"/>
  <c r="R459" i="21" s="1"/>
  <c r="J460" i="21"/>
  <c r="R460" i="21" s="1"/>
  <c r="J461" i="21"/>
  <c r="R461" i="21" s="1"/>
  <c r="J462" i="21"/>
  <c r="J448" i="21"/>
  <c r="R448" i="21" s="1"/>
  <c r="J449" i="21"/>
  <c r="R449" i="21" s="1"/>
  <c r="J450" i="21"/>
  <c r="R450" i="21" s="1"/>
  <c r="J451" i="21"/>
  <c r="R451" i="21" s="1"/>
  <c r="J452" i="21"/>
  <c r="R452" i="21" s="1"/>
  <c r="J438" i="21"/>
  <c r="R438" i="21" s="1"/>
  <c r="J440" i="21"/>
  <c r="R440" i="21" s="1"/>
  <c r="J441" i="21"/>
  <c r="R441" i="21" s="1"/>
  <c r="J442" i="21"/>
  <c r="R442" i="21" s="1"/>
  <c r="J426" i="21"/>
  <c r="R426" i="21" s="1"/>
  <c r="J429" i="21"/>
  <c r="R429" i="21" s="1"/>
  <c r="J430" i="21"/>
  <c r="R430" i="21" s="1"/>
  <c r="J420" i="21"/>
  <c r="R420" i="21" s="1"/>
  <c r="J421" i="21"/>
  <c r="R421" i="21" s="1"/>
  <c r="J419" i="21"/>
  <c r="R419" i="21" s="1"/>
  <c r="J418" i="21"/>
  <c r="J416" i="21"/>
  <c r="R416" i="21" s="1"/>
  <c r="J417" i="21"/>
  <c r="R417" i="21" s="1"/>
  <c r="J408" i="21"/>
  <c r="R408" i="21" s="1"/>
  <c r="J410" i="21"/>
  <c r="J411" i="21"/>
  <c r="R411" i="21" s="1"/>
  <c r="J403" i="21"/>
  <c r="R403" i="21" s="1"/>
  <c r="J402" i="21"/>
  <c r="J398" i="21"/>
  <c r="J399" i="21"/>
  <c r="R399" i="21" s="1"/>
  <c r="J400" i="21"/>
  <c r="J401" i="21"/>
  <c r="R401" i="21" s="1"/>
  <c r="J389" i="21"/>
  <c r="R389" i="21" s="1"/>
  <c r="J390" i="21"/>
  <c r="R390" i="21" s="1"/>
  <c r="J391" i="21"/>
  <c r="R391" i="21" s="1"/>
  <c r="J392" i="21"/>
  <c r="R392" i="21" s="1"/>
  <c r="J393" i="21"/>
  <c r="R393" i="21" s="1"/>
  <c r="J382" i="21"/>
  <c r="R382" i="21" s="1"/>
  <c r="J383" i="21"/>
  <c r="R383" i="21" s="1"/>
  <c r="J384" i="21"/>
  <c r="R384" i="21" s="1"/>
  <c r="J372" i="21"/>
  <c r="J373" i="21"/>
  <c r="R373" i="21" s="1"/>
  <c r="J374" i="21"/>
  <c r="R374" i="21" s="1"/>
  <c r="J375" i="21"/>
  <c r="R375" i="21" s="1"/>
  <c r="J376" i="21"/>
  <c r="J364" i="21"/>
  <c r="R364" i="21" s="1"/>
  <c r="J366" i="21"/>
  <c r="R366" i="21" s="1"/>
  <c r="J367" i="21"/>
  <c r="I363" i="21"/>
  <c r="Q363" i="21" s="1"/>
  <c r="I371" i="21"/>
  <c r="I378" i="21"/>
  <c r="Q378" i="21" s="1"/>
  <c r="I385" i="21"/>
  <c r="Q385" i="21" s="1"/>
  <c r="I394" i="21"/>
  <c r="Q394" i="21" s="1"/>
  <c r="I412" i="21"/>
  <c r="Q412" i="21" s="1"/>
  <c r="I422" i="21"/>
  <c r="I444" i="21"/>
  <c r="Q444" i="21" s="1"/>
  <c r="I454" i="21"/>
  <c r="Q454" i="21" s="1"/>
  <c r="I463" i="21"/>
  <c r="Q463" i="21" s="1"/>
  <c r="I470" i="21"/>
  <c r="Q470" i="21" s="1"/>
  <c r="I478" i="21"/>
  <c r="Q478" i="21" s="1"/>
  <c r="I488" i="21"/>
  <c r="Q488" i="21" s="1"/>
  <c r="I497" i="21"/>
  <c r="Q497" i="21" s="1"/>
  <c r="I526" i="21"/>
  <c r="Q526" i="21" s="1"/>
  <c r="I537" i="21"/>
  <c r="Q537" i="21" s="1"/>
  <c r="I550" i="21"/>
  <c r="Q550" i="21" s="1"/>
  <c r="I560" i="21"/>
  <c r="Q560" i="21" s="1"/>
  <c r="I573" i="21"/>
  <c r="I585" i="21"/>
  <c r="Q585" i="21" s="1"/>
  <c r="I612" i="21"/>
  <c r="Q612" i="21" s="1"/>
  <c r="I625" i="21"/>
  <c r="Q625" i="21" s="1"/>
  <c r="I635" i="21"/>
  <c r="I649" i="21"/>
  <c r="I659" i="21"/>
  <c r="Q659" i="21" s="1"/>
  <c r="I672" i="21"/>
  <c r="Q672" i="21" s="1"/>
  <c r="I682" i="21"/>
  <c r="Q682" i="21" s="1"/>
  <c r="I694" i="21"/>
  <c r="Q694" i="21" s="1"/>
  <c r="I704" i="21"/>
  <c r="Q704" i="21" s="1"/>
  <c r="I718" i="21"/>
  <c r="Q718" i="21" s="1"/>
  <c r="I725" i="21"/>
  <c r="Q725" i="21" s="1"/>
  <c r="I733" i="21"/>
  <c r="Q733" i="21" s="1"/>
  <c r="Q741" i="21"/>
  <c r="I749" i="21"/>
  <c r="Q749" i="21" s="1"/>
  <c r="I757" i="21"/>
  <c r="Q757" i="21" s="1"/>
  <c r="I764" i="21"/>
  <c r="Q764" i="21" s="1"/>
  <c r="I780" i="21"/>
  <c r="Q780" i="21" s="1"/>
  <c r="I794" i="21"/>
  <c r="Q794" i="21" s="1"/>
  <c r="I805" i="21"/>
  <c r="Q805" i="21" s="1"/>
  <c r="I821" i="21"/>
  <c r="I829" i="21"/>
  <c r="I837" i="21"/>
  <c r="Q837" i="21" s="1"/>
  <c r="I844" i="21"/>
  <c r="Q844" i="21" s="1"/>
  <c r="I851" i="21"/>
  <c r="Q851" i="21" s="1"/>
  <c r="I860" i="21"/>
  <c r="I868" i="21"/>
  <c r="I877" i="21"/>
  <c r="I885" i="21"/>
  <c r="Q885" i="21" s="1"/>
  <c r="I893" i="21"/>
  <c r="I901" i="21"/>
  <c r="I909" i="21"/>
  <c r="I917" i="21"/>
  <c r="Q917" i="21" s="1"/>
  <c r="I925" i="21"/>
  <c r="Q925" i="21" s="1"/>
  <c r="I935" i="21"/>
  <c r="Q935" i="21" s="1"/>
  <c r="I945" i="21"/>
  <c r="Q945" i="21" s="1"/>
  <c r="I956" i="21"/>
  <c r="Q956" i="21" s="1"/>
  <c r="I965" i="21"/>
  <c r="Q965" i="21" s="1"/>
  <c r="I975" i="21"/>
  <c r="Q975" i="21" s="1"/>
  <c r="I986" i="21"/>
  <c r="Q986" i="21" s="1"/>
  <c r="I1016" i="21"/>
  <c r="Q1016" i="21" s="1"/>
  <c r="I1035" i="21"/>
  <c r="Q1035" i="21" s="1"/>
  <c r="I1056" i="21"/>
  <c r="I1066" i="21"/>
  <c r="Q1066" i="21" s="1"/>
  <c r="I1077" i="21"/>
  <c r="I1081" i="21"/>
  <c r="I1090" i="21"/>
  <c r="I1101" i="21"/>
  <c r="Q1101" i="21" s="1"/>
  <c r="I1106" i="21"/>
  <c r="Q1106" i="21" s="1"/>
  <c r="Q287" i="21"/>
  <c r="Q288" i="21"/>
  <c r="Q289" i="21"/>
  <c r="Q291" i="21"/>
  <c r="Q292" i="21"/>
  <c r="Q293" i="21"/>
  <c r="Q294" i="21"/>
  <c r="Q296" i="21"/>
  <c r="Q297" i="21"/>
  <c r="Q299" i="21"/>
  <c r="Q300" i="21"/>
  <c r="Q301" i="21"/>
  <c r="Q302" i="21"/>
  <c r="Q304" i="21"/>
  <c r="Q305" i="21"/>
  <c r="Q307" i="21"/>
  <c r="Q308" i="21"/>
  <c r="Q309" i="21"/>
  <c r="Q310" i="21"/>
  <c r="Q311" i="21"/>
  <c r="Q312" i="21"/>
  <c r="Q313" i="21"/>
  <c r="Q314" i="21"/>
  <c r="Q315" i="21"/>
  <c r="Q316" i="21"/>
  <c r="Q317" i="21"/>
  <c r="Q318" i="21"/>
  <c r="Q319" i="21"/>
  <c r="Q320" i="21"/>
  <c r="Q321" i="21"/>
  <c r="Q322" i="21"/>
  <c r="Q323" i="21"/>
  <c r="Q324" i="21"/>
  <c r="Q325" i="21"/>
  <c r="Q326" i="21"/>
  <c r="Q327" i="21"/>
  <c r="Q328" i="21"/>
  <c r="Q329" i="21"/>
  <c r="Q330" i="21"/>
  <c r="Q331" i="21"/>
  <c r="Q332" i="21"/>
  <c r="Q333" i="21"/>
  <c r="Q334" i="21"/>
  <c r="Q335" i="21"/>
  <c r="Q336" i="21"/>
  <c r="Q337" i="21"/>
  <c r="Q338" i="21"/>
  <c r="Q339" i="21"/>
  <c r="Q340" i="21"/>
  <c r="Q341" i="21"/>
  <c r="Q342" i="21"/>
  <c r="Q343" i="21"/>
  <c r="Q344" i="21"/>
  <c r="Q345" i="21"/>
  <c r="Q346" i="21"/>
  <c r="Q347" i="21"/>
  <c r="Q348" i="21"/>
  <c r="Q349" i="21"/>
  <c r="Q350" i="21"/>
  <c r="N350" i="21"/>
  <c r="R350" i="21" s="1"/>
  <c r="N349" i="21"/>
  <c r="R349" i="21" s="1"/>
  <c r="N344" i="21"/>
  <c r="R344" i="21" s="1"/>
  <c r="N345" i="21"/>
  <c r="R345" i="21" s="1"/>
  <c r="N346" i="21"/>
  <c r="R346" i="21" s="1"/>
  <c r="N348" i="21"/>
  <c r="R348" i="21" s="1"/>
  <c r="N343" i="21"/>
  <c r="R343" i="21" s="1"/>
  <c r="N337" i="21"/>
  <c r="R337" i="21" s="1"/>
  <c r="N338" i="21"/>
  <c r="R338" i="21" s="1"/>
  <c r="N339" i="21"/>
  <c r="R339" i="21" s="1"/>
  <c r="N342" i="21"/>
  <c r="R342" i="21" s="1"/>
  <c r="N325" i="21"/>
  <c r="R325" i="21" s="1"/>
  <c r="N326" i="21"/>
  <c r="R326" i="21" s="1"/>
  <c r="N328" i="21"/>
  <c r="R328" i="21" s="1"/>
  <c r="N329" i="21"/>
  <c r="R329" i="21" s="1"/>
  <c r="N332" i="21"/>
  <c r="R332" i="21" s="1"/>
  <c r="N333" i="21"/>
  <c r="R333" i="21" s="1"/>
  <c r="N335" i="21"/>
  <c r="R335" i="21" s="1"/>
  <c r="N323" i="21"/>
  <c r="R323" i="21" s="1"/>
  <c r="N308" i="21"/>
  <c r="R308" i="21" s="1"/>
  <c r="N310" i="21"/>
  <c r="R310" i="21" s="1"/>
  <c r="N311" i="21"/>
  <c r="R311" i="21" s="1"/>
  <c r="N315" i="21"/>
  <c r="R315" i="21" s="1"/>
  <c r="N316" i="21"/>
  <c r="R316" i="21" s="1"/>
  <c r="N318" i="21"/>
  <c r="R318" i="21" s="1"/>
  <c r="N321" i="21"/>
  <c r="R321" i="21" s="1"/>
  <c r="N322" i="21"/>
  <c r="R322" i="21" s="1"/>
  <c r="M306" i="21"/>
  <c r="Q306" i="21" s="1"/>
  <c r="N305" i="21"/>
  <c r="R305" i="21" s="1"/>
  <c r="M290" i="21"/>
  <c r="J301" i="21"/>
  <c r="R301" i="21" s="1"/>
  <c r="J300" i="21"/>
  <c r="R300" i="21" s="1"/>
  <c r="J299" i="21"/>
  <c r="R299" i="21" s="1"/>
  <c r="I298" i="21"/>
  <c r="J297" i="21"/>
  <c r="R297" i="21" s="1"/>
  <c r="J296" i="21"/>
  <c r="R296" i="21" s="1"/>
  <c r="J293" i="21"/>
  <c r="R293" i="21" s="1"/>
  <c r="I286" i="21"/>
  <c r="Q286" i="21" s="1"/>
  <c r="Q239" i="21"/>
  <c r="Q240" i="21"/>
  <c r="Q242" i="21"/>
  <c r="Q243" i="21"/>
  <c r="Q244" i="21"/>
  <c r="Q245" i="21"/>
  <c r="Q246" i="21"/>
  <c r="Q247" i="21"/>
  <c r="Q248" i="21"/>
  <c r="Q249" i="21"/>
  <c r="Q252" i="21"/>
  <c r="Q253" i="21"/>
  <c r="Q255" i="21"/>
  <c r="Q256" i="21"/>
  <c r="Q258" i="21"/>
  <c r="Q259" i="21"/>
  <c r="Q260" i="21"/>
  <c r="Q261" i="21"/>
  <c r="Q263" i="21"/>
  <c r="Q264" i="21"/>
  <c r="Q266" i="21"/>
  <c r="Q267" i="21"/>
  <c r="Q269" i="21"/>
  <c r="Q271" i="21"/>
  <c r="Q272" i="21"/>
  <c r="Q273" i="21"/>
  <c r="Q274" i="21"/>
  <c r="Q275" i="21"/>
  <c r="Q276" i="21"/>
  <c r="Q277" i="21"/>
  <c r="N270" i="21"/>
  <c r="M268" i="21"/>
  <c r="M265" i="21"/>
  <c r="N264" i="21"/>
  <c r="R264" i="21" s="1"/>
  <c r="M250" i="21"/>
  <c r="N238" i="21"/>
  <c r="M238" i="21"/>
  <c r="J277" i="21"/>
  <c r="R277" i="21" s="1"/>
  <c r="J276" i="21"/>
  <c r="R276" i="21" s="1"/>
  <c r="J275" i="21"/>
  <c r="R275" i="21" s="1"/>
  <c r="J274" i="21"/>
  <c r="R274" i="21" s="1"/>
  <c r="J273" i="21"/>
  <c r="R273" i="21" s="1"/>
  <c r="J272" i="21"/>
  <c r="R272" i="21" s="1"/>
  <c r="J271" i="21"/>
  <c r="R271" i="21" s="1"/>
  <c r="I270" i="21"/>
  <c r="Q270" i="21" s="1"/>
  <c r="J269" i="21"/>
  <c r="R269" i="21" s="1"/>
  <c r="I268" i="21"/>
  <c r="J267" i="21"/>
  <c r="J266" i="21"/>
  <c r="R266" i="21" s="1"/>
  <c r="I265" i="21"/>
  <c r="J263" i="21"/>
  <c r="J262" i="21"/>
  <c r="J260" i="21"/>
  <c r="R260" i="21" s="1"/>
  <c r="I257" i="21"/>
  <c r="J256" i="21"/>
  <c r="R256" i="21" s="1"/>
  <c r="J255" i="21"/>
  <c r="R255" i="21" s="1"/>
  <c r="I251" i="21"/>
  <c r="Q251" i="21" s="1"/>
  <c r="J247" i="21"/>
  <c r="R247" i="21" s="1"/>
  <c r="J246" i="21"/>
  <c r="R246" i="21" s="1"/>
  <c r="J245" i="21"/>
  <c r="R245" i="21" s="1"/>
  <c r="J243" i="21"/>
  <c r="R243" i="21" s="1"/>
  <c r="I241" i="21"/>
  <c r="J240" i="21"/>
  <c r="R240" i="21" s="1"/>
  <c r="Q165" i="21"/>
  <c r="Q166" i="21"/>
  <c r="Q167" i="21"/>
  <c r="Q169" i="21"/>
  <c r="Q170" i="21"/>
  <c r="Q172" i="21"/>
  <c r="Q173" i="21"/>
  <c r="Q174" i="21"/>
  <c r="Q175" i="21"/>
  <c r="Q176" i="21"/>
  <c r="Q177" i="21"/>
  <c r="Q179" i="21"/>
  <c r="Q180" i="21"/>
  <c r="Q182" i="21"/>
  <c r="Q183" i="21"/>
  <c r="Q184" i="21"/>
  <c r="Q185" i="21"/>
  <c r="Q186" i="21"/>
  <c r="Q187" i="21"/>
  <c r="Q190" i="21"/>
  <c r="Q191" i="21"/>
  <c r="Q193" i="21"/>
  <c r="Q194" i="21"/>
  <c r="Q195" i="21"/>
  <c r="Q196" i="21"/>
  <c r="Q197" i="21"/>
  <c r="Q200" i="21"/>
  <c r="Q201" i="21"/>
  <c r="Q203" i="21"/>
  <c r="Q204" i="21"/>
  <c r="Q205" i="21"/>
  <c r="Q206" i="21"/>
  <c r="Q207" i="21"/>
  <c r="Q208" i="21"/>
  <c r="Q210" i="21"/>
  <c r="Q211" i="21"/>
  <c r="Q212" i="21"/>
  <c r="Q213" i="21"/>
  <c r="Q214" i="21"/>
  <c r="Q215" i="21"/>
  <c r="Q216" i="21"/>
  <c r="Q217" i="21"/>
  <c r="Q218" i="21"/>
  <c r="Q219" i="21"/>
  <c r="Q222" i="21"/>
  <c r="Q223" i="21"/>
  <c r="Q225" i="21"/>
  <c r="Q226" i="21"/>
  <c r="Q227" i="21"/>
  <c r="Q228" i="21"/>
  <c r="Q229" i="21"/>
  <c r="Q230" i="21"/>
  <c r="N230" i="21"/>
  <c r="R230" i="21" s="1"/>
  <c r="N229" i="21"/>
  <c r="R229" i="21" s="1"/>
  <c r="N219" i="21"/>
  <c r="R219" i="21" s="1"/>
  <c r="N215" i="21"/>
  <c r="N217" i="21"/>
  <c r="N214" i="21"/>
  <c r="N208" i="21"/>
  <c r="N188" i="21"/>
  <c r="N178" i="21"/>
  <c r="N168" i="21"/>
  <c r="N164" i="21"/>
  <c r="M198" i="21"/>
  <c r="M209" i="21"/>
  <c r="M220" i="21"/>
  <c r="J223" i="21"/>
  <c r="R223" i="21" s="1"/>
  <c r="J225" i="21"/>
  <c r="R225" i="21" s="1"/>
  <c r="J226" i="21"/>
  <c r="R226" i="21" s="1"/>
  <c r="J227" i="21"/>
  <c r="R227" i="21" s="1"/>
  <c r="J228" i="21"/>
  <c r="R228" i="21" s="1"/>
  <c r="J222" i="21"/>
  <c r="R222" i="21" s="1"/>
  <c r="J211" i="21"/>
  <c r="R211" i="21" s="1"/>
  <c r="J212" i="21"/>
  <c r="R212" i="21" s="1"/>
  <c r="J213" i="21"/>
  <c r="R213" i="21" s="1"/>
  <c r="J214" i="21"/>
  <c r="J215" i="21"/>
  <c r="J216" i="21"/>
  <c r="J217" i="21"/>
  <c r="J210" i="21"/>
  <c r="R210" i="21" s="1"/>
  <c r="J201" i="21"/>
  <c r="J203" i="21"/>
  <c r="J205" i="21"/>
  <c r="J207" i="21"/>
  <c r="J208" i="21"/>
  <c r="J200" i="21"/>
  <c r="R200" i="21" s="1"/>
  <c r="J191" i="21"/>
  <c r="R191" i="21" s="1"/>
  <c r="J193" i="21"/>
  <c r="R193" i="21" s="1"/>
  <c r="J194" i="21"/>
  <c r="R194" i="21" s="1"/>
  <c r="J196" i="21"/>
  <c r="R196" i="21" s="1"/>
  <c r="J197" i="21"/>
  <c r="R197" i="21" s="1"/>
  <c r="J190" i="21"/>
  <c r="R190" i="21" s="1"/>
  <c r="J180" i="21"/>
  <c r="R180" i="21" s="1"/>
  <c r="J182" i="21"/>
  <c r="R182" i="21" s="1"/>
  <c r="J183" i="21"/>
  <c r="R183" i="21" s="1"/>
  <c r="J184" i="21"/>
  <c r="R184" i="21" s="1"/>
  <c r="J185" i="21"/>
  <c r="R185" i="21" s="1"/>
  <c r="J179" i="21"/>
  <c r="R179" i="21" s="1"/>
  <c r="J175" i="21"/>
  <c r="R175" i="21" s="1"/>
  <c r="J177" i="21"/>
  <c r="R177" i="21" s="1"/>
  <c r="J166" i="21"/>
  <c r="R166" i="21" s="1"/>
  <c r="J167" i="21"/>
  <c r="J165" i="21"/>
  <c r="R165" i="21" s="1"/>
  <c r="I164" i="21"/>
  <c r="Q164" i="21" s="1"/>
  <c r="I171" i="21"/>
  <c r="I168" i="21" s="1"/>
  <c r="Q168" i="21" s="1"/>
  <c r="I181" i="21"/>
  <c r="Q181" i="21" s="1"/>
  <c r="I192" i="21"/>
  <c r="I189" i="21" s="1"/>
  <c r="I188" i="21" s="1"/>
  <c r="Q188" i="21" s="1"/>
  <c r="I202" i="21"/>
  <c r="I199" i="21" s="1"/>
  <c r="I198" i="21" s="1"/>
  <c r="Q198" i="21" s="1"/>
  <c r="I209" i="21"/>
  <c r="I224" i="21"/>
  <c r="I221" i="21" s="1"/>
  <c r="I220" i="21" s="1"/>
  <c r="Q220" i="21" s="1"/>
  <c r="Q95" i="21"/>
  <c r="Q96" i="21"/>
  <c r="Q97" i="21"/>
  <c r="Q100" i="21"/>
  <c r="Q102" i="21"/>
  <c r="Q103" i="21"/>
  <c r="Q104" i="21"/>
  <c r="Q106" i="21"/>
  <c r="Q107" i="21"/>
  <c r="Q108" i="21"/>
  <c r="Q110" i="21"/>
  <c r="Q111" i="21"/>
  <c r="Q112" i="21"/>
  <c r="Q114" i="21"/>
  <c r="Q115" i="21"/>
  <c r="Q116" i="21"/>
  <c r="Q117" i="21"/>
  <c r="Q118" i="21"/>
  <c r="Q119" i="21"/>
  <c r="Q122" i="21"/>
  <c r="Q123" i="21"/>
  <c r="Q125" i="21"/>
  <c r="Q126" i="21"/>
  <c r="Q127" i="21"/>
  <c r="Q128" i="21"/>
  <c r="Q129" i="21"/>
  <c r="Q130" i="21"/>
  <c r="Q131" i="21"/>
  <c r="Q133" i="21"/>
  <c r="Q134" i="21"/>
  <c r="Q136" i="21"/>
  <c r="Q137" i="21"/>
  <c r="Q138" i="21"/>
  <c r="Q139" i="21"/>
  <c r="Q140" i="21"/>
  <c r="Q141" i="21"/>
  <c r="Q143" i="21"/>
  <c r="Q144" i="21"/>
  <c r="Q146" i="21"/>
  <c r="Q147" i="21"/>
  <c r="Q148" i="21"/>
  <c r="Q150" i="21"/>
  <c r="Q151" i="21"/>
  <c r="Q153" i="21"/>
  <c r="Q154" i="21"/>
  <c r="Q155" i="21"/>
  <c r="Q156" i="21"/>
  <c r="N150" i="21"/>
  <c r="N151" i="21"/>
  <c r="N142" i="21"/>
  <c r="N132" i="21"/>
  <c r="N115" i="21"/>
  <c r="N117" i="21"/>
  <c r="N118" i="21"/>
  <c r="N114" i="21"/>
  <c r="N107" i="21"/>
  <c r="N106" i="21"/>
  <c r="N103" i="21"/>
  <c r="N104" i="21"/>
  <c r="N102" i="21"/>
  <c r="N100" i="21"/>
  <c r="N99" i="21"/>
  <c r="J154" i="21"/>
  <c r="J155" i="21"/>
  <c r="R155" i="21" s="1"/>
  <c r="J144" i="21"/>
  <c r="R144" i="21" s="1"/>
  <c r="J143" i="21"/>
  <c r="R143" i="21" s="1"/>
  <c r="J139" i="21"/>
  <c r="J140" i="21"/>
  <c r="R140" i="21" s="1"/>
  <c r="J136" i="21"/>
  <c r="J134" i="21"/>
  <c r="R134" i="21" s="1"/>
  <c r="J133" i="21"/>
  <c r="J126" i="21"/>
  <c r="J127" i="21"/>
  <c r="R127" i="21" s="1"/>
  <c r="J128" i="21"/>
  <c r="R128" i="21" s="1"/>
  <c r="J129" i="21"/>
  <c r="R129" i="21" s="1"/>
  <c r="J130" i="21"/>
  <c r="J131" i="21"/>
  <c r="R131" i="21" s="1"/>
  <c r="J125" i="21"/>
  <c r="R125" i="21" s="1"/>
  <c r="J123" i="21"/>
  <c r="R123" i="21" s="1"/>
  <c r="J122" i="21"/>
  <c r="J115" i="21"/>
  <c r="J116" i="21"/>
  <c r="J117" i="21"/>
  <c r="J118" i="21"/>
  <c r="J119" i="21"/>
  <c r="J120" i="21"/>
  <c r="J114" i="21"/>
  <c r="J111" i="21"/>
  <c r="R111" i="21" s="1"/>
  <c r="J112" i="21"/>
  <c r="R112" i="21" s="1"/>
  <c r="J110" i="21"/>
  <c r="R110" i="21" s="1"/>
  <c r="J108" i="21"/>
  <c r="J106" i="21"/>
  <c r="J103" i="21"/>
  <c r="J104" i="21"/>
  <c r="J102" i="21"/>
  <c r="J100" i="21"/>
  <c r="J96" i="21"/>
  <c r="R96" i="21" s="1"/>
  <c r="J95" i="21"/>
  <c r="R95" i="21" s="1"/>
  <c r="M94" i="21"/>
  <c r="M101" i="21"/>
  <c r="M105" i="21"/>
  <c r="M109" i="21"/>
  <c r="M113" i="21"/>
  <c r="M145" i="21"/>
  <c r="M152" i="21"/>
  <c r="I94" i="21"/>
  <c r="I99" i="21"/>
  <c r="Q99" i="21" s="1"/>
  <c r="I101" i="21"/>
  <c r="Q101" i="21" s="1"/>
  <c r="I105" i="21"/>
  <c r="Q105" i="21" s="1"/>
  <c r="I109" i="21"/>
  <c r="Q109" i="21" s="1"/>
  <c r="I124" i="21"/>
  <c r="I121" i="21" s="1"/>
  <c r="I113" i="21" s="1"/>
  <c r="Q113" i="21" s="1"/>
  <c r="I135" i="21"/>
  <c r="I132" i="21" s="1"/>
  <c r="Q132" i="21" s="1"/>
  <c r="I142" i="21"/>
  <c r="Q142" i="21" s="1"/>
  <c r="I145" i="21"/>
  <c r="I152" i="21"/>
  <c r="J86" i="21"/>
  <c r="J85" i="21"/>
  <c r="J81" i="21"/>
  <c r="J83" i="21"/>
  <c r="R83" i="21" s="1"/>
  <c r="Q80" i="21"/>
  <c r="Q81" i="21"/>
  <c r="Q82" i="21"/>
  <c r="Q83" i="21"/>
  <c r="Q85" i="21"/>
  <c r="Q86" i="21"/>
  <c r="M78" i="21"/>
  <c r="H7" i="15" s="1"/>
  <c r="N78" i="21"/>
  <c r="I79" i="21"/>
  <c r="I84" i="21"/>
  <c r="Q84" i="21" s="1"/>
  <c r="R58" i="21"/>
  <c r="Q8" i="21"/>
  <c r="Q9" i="21"/>
  <c r="Q10" i="21"/>
  <c r="Q11" i="21"/>
  <c r="Q12" i="21"/>
  <c r="Q14" i="21"/>
  <c r="Q16" i="21"/>
  <c r="Q18" i="21"/>
  <c r="Q20" i="21"/>
  <c r="Q21" i="21"/>
  <c r="Q22" i="21"/>
  <c r="Q23" i="21"/>
  <c r="Q24" i="21"/>
  <c r="Q26" i="21"/>
  <c r="Q27" i="21"/>
  <c r="Q28" i="21"/>
  <c r="Q29" i="21"/>
  <c r="Q30" i="21"/>
  <c r="Q31" i="21"/>
  <c r="Q32" i="21"/>
  <c r="Q33" i="21"/>
  <c r="Q34" i="21"/>
  <c r="Q36" i="21"/>
  <c r="Q37" i="21"/>
  <c r="Q38" i="21"/>
  <c r="Q39" i="21"/>
  <c r="Q40" i="21"/>
  <c r="Q41" i="21"/>
  <c r="Q42" i="21"/>
  <c r="Q43" i="21"/>
  <c r="Q44" i="21"/>
  <c r="Q45" i="21"/>
  <c r="Q46" i="21"/>
  <c r="Q47" i="21"/>
  <c r="Q48" i="21"/>
  <c r="Q49" i="21"/>
  <c r="Q50" i="21"/>
  <c r="Q51" i="21"/>
  <c r="Q53" i="21"/>
  <c r="Q54" i="21"/>
  <c r="Q55" i="21"/>
  <c r="Q56" i="21"/>
  <c r="Q57" i="21"/>
  <c r="Q58" i="21"/>
  <c r="Q61" i="21"/>
  <c r="Q62" i="21"/>
  <c r="Q63" i="21"/>
  <c r="Q64" i="21"/>
  <c r="Q65" i="21"/>
  <c r="Q66" i="21"/>
  <c r="Q67" i="21"/>
  <c r="Q68" i="21"/>
  <c r="R68" i="21"/>
  <c r="Q69" i="21"/>
  <c r="Q70" i="21"/>
  <c r="N70" i="21"/>
  <c r="R70" i="21" s="1"/>
  <c r="R69" i="21"/>
  <c r="R67" i="21"/>
  <c r="R66" i="21"/>
  <c r="R65" i="21"/>
  <c r="R64" i="21"/>
  <c r="R63" i="21"/>
  <c r="R62" i="21"/>
  <c r="R61" i="21"/>
  <c r="R57" i="21"/>
  <c r="R56" i="21"/>
  <c r="R55" i="21"/>
  <c r="R54" i="21"/>
  <c r="R53" i="21"/>
  <c r="N52" i="21"/>
  <c r="N51" i="21"/>
  <c r="R51" i="21" s="1"/>
  <c r="N50" i="21"/>
  <c r="R50" i="21" s="1"/>
  <c r="N49" i="21"/>
  <c r="R49" i="21" s="1"/>
  <c r="N48" i="21"/>
  <c r="R48" i="21" s="1"/>
  <c r="N47" i="21"/>
  <c r="R47" i="21" s="1"/>
  <c r="R45" i="21"/>
  <c r="R44" i="21"/>
  <c r="R43" i="21"/>
  <c r="R42" i="21"/>
  <c r="R41" i="21"/>
  <c r="R40" i="21"/>
  <c r="R38" i="21"/>
  <c r="M35" i="21"/>
  <c r="M25" i="21" s="1"/>
  <c r="N34" i="21"/>
  <c r="R34" i="21" s="1"/>
  <c r="N33" i="21"/>
  <c r="R33" i="21" s="1"/>
  <c r="R32" i="21"/>
  <c r="R31" i="21"/>
  <c r="R30" i="21"/>
  <c r="R29" i="21"/>
  <c r="R28" i="21"/>
  <c r="R27" i="21"/>
  <c r="R24" i="21"/>
  <c r="R23" i="21"/>
  <c r="R21" i="21"/>
  <c r="R20" i="21"/>
  <c r="R18" i="21"/>
  <c r="R16" i="21"/>
  <c r="R14" i="21"/>
  <c r="R12" i="21"/>
  <c r="R10" i="21"/>
  <c r="R9" i="21"/>
  <c r="M6" i="21"/>
  <c r="I7" i="21"/>
  <c r="Q7" i="21" s="1"/>
  <c r="I13" i="21"/>
  <c r="Q13" i="21" s="1"/>
  <c r="I15" i="21"/>
  <c r="Q15" i="21" s="1"/>
  <c r="I17" i="21"/>
  <c r="Q17" i="21" s="1"/>
  <c r="I19" i="21"/>
  <c r="Q19" i="21" s="1"/>
  <c r="I25" i="21"/>
  <c r="I35" i="21"/>
  <c r="I52" i="21"/>
  <c r="Q52" i="21" s="1"/>
  <c r="I60" i="21"/>
  <c r="I59" i="21" s="1"/>
  <c r="Q59" i="21" s="1"/>
  <c r="P1488" i="21"/>
  <c r="H1487" i="21"/>
  <c r="P1486" i="21"/>
  <c r="P1485" i="21"/>
  <c r="P1484" i="21"/>
  <c r="H1483" i="21"/>
  <c r="J1483" i="21" s="1"/>
  <c r="R1483" i="21" s="1"/>
  <c r="P1482" i="21"/>
  <c r="H1481" i="21"/>
  <c r="H1480" i="21"/>
  <c r="L1476" i="21"/>
  <c r="P1477" i="21"/>
  <c r="B1477" i="21"/>
  <c r="B1478" i="21" s="1"/>
  <c r="B1479" i="21" s="1"/>
  <c r="B1480" i="21" s="1"/>
  <c r="B1481" i="21" s="1"/>
  <c r="B1482" i="21" s="1"/>
  <c r="B1483" i="21" s="1"/>
  <c r="B1484" i="21" s="1"/>
  <c r="B1485" i="21" s="1"/>
  <c r="B1486" i="21" s="1"/>
  <c r="B1487" i="21" s="1"/>
  <c r="B1488" i="21" s="1"/>
  <c r="P1468" i="21"/>
  <c r="H1462" i="21"/>
  <c r="J1462" i="21" s="1"/>
  <c r="R1462" i="21" s="1"/>
  <c r="H1455" i="21"/>
  <c r="J1455" i="21" s="1"/>
  <c r="R1455" i="21" s="1"/>
  <c r="H1447" i="21"/>
  <c r="J1447" i="21" s="1"/>
  <c r="R1447" i="21" s="1"/>
  <c r="H1446" i="21"/>
  <c r="J1446" i="21" s="1"/>
  <c r="R1446" i="21" s="1"/>
  <c r="H1441" i="21"/>
  <c r="H1434" i="21"/>
  <c r="J1434" i="21" s="1"/>
  <c r="R1434" i="21" s="1"/>
  <c r="H1420" i="21"/>
  <c r="H1418" i="21"/>
  <c r="J1418" i="21" s="1"/>
  <c r="R1418" i="21" s="1"/>
  <c r="H1404" i="21"/>
  <c r="J1404" i="21" s="1"/>
  <c r="R1404" i="21" s="1"/>
  <c r="H1403" i="21"/>
  <c r="H1390" i="21"/>
  <c r="H1379" i="21"/>
  <c r="J1379" i="21" s="1"/>
  <c r="R1379" i="21" s="1"/>
  <c r="H1369" i="21"/>
  <c r="H1362" i="21"/>
  <c r="J1362" i="21" s="1"/>
  <c r="R1362" i="21" s="1"/>
  <c r="H1349" i="21"/>
  <c r="J1349" i="21" s="1"/>
  <c r="R1349" i="21" s="1"/>
  <c r="H1343" i="21"/>
  <c r="H1337" i="21"/>
  <c r="J1337" i="21" s="1"/>
  <c r="R1337" i="21" s="1"/>
  <c r="B1333" i="21"/>
  <c r="B1334" i="21" s="1"/>
  <c r="B1335" i="21" s="1"/>
  <c r="B1336" i="21" s="1"/>
  <c r="B1337" i="21" s="1"/>
  <c r="B1338" i="21" s="1"/>
  <c r="B1339" i="21" s="1"/>
  <c r="B1340" i="21" s="1"/>
  <c r="B1341" i="21" s="1"/>
  <c r="B1342" i="21" s="1"/>
  <c r="B1343" i="21" s="1"/>
  <c r="B1344" i="21" s="1"/>
  <c r="B1345" i="21" s="1"/>
  <c r="B1346" i="21" s="1"/>
  <c r="B1347" i="21" s="1"/>
  <c r="B1348" i="21" s="1"/>
  <c r="B1349" i="21" s="1"/>
  <c r="B1350" i="21" s="1"/>
  <c r="B1351" i="21" s="1"/>
  <c r="B1352" i="21" s="1"/>
  <c r="B1353" i="21" s="1"/>
  <c r="B1354" i="21" s="1"/>
  <c r="B1355" i="21" s="1"/>
  <c r="B1356" i="21" s="1"/>
  <c r="B1357" i="21" s="1"/>
  <c r="B1358" i="21" s="1"/>
  <c r="B1359" i="21" s="1"/>
  <c r="B1360" i="21" s="1"/>
  <c r="B1361" i="21" s="1"/>
  <c r="B1362" i="21" s="1"/>
  <c r="B1363" i="21" s="1"/>
  <c r="B1364" i="21" s="1"/>
  <c r="B1365" i="21" s="1"/>
  <c r="B1366" i="21" s="1"/>
  <c r="B1367" i="21" s="1"/>
  <c r="B1368" i="21" s="1"/>
  <c r="B1369" i="21" s="1"/>
  <c r="B1370" i="21" s="1"/>
  <c r="B1371" i="21" s="1"/>
  <c r="B1372" i="21" s="1"/>
  <c r="B1373" i="21" s="1"/>
  <c r="B1374" i="21" s="1"/>
  <c r="B1375" i="21" s="1"/>
  <c r="B1376" i="21" s="1"/>
  <c r="B1377" i="21" s="1"/>
  <c r="B1378" i="21" s="1"/>
  <c r="B1379" i="21" s="1"/>
  <c r="B1380" i="21" s="1"/>
  <c r="B1381" i="21" s="1"/>
  <c r="B1382" i="21" s="1"/>
  <c r="B1383" i="21" s="1"/>
  <c r="B1384" i="21" s="1"/>
  <c r="B1385" i="21" s="1"/>
  <c r="B1386" i="21" s="1"/>
  <c r="B1387" i="21" s="1"/>
  <c r="B1388" i="21" s="1"/>
  <c r="B1389" i="21" s="1"/>
  <c r="B1390" i="21" s="1"/>
  <c r="B1391" i="21" s="1"/>
  <c r="B1392" i="21" s="1"/>
  <c r="B1393" i="21" s="1"/>
  <c r="B1394" i="21" s="1"/>
  <c r="B1395" i="21" s="1"/>
  <c r="B1396" i="21" s="1"/>
  <c r="B1397" i="21" s="1"/>
  <c r="B1398" i="21" s="1"/>
  <c r="B1399" i="21" s="1"/>
  <c r="B1400" i="21" s="1"/>
  <c r="B1401" i="21" s="1"/>
  <c r="B1402" i="21" s="1"/>
  <c r="B1403" i="21" s="1"/>
  <c r="B1404" i="21" s="1"/>
  <c r="B1405" i="21" s="1"/>
  <c r="B1406" i="21" s="1"/>
  <c r="B1407" i="21" s="1"/>
  <c r="B1408" i="21" s="1"/>
  <c r="B1409" i="21" s="1"/>
  <c r="B1410" i="21" s="1"/>
  <c r="B1411" i="21" s="1"/>
  <c r="B1412" i="21" s="1"/>
  <c r="B1413" i="21" s="1"/>
  <c r="B1414" i="21" s="1"/>
  <c r="B1415" i="21" s="1"/>
  <c r="B1416" i="21" s="1"/>
  <c r="B1417" i="21" s="1"/>
  <c r="B1418" i="21" s="1"/>
  <c r="B1419" i="21" s="1"/>
  <c r="B1420" i="21" s="1"/>
  <c r="B1421" i="21" s="1"/>
  <c r="B1422" i="21" s="1"/>
  <c r="B1423" i="21" s="1"/>
  <c r="B1424" i="21" s="1"/>
  <c r="B1425" i="21" s="1"/>
  <c r="B1426" i="21" s="1"/>
  <c r="B1427" i="21" s="1"/>
  <c r="B1428" i="21" s="1"/>
  <c r="B1429" i="21" s="1"/>
  <c r="B1430" i="21" s="1"/>
  <c r="B1431" i="21" s="1"/>
  <c r="B1432" i="21" s="1"/>
  <c r="B1433" i="21" s="1"/>
  <c r="B1434" i="21" s="1"/>
  <c r="B1435" i="21" s="1"/>
  <c r="B1436" i="21" s="1"/>
  <c r="B1437" i="21" s="1"/>
  <c r="B1438" i="21" s="1"/>
  <c r="B1439" i="21" s="1"/>
  <c r="B1440" i="21" s="1"/>
  <c r="B1441" i="21" s="1"/>
  <c r="B1442" i="21" s="1"/>
  <c r="B1443" i="21" s="1"/>
  <c r="B1444" i="21" s="1"/>
  <c r="B1445" i="21" s="1"/>
  <c r="B1446" i="21" s="1"/>
  <c r="B1447" i="21" s="1"/>
  <c r="B1449" i="21" s="1"/>
  <c r="B1450" i="21" s="1"/>
  <c r="B1451" i="21" s="1"/>
  <c r="B1452" i="21" s="1"/>
  <c r="B1453" i="21" s="1"/>
  <c r="B1454" i="21" s="1"/>
  <c r="B1455" i="21" s="1"/>
  <c r="B1456" i="21" s="1"/>
  <c r="B1457" i="21" s="1"/>
  <c r="B1458" i="21" s="1"/>
  <c r="B1459" i="21" s="1"/>
  <c r="B1460" i="21" s="1"/>
  <c r="B1461" i="21" s="1"/>
  <c r="B1462" i="21" s="1"/>
  <c r="B1463" i="21" s="1"/>
  <c r="B1464" i="21" s="1"/>
  <c r="B1465" i="21" s="1"/>
  <c r="B1466" i="21" s="1"/>
  <c r="B1467" i="21" s="1"/>
  <c r="B1468" i="21" s="1"/>
  <c r="H1325" i="21"/>
  <c r="J1325" i="21" s="1"/>
  <c r="H1324" i="21"/>
  <c r="J1324" i="21" s="1"/>
  <c r="R1324" i="21" s="1"/>
  <c r="H1323" i="21"/>
  <c r="J1323" i="21" s="1"/>
  <c r="R1323" i="21" s="1"/>
  <c r="H1322" i="21"/>
  <c r="J1322" i="21" s="1"/>
  <c r="R1322" i="21" s="1"/>
  <c r="H1321" i="21"/>
  <c r="J1321" i="21" s="1"/>
  <c r="H1320" i="21"/>
  <c r="J1320" i="21" s="1"/>
  <c r="R1320" i="21" s="1"/>
  <c r="H1319" i="21"/>
  <c r="J1319" i="21" s="1"/>
  <c r="R1319" i="21" s="1"/>
  <c r="H1317" i="21"/>
  <c r="J1317" i="21" s="1"/>
  <c r="R1317" i="21" s="1"/>
  <c r="H1316" i="21"/>
  <c r="J1316" i="21" s="1"/>
  <c r="R1316" i="21" s="1"/>
  <c r="H1312" i="21"/>
  <c r="J1312" i="21" s="1"/>
  <c r="H1304" i="21"/>
  <c r="J1304" i="21" s="1"/>
  <c r="H1297" i="21"/>
  <c r="H1293" i="21"/>
  <c r="J1293" i="21" s="1"/>
  <c r="H1291" i="21"/>
  <c r="J1291" i="21" s="1"/>
  <c r="R1291" i="21" s="1"/>
  <c r="H1290" i="21"/>
  <c r="J1290" i="21" s="1"/>
  <c r="H1289" i="21"/>
  <c r="J1289" i="21" s="1"/>
  <c r="R1289" i="21" s="1"/>
  <c r="H1288" i="21"/>
  <c r="J1288" i="21" s="1"/>
  <c r="R1288" i="21" s="1"/>
  <c r="P1283" i="21"/>
  <c r="H1280" i="21"/>
  <c r="J1280" i="21" s="1"/>
  <c r="R1280" i="21" s="1"/>
  <c r="H1278" i="21"/>
  <c r="J1278" i="21" s="1"/>
  <c r="R1278" i="21" s="1"/>
  <c r="H1277" i="21"/>
  <c r="J1277" i="21" s="1"/>
  <c r="H1276" i="21"/>
  <c r="J1276" i="21" s="1"/>
  <c r="R1276" i="21" s="1"/>
  <c r="H1274" i="21"/>
  <c r="J1274" i="21" s="1"/>
  <c r="R1274" i="21" s="1"/>
  <c r="H1273" i="21"/>
  <c r="J1273" i="21" s="1"/>
  <c r="H1271" i="21"/>
  <c r="J1271" i="21" s="1"/>
  <c r="R1271" i="21" s="1"/>
  <c r="H1270" i="21"/>
  <c r="J1270" i="21" s="1"/>
  <c r="R1270" i="21" s="1"/>
  <c r="H1263" i="21"/>
  <c r="J1263" i="21" s="1"/>
  <c r="R1263" i="21" s="1"/>
  <c r="H1262" i="21"/>
  <c r="J1262" i="21" s="1"/>
  <c r="R1262" i="21" s="1"/>
  <c r="H1259" i="21"/>
  <c r="J1259" i="21" s="1"/>
  <c r="R1259" i="21" s="1"/>
  <c r="B1252" i="21"/>
  <c r="B1253" i="21" s="1"/>
  <c r="B1254" i="21" s="1"/>
  <c r="B1255" i="21" s="1"/>
  <c r="B1256" i="21" s="1"/>
  <c r="B1257" i="21" s="1"/>
  <c r="B1258" i="21" s="1"/>
  <c r="B1259" i="21" s="1"/>
  <c r="B1260" i="21" s="1"/>
  <c r="B1261" i="21" s="1"/>
  <c r="B1262" i="21" s="1"/>
  <c r="B1263" i="21" s="1"/>
  <c r="B1264" i="21" s="1"/>
  <c r="B1265" i="21" s="1"/>
  <c r="B1266" i="21" s="1"/>
  <c r="B1267" i="21" s="1"/>
  <c r="B1268" i="21" s="1"/>
  <c r="B1269" i="21" s="1"/>
  <c r="B1270" i="21" s="1"/>
  <c r="B1271" i="21" s="1"/>
  <c r="B1272" i="21" s="1"/>
  <c r="B1273" i="21" s="1"/>
  <c r="B1274" i="21" s="1"/>
  <c r="B1275" i="21" s="1"/>
  <c r="B1276" i="21" s="1"/>
  <c r="B1277" i="21" s="1"/>
  <c r="B1278" i="21" s="1"/>
  <c r="B1279" i="21" s="1"/>
  <c r="B1280" i="21" s="1"/>
  <c r="B1281" i="21" s="1"/>
  <c r="B1282" i="21" s="1"/>
  <c r="B1283" i="21" s="1"/>
  <c r="B1284" i="21" s="1"/>
  <c r="B1285" i="21" s="1"/>
  <c r="B1286" i="21" s="1"/>
  <c r="B1287" i="21" s="1"/>
  <c r="B1288" i="21" s="1"/>
  <c r="B1289" i="21" s="1"/>
  <c r="B1290" i="21" s="1"/>
  <c r="B1291" i="21" s="1"/>
  <c r="B1292" i="21" s="1"/>
  <c r="B1293" i="21" s="1"/>
  <c r="B1294" i="21" s="1"/>
  <c r="B1295" i="21" s="1"/>
  <c r="B1296" i="21" s="1"/>
  <c r="B1297" i="21" s="1"/>
  <c r="B1298" i="21" s="1"/>
  <c r="B1299" i="21" s="1"/>
  <c r="B1300" i="21" s="1"/>
  <c r="B1301" i="21" s="1"/>
  <c r="B1302" i="21" s="1"/>
  <c r="B1303" i="21" s="1"/>
  <c r="B1304" i="21" s="1"/>
  <c r="B1305" i="21" s="1"/>
  <c r="B1306" i="21" s="1"/>
  <c r="B1307" i="21" s="1"/>
  <c r="B1308" i="21" s="1"/>
  <c r="B1309" i="21" s="1"/>
  <c r="B1310" i="21" s="1"/>
  <c r="B1311" i="21" s="1"/>
  <c r="B1312" i="21" s="1"/>
  <c r="B1313" i="21" s="1"/>
  <c r="B1314" i="21" s="1"/>
  <c r="B1315" i="21" s="1"/>
  <c r="B1316" i="21" s="1"/>
  <c r="B1317" i="21" s="1"/>
  <c r="B1318" i="21" s="1"/>
  <c r="B1319" i="21" s="1"/>
  <c r="B1320" i="21" s="1"/>
  <c r="B1321" i="21" s="1"/>
  <c r="B1322" i="21" s="1"/>
  <c r="B1323" i="21" s="1"/>
  <c r="B1324" i="21" s="1"/>
  <c r="B1325" i="21" s="1"/>
  <c r="P1244" i="21"/>
  <c r="P1242" i="21"/>
  <c r="P1241" i="21"/>
  <c r="P1240" i="21"/>
  <c r="P1239" i="21"/>
  <c r="P1238" i="21"/>
  <c r="P1237" i="21"/>
  <c r="P1235" i="21"/>
  <c r="H1234" i="21"/>
  <c r="J1234" i="21" s="1"/>
  <c r="R1234" i="21" s="1"/>
  <c r="P1233" i="21"/>
  <c r="P1232" i="21"/>
  <c r="L1230" i="21"/>
  <c r="N1230" i="21" s="1"/>
  <c r="H1229" i="21"/>
  <c r="P1228" i="21"/>
  <c r="H1227" i="21"/>
  <c r="P1226" i="21"/>
  <c r="P1225" i="21"/>
  <c r="P1224" i="21"/>
  <c r="H1223" i="21"/>
  <c r="P1222" i="21"/>
  <c r="P1221" i="21"/>
  <c r="H1220" i="21"/>
  <c r="H1219" i="21"/>
  <c r="H1218" i="21"/>
  <c r="P1217" i="21"/>
  <c r="P1214" i="21"/>
  <c r="P1213" i="21"/>
  <c r="P1212" i="21"/>
  <c r="P1211" i="21"/>
  <c r="P1210" i="21"/>
  <c r="P1209" i="21"/>
  <c r="P1208" i="21"/>
  <c r="P1207" i="21"/>
  <c r="P1206" i="21"/>
  <c r="H1205" i="21"/>
  <c r="P1204" i="21"/>
  <c r="P1202" i="21"/>
  <c r="L1201" i="21"/>
  <c r="B1201" i="21"/>
  <c r="B1202" i="21" s="1"/>
  <c r="B1203" i="21" s="1"/>
  <c r="B1204" i="21" s="1"/>
  <c r="B1205" i="21" s="1"/>
  <c r="B1206" i="21" s="1"/>
  <c r="B1207" i="21" s="1"/>
  <c r="B1208" i="21" s="1"/>
  <c r="B1209" i="21" s="1"/>
  <c r="B1210" i="21" s="1"/>
  <c r="B1211" i="21" s="1"/>
  <c r="B1212" i="21" s="1"/>
  <c r="B1213" i="21" s="1"/>
  <c r="B1214" i="21" s="1"/>
  <c r="B1215" i="21" s="1"/>
  <c r="B1216" i="21" s="1"/>
  <c r="B1217" i="21" s="1"/>
  <c r="B1218" i="21" s="1"/>
  <c r="B1219" i="21" s="1"/>
  <c r="B1220" i="21" s="1"/>
  <c r="B1221" i="21" s="1"/>
  <c r="B1222" i="21" s="1"/>
  <c r="B1223" i="21" s="1"/>
  <c r="B1224" i="21" s="1"/>
  <c r="B1225" i="21" s="1"/>
  <c r="B1226" i="21" s="1"/>
  <c r="B1227" i="21" s="1"/>
  <c r="B1228" i="21" s="1"/>
  <c r="B1229" i="21" s="1"/>
  <c r="B1230" i="21" s="1"/>
  <c r="B1231" i="21" s="1"/>
  <c r="B1232" i="21" s="1"/>
  <c r="B1233" i="21" s="1"/>
  <c r="B1234" i="21" s="1"/>
  <c r="B1235" i="21" s="1"/>
  <c r="B1236" i="21" s="1"/>
  <c r="B1237" i="21" s="1"/>
  <c r="B1238" i="21" s="1"/>
  <c r="B1239" i="21" s="1"/>
  <c r="B1240" i="21" s="1"/>
  <c r="B1241" i="21" s="1"/>
  <c r="B1242" i="21" s="1"/>
  <c r="B1243" i="21" s="1"/>
  <c r="B1244" i="21" s="1"/>
  <c r="P1193" i="21"/>
  <c r="P1192" i="21"/>
  <c r="P1190" i="21"/>
  <c r="P1189" i="21"/>
  <c r="P1188" i="21"/>
  <c r="P1187" i="21"/>
  <c r="P1186" i="21"/>
  <c r="H1185" i="21"/>
  <c r="P1184" i="21"/>
  <c r="P1183" i="21"/>
  <c r="L1181" i="21"/>
  <c r="N1181" i="21" s="1"/>
  <c r="P1179" i="21"/>
  <c r="L1177" i="21"/>
  <c r="H1176" i="21"/>
  <c r="P1174" i="21"/>
  <c r="P1173" i="21"/>
  <c r="P1172" i="21"/>
  <c r="H1171" i="21"/>
  <c r="P1170" i="21"/>
  <c r="P1169" i="21"/>
  <c r="P1167" i="21"/>
  <c r="P1166" i="21"/>
  <c r="L1165" i="21"/>
  <c r="N1165" i="21" s="1"/>
  <c r="P1164" i="21"/>
  <c r="P1161" i="21"/>
  <c r="P1159" i="21"/>
  <c r="P1157" i="21"/>
  <c r="P1156" i="21"/>
  <c r="P1155" i="21"/>
  <c r="P1154" i="21"/>
  <c r="P1153" i="21"/>
  <c r="P1152" i="21"/>
  <c r="H1151" i="21"/>
  <c r="H1148" i="21" s="1"/>
  <c r="H1147" i="21" s="1"/>
  <c r="P1150" i="21"/>
  <c r="P1149" i="21"/>
  <c r="L1147" i="21"/>
  <c r="P1146" i="21"/>
  <c r="P1145" i="21"/>
  <c r="H1144" i="21"/>
  <c r="P1143" i="21"/>
  <c r="P1142" i="21"/>
  <c r="H1141" i="21"/>
  <c r="P1140" i="21"/>
  <c r="P1139" i="21"/>
  <c r="L1138" i="21"/>
  <c r="P1137" i="21"/>
  <c r="P1136" i="21"/>
  <c r="H1135" i="21"/>
  <c r="P1133" i="21"/>
  <c r="P1132" i="21"/>
  <c r="P1131" i="21"/>
  <c r="P1130" i="21"/>
  <c r="P1129" i="21"/>
  <c r="P1128" i="21"/>
  <c r="P1127" i="21"/>
  <c r="P1126" i="21"/>
  <c r="P1125" i="21"/>
  <c r="H1124" i="21"/>
  <c r="P1123" i="21"/>
  <c r="B1123" i="21"/>
  <c r="B1124" i="21" s="1"/>
  <c r="B1125" i="21" s="1"/>
  <c r="B1126" i="21" s="1"/>
  <c r="B1127" i="21" s="1"/>
  <c r="B1128" i="21" s="1"/>
  <c r="B1129" i="21" s="1"/>
  <c r="B1130" i="21" s="1"/>
  <c r="B1131" i="21" s="1"/>
  <c r="B1132" i="21" s="1"/>
  <c r="B1133" i="21" s="1"/>
  <c r="B1134" i="21" s="1"/>
  <c r="B1135" i="21" s="1"/>
  <c r="B1136" i="21" s="1"/>
  <c r="B1137" i="21" s="1"/>
  <c r="B1138" i="21" s="1"/>
  <c r="B1139" i="21" s="1"/>
  <c r="B1140" i="21" s="1"/>
  <c r="B1141" i="21" s="1"/>
  <c r="B1142" i="21" s="1"/>
  <c r="B1143" i="21" s="1"/>
  <c r="B1144" i="21" s="1"/>
  <c r="B1145" i="21" s="1"/>
  <c r="B1146" i="21" s="1"/>
  <c r="B1147" i="21" s="1"/>
  <c r="B1148" i="21" s="1"/>
  <c r="B1149" i="21" s="1"/>
  <c r="B1150" i="21" s="1"/>
  <c r="B1151" i="21" s="1"/>
  <c r="B1152" i="21" s="1"/>
  <c r="B1153" i="21" s="1"/>
  <c r="B1154" i="21" s="1"/>
  <c r="B1155" i="21" s="1"/>
  <c r="B1156" i="21" s="1"/>
  <c r="B1157" i="21" s="1"/>
  <c r="B1158" i="21" s="1"/>
  <c r="B1159" i="21" s="1"/>
  <c r="B1160" i="21" s="1"/>
  <c r="B1161" i="21" s="1"/>
  <c r="B1162" i="21" s="1"/>
  <c r="B1163" i="21" s="1"/>
  <c r="B1164" i="21" s="1"/>
  <c r="B1165" i="21" s="1"/>
  <c r="B1166" i="21" s="1"/>
  <c r="B1167" i="21" s="1"/>
  <c r="B1168" i="21" s="1"/>
  <c r="B1169" i="21" s="1"/>
  <c r="B1170" i="21" s="1"/>
  <c r="B1171" i="21" s="1"/>
  <c r="B1172" i="21" s="1"/>
  <c r="B1173" i="21" s="1"/>
  <c r="B1174" i="21" s="1"/>
  <c r="B1175" i="21" s="1"/>
  <c r="B1176" i="21" s="1"/>
  <c r="B1177" i="21" s="1"/>
  <c r="B1178" i="21" s="1"/>
  <c r="B1179" i="21" s="1"/>
  <c r="B1180" i="21" s="1"/>
  <c r="B1181" i="21" s="1"/>
  <c r="B1182" i="21" s="1"/>
  <c r="B1183" i="21" s="1"/>
  <c r="B1184" i="21" s="1"/>
  <c r="B1185" i="21" s="1"/>
  <c r="B1186" i="21" s="1"/>
  <c r="B1187" i="21" s="1"/>
  <c r="B1188" i="21" s="1"/>
  <c r="B1189" i="21" s="1"/>
  <c r="B1190" i="21" s="1"/>
  <c r="B1191" i="21" s="1"/>
  <c r="B1192" i="21" s="1"/>
  <c r="B1193" i="21" s="1"/>
  <c r="P1115" i="21"/>
  <c r="P1114" i="21"/>
  <c r="P1113" i="21"/>
  <c r="P1112" i="21"/>
  <c r="P1111" i="21"/>
  <c r="P1110" i="21"/>
  <c r="H1109" i="21"/>
  <c r="H1106" i="21" s="1"/>
  <c r="P1108" i="21"/>
  <c r="P1107" i="21"/>
  <c r="P1105" i="21"/>
  <c r="P1104" i="21"/>
  <c r="P1103" i="21"/>
  <c r="P1102" i="21"/>
  <c r="H1101" i="21"/>
  <c r="P1100" i="21"/>
  <c r="H1099" i="21"/>
  <c r="H1093" i="21" s="1"/>
  <c r="P1098" i="21"/>
  <c r="P1097" i="21"/>
  <c r="P1096" i="21"/>
  <c r="P1095" i="21"/>
  <c r="P1094" i="21"/>
  <c r="P1092" i="21"/>
  <c r="H1091" i="21"/>
  <c r="J1091" i="21" s="1"/>
  <c r="P1087" i="21"/>
  <c r="P1086" i="21"/>
  <c r="P1085" i="21"/>
  <c r="P1084" i="21"/>
  <c r="P1082" i="21"/>
  <c r="H1081" i="21"/>
  <c r="P1079" i="21"/>
  <c r="P1078" i="21"/>
  <c r="H1077" i="21"/>
  <c r="L1076" i="21"/>
  <c r="P1074" i="21"/>
  <c r="P1073" i="21"/>
  <c r="H1072" i="21"/>
  <c r="J1072" i="21" s="1"/>
  <c r="R1072" i="21" s="1"/>
  <c r="P1071" i="21"/>
  <c r="P1070" i="21"/>
  <c r="H1068" i="21"/>
  <c r="H1067" i="21"/>
  <c r="P1065" i="21"/>
  <c r="P1064" i="21"/>
  <c r="H1063" i="21"/>
  <c r="H1062" i="21"/>
  <c r="P1061" i="21"/>
  <c r="P1060" i="21"/>
  <c r="H1058" i="21"/>
  <c r="J1058" i="21" s="1"/>
  <c r="R1058" i="21" s="1"/>
  <c r="H1057" i="21"/>
  <c r="L1056" i="21"/>
  <c r="L1055" i="21" s="1"/>
  <c r="P1054" i="21"/>
  <c r="P1053" i="21"/>
  <c r="P1052" i="21"/>
  <c r="P1051" i="21"/>
  <c r="H1050" i="21"/>
  <c r="J1050" i="21" s="1"/>
  <c r="R1050" i="21" s="1"/>
  <c r="H1049" i="21"/>
  <c r="P1048" i="21"/>
  <c r="H1046" i="21"/>
  <c r="J1046" i="21" s="1"/>
  <c r="R1046" i="21" s="1"/>
  <c r="H1045" i="21"/>
  <c r="L1044" i="21"/>
  <c r="P1043" i="21"/>
  <c r="P1042" i="21"/>
  <c r="P1041" i="21"/>
  <c r="P1040" i="21"/>
  <c r="P1039" i="21"/>
  <c r="H1038" i="21"/>
  <c r="H1037" i="21"/>
  <c r="J1037" i="21" s="1"/>
  <c r="R1037" i="21" s="1"/>
  <c r="H1036" i="21"/>
  <c r="L1035" i="21"/>
  <c r="N1035" i="21" s="1"/>
  <c r="P1033" i="21"/>
  <c r="H1032" i="21"/>
  <c r="P1031" i="21"/>
  <c r="H1030" i="21"/>
  <c r="J1030" i="21" s="1"/>
  <c r="R1030" i="21" s="1"/>
  <c r="H1029" i="21"/>
  <c r="J1029" i="21" s="1"/>
  <c r="R1029" i="21" s="1"/>
  <c r="H1027" i="21"/>
  <c r="H1026" i="21"/>
  <c r="P1024" i="21"/>
  <c r="H1023" i="21"/>
  <c r="P1022" i="21"/>
  <c r="H1021" i="21"/>
  <c r="J1021" i="21" s="1"/>
  <c r="R1021" i="21" s="1"/>
  <c r="H1020" i="21"/>
  <c r="J1020" i="21" s="1"/>
  <c r="H1018" i="21"/>
  <c r="H1017" i="21"/>
  <c r="P1014" i="21"/>
  <c r="H1013" i="21"/>
  <c r="P1012" i="21"/>
  <c r="H1011" i="21"/>
  <c r="H1010" i="21"/>
  <c r="J1010" i="21" s="1"/>
  <c r="R1010" i="21" s="1"/>
  <c r="H1008" i="21"/>
  <c r="J1008" i="21" s="1"/>
  <c r="H1007" i="21"/>
  <c r="J1007" i="21" s="1"/>
  <c r="R1007" i="21" s="1"/>
  <c r="P1005" i="21"/>
  <c r="H1004" i="21"/>
  <c r="P1003" i="21"/>
  <c r="H1002" i="21"/>
  <c r="H1001" i="21"/>
  <c r="J1001" i="21" s="1"/>
  <c r="R1001" i="21" s="1"/>
  <c r="H999" i="21"/>
  <c r="J999" i="21" s="1"/>
  <c r="R999" i="21" s="1"/>
  <c r="H998" i="21"/>
  <c r="J998" i="21" s="1"/>
  <c r="R998" i="21" s="1"/>
  <c r="P995" i="21"/>
  <c r="P994" i="21"/>
  <c r="P993" i="21"/>
  <c r="P992" i="21"/>
  <c r="P991" i="21"/>
  <c r="P990" i="21"/>
  <c r="H989" i="21"/>
  <c r="J989" i="21" s="1"/>
  <c r="R989" i="21" s="1"/>
  <c r="H988" i="21"/>
  <c r="J988" i="21" s="1"/>
  <c r="H987" i="21"/>
  <c r="J987" i="21" s="1"/>
  <c r="R987" i="21" s="1"/>
  <c r="P985" i="21"/>
  <c r="P984" i="21"/>
  <c r="P983" i="21"/>
  <c r="P982" i="21"/>
  <c r="P981" i="21"/>
  <c r="P980" i="21"/>
  <c r="P979" i="21"/>
  <c r="H978" i="21"/>
  <c r="H977" i="21"/>
  <c r="H976" i="21"/>
  <c r="J976" i="21" s="1"/>
  <c r="L974" i="21"/>
  <c r="P973" i="21"/>
  <c r="P972" i="21"/>
  <c r="P971" i="21"/>
  <c r="P970" i="21"/>
  <c r="P969" i="21"/>
  <c r="H968" i="21"/>
  <c r="H967" i="21"/>
  <c r="H966" i="21"/>
  <c r="J966" i="21" s="1"/>
  <c r="R966" i="21" s="1"/>
  <c r="P964" i="21"/>
  <c r="P963" i="21"/>
  <c r="P962" i="21"/>
  <c r="P961" i="21"/>
  <c r="P960" i="21"/>
  <c r="H959" i="21"/>
  <c r="H958" i="21"/>
  <c r="H957" i="21"/>
  <c r="J957" i="21" s="1"/>
  <c r="R957" i="21" s="1"/>
  <c r="P954" i="21"/>
  <c r="P953" i="21"/>
  <c r="P952" i="21"/>
  <c r="P951" i="21"/>
  <c r="P950" i="21"/>
  <c r="P949" i="21"/>
  <c r="H948" i="21"/>
  <c r="H947" i="21"/>
  <c r="J947" i="21" s="1"/>
  <c r="H946" i="21"/>
  <c r="J946" i="21" s="1"/>
  <c r="R946" i="21" s="1"/>
  <c r="P944" i="21"/>
  <c r="P943" i="21"/>
  <c r="P942" i="21"/>
  <c r="P941" i="21"/>
  <c r="P940" i="21"/>
  <c r="P939" i="21"/>
  <c r="H938" i="21"/>
  <c r="H937" i="21"/>
  <c r="H936" i="21"/>
  <c r="P932" i="21"/>
  <c r="P931" i="21"/>
  <c r="P930" i="21"/>
  <c r="P929" i="21"/>
  <c r="H928" i="21"/>
  <c r="J928" i="21" s="1"/>
  <c r="R928" i="21" s="1"/>
  <c r="H927" i="21"/>
  <c r="H926" i="21"/>
  <c r="L925" i="21"/>
  <c r="N925" i="21" s="1"/>
  <c r="P924" i="21"/>
  <c r="P923" i="21"/>
  <c r="P922" i="21"/>
  <c r="P921" i="21"/>
  <c r="H920" i="21"/>
  <c r="H919" i="21"/>
  <c r="H918" i="21"/>
  <c r="L916" i="21"/>
  <c r="L909" i="21" s="1"/>
  <c r="P915" i="21"/>
  <c r="P914" i="21"/>
  <c r="P913" i="21"/>
  <c r="H912" i="21"/>
  <c r="J912" i="21" s="1"/>
  <c r="H911" i="21"/>
  <c r="H910" i="21"/>
  <c r="J910" i="21" s="1"/>
  <c r="R910" i="21" s="1"/>
  <c r="P908" i="21"/>
  <c r="P907" i="21"/>
  <c r="P906" i="21"/>
  <c r="P905" i="21"/>
  <c r="H904" i="21"/>
  <c r="H903" i="21"/>
  <c r="J903" i="21" s="1"/>
  <c r="R903" i="21" s="1"/>
  <c r="H902" i="21"/>
  <c r="J902" i="21" s="1"/>
  <c r="R902" i="21" s="1"/>
  <c r="L901" i="21"/>
  <c r="L900" i="21"/>
  <c r="P899" i="21"/>
  <c r="P898" i="21"/>
  <c r="P897" i="21"/>
  <c r="H896" i="21"/>
  <c r="H895" i="21"/>
  <c r="H894" i="21"/>
  <c r="J894" i="21" s="1"/>
  <c r="R894" i="21" s="1"/>
  <c r="L892" i="21"/>
  <c r="N892" i="21" s="1"/>
  <c r="P891" i="21"/>
  <c r="P890" i="21"/>
  <c r="H889" i="21"/>
  <c r="H887" i="21"/>
  <c r="H886" i="21"/>
  <c r="L884" i="21"/>
  <c r="L877" i="21" s="1"/>
  <c r="P883" i="21"/>
  <c r="P882" i="21"/>
  <c r="P881" i="21"/>
  <c r="H880" i="21"/>
  <c r="H879" i="21"/>
  <c r="H878" i="21"/>
  <c r="P876" i="21"/>
  <c r="P875" i="21"/>
  <c r="P874" i="21"/>
  <c r="P873" i="21"/>
  <c r="P872" i="21"/>
  <c r="H871" i="21"/>
  <c r="H870" i="21"/>
  <c r="J870" i="21" s="1"/>
  <c r="H869" i="21"/>
  <c r="J869" i="21" s="1"/>
  <c r="L868" i="21"/>
  <c r="P867" i="21"/>
  <c r="P866" i="21"/>
  <c r="P865" i="21"/>
  <c r="P864" i="21"/>
  <c r="H863" i="21"/>
  <c r="H862" i="21"/>
  <c r="H861" i="21"/>
  <c r="L860" i="21"/>
  <c r="P859" i="21"/>
  <c r="H858" i="21"/>
  <c r="P857" i="21"/>
  <c r="P856" i="21"/>
  <c r="P855" i="21"/>
  <c r="H854" i="21"/>
  <c r="H853" i="21"/>
  <c r="H852" i="21"/>
  <c r="J852" i="21" s="1"/>
  <c r="R852" i="21" s="1"/>
  <c r="L851" i="21"/>
  <c r="N851" i="21" s="1"/>
  <c r="P850" i="21"/>
  <c r="P849" i="21"/>
  <c r="P848" i="21"/>
  <c r="H847" i="21"/>
  <c r="H846" i="21"/>
  <c r="H845" i="21"/>
  <c r="P843" i="21"/>
  <c r="P842" i="21"/>
  <c r="P841" i="21"/>
  <c r="H840" i="21"/>
  <c r="H839" i="21"/>
  <c r="H838" i="21"/>
  <c r="P836" i="21"/>
  <c r="P835" i="21"/>
  <c r="P834" i="21"/>
  <c r="P833" i="21"/>
  <c r="H832" i="21"/>
  <c r="H831" i="21"/>
  <c r="J831" i="21" s="1"/>
  <c r="R831" i="21" s="1"/>
  <c r="H830" i="21"/>
  <c r="L829" i="21"/>
  <c r="P828" i="21"/>
  <c r="P827" i="21"/>
  <c r="P826" i="21"/>
  <c r="P825" i="21"/>
  <c r="H824" i="21"/>
  <c r="H823" i="21"/>
  <c r="H822" i="21"/>
  <c r="L821" i="21"/>
  <c r="P817" i="21"/>
  <c r="P816" i="21"/>
  <c r="P814" i="21"/>
  <c r="H813" i="21"/>
  <c r="P812" i="21"/>
  <c r="P811" i="21"/>
  <c r="P810" i="21"/>
  <c r="P809" i="21"/>
  <c r="H807" i="21"/>
  <c r="H806" i="21"/>
  <c r="J806" i="21" s="1"/>
  <c r="R806" i="21" s="1"/>
  <c r="P804" i="21"/>
  <c r="P803" i="21"/>
  <c r="P802" i="21"/>
  <c r="H801" i="21"/>
  <c r="H800" i="21"/>
  <c r="P799" i="21"/>
  <c r="P798" i="21"/>
  <c r="H796" i="21"/>
  <c r="J796" i="21" s="1"/>
  <c r="R796" i="21" s="1"/>
  <c r="H795" i="21"/>
  <c r="J795" i="21" s="1"/>
  <c r="R795" i="21" s="1"/>
  <c r="P792" i="21"/>
  <c r="P791" i="21"/>
  <c r="P790" i="21"/>
  <c r="P789" i="21"/>
  <c r="P787" i="21"/>
  <c r="P786" i="21"/>
  <c r="P785" i="21"/>
  <c r="P784" i="21"/>
  <c r="H783" i="21"/>
  <c r="J783" i="21" s="1"/>
  <c r="R783" i="21" s="1"/>
  <c r="H782" i="21"/>
  <c r="H781" i="21"/>
  <c r="P779" i="21"/>
  <c r="H778" i="21"/>
  <c r="J778" i="21" s="1"/>
  <c r="R778" i="21" s="1"/>
  <c r="P777" i="21"/>
  <c r="H776" i="21"/>
  <c r="H774" i="21"/>
  <c r="H773" i="21"/>
  <c r="J773" i="21" s="1"/>
  <c r="R773" i="21" s="1"/>
  <c r="P771" i="21"/>
  <c r="P770" i="21"/>
  <c r="P769" i="21"/>
  <c r="P768" i="21"/>
  <c r="H767" i="21"/>
  <c r="J767" i="21" s="1"/>
  <c r="R767" i="21" s="1"/>
  <c r="H766" i="21"/>
  <c r="J766" i="21" s="1"/>
  <c r="R766" i="21" s="1"/>
  <c r="H765" i="21"/>
  <c r="J765" i="21" s="1"/>
  <c r="P763" i="21"/>
  <c r="H762" i="21"/>
  <c r="H761" i="21"/>
  <c r="H759" i="21"/>
  <c r="H758" i="21"/>
  <c r="J758" i="21" s="1"/>
  <c r="R758" i="21" s="1"/>
  <c r="P756" i="21"/>
  <c r="P755" i="21"/>
  <c r="P754" i="21"/>
  <c r="P753" i="21"/>
  <c r="H752" i="21"/>
  <c r="J752" i="21" s="1"/>
  <c r="R752" i="21" s="1"/>
  <c r="H751" i="21"/>
  <c r="J751" i="21" s="1"/>
  <c r="R751" i="21" s="1"/>
  <c r="H750" i="21"/>
  <c r="J750" i="21" s="1"/>
  <c r="R750" i="21" s="1"/>
  <c r="P748" i="21"/>
  <c r="P747" i="21"/>
  <c r="P746" i="21"/>
  <c r="P745" i="21"/>
  <c r="H744" i="21"/>
  <c r="H743" i="21"/>
  <c r="H742" i="21"/>
  <c r="J742" i="21" s="1"/>
  <c r="R742" i="21" s="1"/>
  <c r="P740" i="21"/>
  <c r="P739" i="21"/>
  <c r="P738" i="21"/>
  <c r="P737" i="21"/>
  <c r="H736" i="21"/>
  <c r="H735" i="21"/>
  <c r="H734" i="21"/>
  <c r="J734" i="21" s="1"/>
  <c r="R734" i="21" s="1"/>
  <c r="P732" i="21"/>
  <c r="P731" i="21"/>
  <c r="P730" i="21"/>
  <c r="P729" i="21"/>
  <c r="H728" i="21"/>
  <c r="J728" i="21" s="1"/>
  <c r="R728" i="21" s="1"/>
  <c r="H727" i="21"/>
  <c r="H726" i="21"/>
  <c r="J726" i="21" s="1"/>
  <c r="R726" i="21" s="1"/>
  <c r="P724" i="21"/>
  <c r="P723" i="21"/>
  <c r="P722" i="21"/>
  <c r="H721" i="21"/>
  <c r="H720" i="21"/>
  <c r="H719" i="21"/>
  <c r="H713" i="21"/>
  <c r="P712" i="21"/>
  <c r="P711" i="21"/>
  <c r="H710" i="21"/>
  <c r="H709" i="21"/>
  <c r="P708" i="21"/>
  <c r="H706" i="21"/>
  <c r="H705" i="21"/>
  <c r="J705" i="21" s="1"/>
  <c r="R705" i="21" s="1"/>
  <c r="H703" i="21"/>
  <c r="P702" i="21"/>
  <c r="P701" i="21"/>
  <c r="H700" i="21"/>
  <c r="H699" i="21"/>
  <c r="J699" i="21" s="1"/>
  <c r="P698" i="21"/>
  <c r="H696" i="21"/>
  <c r="H695" i="21"/>
  <c r="J695" i="21" s="1"/>
  <c r="R695" i="21" s="1"/>
  <c r="P692" i="21"/>
  <c r="P691" i="21"/>
  <c r="H690" i="21"/>
  <c r="H689" i="21"/>
  <c r="P688" i="21"/>
  <c r="H687" i="21"/>
  <c r="J687" i="21" s="1"/>
  <c r="P686" i="21"/>
  <c r="H684" i="21"/>
  <c r="H683" i="21"/>
  <c r="J683" i="21" s="1"/>
  <c r="P681" i="21"/>
  <c r="H680" i="21"/>
  <c r="J680" i="21" s="1"/>
  <c r="R680" i="21" s="1"/>
  <c r="H679" i="21"/>
  <c r="P678" i="21"/>
  <c r="H677" i="21"/>
  <c r="P676" i="21"/>
  <c r="H674" i="21"/>
  <c r="H673" i="21"/>
  <c r="P670" i="21"/>
  <c r="P669" i="21"/>
  <c r="H668" i="21"/>
  <c r="P667" i="21"/>
  <c r="H666" i="21"/>
  <c r="H665" i="21"/>
  <c r="H664" i="21"/>
  <c r="P663" i="21"/>
  <c r="H661" i="21"/>
  <c r="H660" i="21"/>
  <c r="P658" i="21"/>
  <c r="P657" i="21"/>
  <c r="H656" i="21"/>
  <c r="H655" i="21"/>
  <c r="P654" i="21"/>
  <c r="P653" i="21"/>
  <c r="H651" i="21"/>
  <c r="H650" i="21"/>
  <c r="J650" i="21" s="1"/>
  <c r="R650" i="21" s="1"/>
  <c r="P647" i="21"/>
  <c r="P645" i="21"/>
  <c r="P644" i="21"/>
  <c r="P643" i="21"/>
  <c r="H642" i="21"/>
  <c r="P641" i="21"/>
  <c r="P640" i="21"/>
  <c r="P639" i="21"/>
  <c r="H638" i="21"/>
  <c r="H637" i="21"/>
  <c r="H636" i="21"/>
  <c r="L635" i="21"/>
  <c r="P634" i="21"/>
  <c r="P633" i="21"/>
  <c r="H632" i="21"/>
  <c r="J632" i="21" s="1"/>
  <c r="R632" i="21" s="1"/>
  <c r="P631" i="21"/>
  <c r="P630" i="21"/>
  <c r="P629" i="21"/>
  <c r="H627" i="21"/>
  <c r="H626" i="21"/>
  <c r="H623" i="21"/>
  <c r="H622" i="21"/>
  <c r="P621" i="21"/>
  <c r="H620" i="21"/>
  <c r="P619" i="21"/>
  <c r="P618" i="21"/>
  <c r="P617" i="21"/>
  <c r="P616" i="21"/>
  <c r="H614" i="21"/>
  <c r="H613" i="21"/>
  <c r="H611" i="21"/>
  <c r="P610" i="21"/>
  <c r="P609" i="21"/>
  <c r="H608" i="21"/>
  <c r="P607" i="21"/>
  <c r="P606" i="21"/>
  <c r="P605" i="21"/>
  <c r="P604" i="21"/>
  <c r="H602" i="21"/>
  <c r="H601" i="21"/>
  <c r="J601" i="21" s="1"/>
  <c r="L598" i="21"/>
  <c r="N598" i="21" s="1"/>
  <c r="R598" i="21" s="1"/>
  <c r="L597" i="21"/>
  <c r="N597" i="21" s="1"/>
  <c r="R597" i="21" s="1"/>
  <c r="P596" i="21"/>
  <c r="P595" i="21"/>
  <c r="P594" i="21"/>
  <c r="P593" i="21"/>
  <c r="P592" i="21"/>
  <c r="H591" i="21"/>
  <c r="P590" i="21"/>
  <c r="P589" i="21"/>
  <c r="H587" i="21"/>
  <c r="H586" i="21"/>
  <c r="P584" i="21"/>
  <c r="P583" i="21"/>
  <c r="P582" i="21"/>
  <c r="H581" i="21"/>
  <c r="P580" i="21"/>
  <c r="H579" i="21"/>
  <c r="J579" i="21" s="1"/>
  <c r="R579" i="21" s="1"/>
  <c r="P578" i="21"/>
  <c r="P577" i="21"/>
  <c r="H575" i="21"/>
  <c r="H574" i="21"/>
  <c r="L573" i="21"/>
  <c r="H571" i="21"/>
  <c r="P570" i="21"/>
  <c r="P569" i="21"/>
  <c r="P568" i="21"/>
  <c r="P567" i="21"/>
  <c r="P566" i="21"/>
  <c r="H565" i="21"/>
  <c r="J565" i="21" s="1"/>
  <c r="R565" i="21" s="1"/>
  <c r="P564" i="21"/>
  <c r="H562" i="21"/>
  <c r="J562" i="21" s="1"/>
  <c r="R562" i="21" s="1"/>
  <c r="H561" i="21"/>
  <c r="J561" i="21" s="1"/>
  <c r="R561" i="21" s="1"/>
  <c r="H559" i="21"/>
  <c r="P558" i="21"/>
  <c r="P557" i="21"/>
  <c r="P556" i="21"/>
  <c r="H555" i="21"/>
  <c r="P554" i="21"/>
  <c r="H552" i="21"/>
  <c r="H551" i="21"/>
  <c r="J551" i="21" s="1"/>
  <c r="R551" i="21" s="1"/>
  <c r="H548" i="21"/>
  <c r="P547" i="21"/>
  <c r="P546" i="21"/>
  <c r="H545" i="21"/>
  <c r="P544" i="21"/>
  <c r="P543" i="21"/>
  <c r="P542" i="21"/>
  <c r="P541" i="21"/>
  <c r="H539" i="21"/>
  <c r="H538" i="21"/>
  <c r="H536" i="21"/>
  <c r="P535" i="21"/>
  <c r="H534" i="21"/>
  <c r="P534" i="21" s="1"/>
  <c r="P533" i="21"/>
  <c r="P532" i="21"/>
  <c r="P531" i="21"/>
  <c r="P530" i="21"/>
  <c r="H528" i="21"/>
  <c r="J528" i="21" s="1"/>
  <c r="H527" i="21"/>
  <c r="J527" i="21" s="1"/>
  <c r="R527" i="21" s="1"/>
  <c r="P524" i="21"/>
  <c r="P523" i="21"/>
  <c r="P522" i="21"/>
  <c r="P521" i="21"/>
  <c r="H520" i="21"/>
  <c r="H518" i="21"/>
  <c r="J518" i="21" s="1"/>
  <c r="R518" i="21" s="1"/>
  <c r="H517" i="21"/>
  <c r="J517" i="21" s="1"/>
  <c r="R517" i="21" s="1"/>
  <c r="P512" i="21"/>
  <c r="P511" i="21"/>
  <c r="P510" i="21"/>
  <c r="H508" i="21"/>
  <c r="P506" i="21"/>
  <c r="P505" i="21"/>
  <c r="P504" i="21"/>
  <c r="P503" i="21"/>
  <c r="P502" i="21"/>
  <c r="P501" i="21"/>
  <c r="H500" i="21"/>
  <c r="H499" i="21"/>
  <c r="H498" i="21"/>
  <c r="J498" i="21" s="1"/>
  <c r="R498" i="21" s="1"/>
  <c r="P496" i="21"/>
  <c r="P495" i="21"/>
  <c r="P494" i="21"/>
  <c r="P493" i="21"/>
  <c r="H492" i="21"/>
  <c r="H490" i="21"/>
  <c r="J490" i="21" s="1"/>
  <c r="R490" i="21" s="1"/>
  <c r="H489" i="21"/>
  <c r="J489" i="21" s="1"/>
  <c r="R489" i="21" s="1"/>
  <c r="P487" i="21"/>
  <c r="P486" i="21"/>
  <c r="P485" i="21"/>
  <c r="P484" i="21"/>
  <c r="H483" i="21"/>
  <c r="J483" i="21" s="1"/>
  <c r="P482" i="21"/>
  <c r="H480" i="21"/>
  <c r="H479" i="21"/>
  <c r="J479" i="21" s="1"/>
  <c r="P477" i="21"/>
  <c r="P476" i="21"/>
  <c r="P475" i="21"/>
  <c r="P474" i="21"/>
  <c r="H473" i="21"/>
  <c r="J473" i="21" s="1"/>
  <c r="R473" i="21" s="1"/>
  <c r="H472" i="21"/>
  <c r="H471" i="21"/>
  <c r="P469" i="21"/>
  <c r="P468" i="21"/>
  <c r="P467" i="21"/>
  <c r="H466" i="21"/>
  <c r="H465" i="21"/>
  <c r="H464" i="21"/>
  <c r="J464" i="21" s="1"/>
  <c r="R464" i="21" s="1"/>
  <c r="L462" i="21"/>
  <c r="P461" i="21"/>
  <c r="P460" i="21"/>
  <c r="P459" i="21"/>
  <c r="P458" i="21"/>
  <c r="H457" i="21"/>
  <c r="H456" i="21"/>
  <c r="J456" i="21" s="1"/>
  <c r="R456" i="21" s="1"/>
  <c r="H455" i="21"/>
  <c r="L453" i="21"/>
  <c r="P452" i="21"/>
  <c r="P451" i="21"/>
  <c r="P450" i="21"/>
  <c r="P449" i="21"/>
  <c r="P448" i="21"/>
  <c r="H447" i="21"/>
  <c r="H446" i="21"/>
  <c r="H445" i="21"/>
  <c r="P443" i="21"/>
  <c r="P442" i="21"/>
  <c r="P441" i="21"/>
  <c r="P440" i="21"/>
  <c r="H439" i="21"/>
  <c r="P439" i="21" s="1"/>
  <c r="P438" i="21"/>
  <c r="H436" i="21"/>
  <c r="J436" i="21" s="1"/>
  <c r="R436" i="21" s="1"/>
  <c r="H435" i="21"/>
  <c r="L434" i="21"/>
  <c r="L433" i="21"/>
  <c r="N433" i="21" s="1"/>
  <c r="R433" i="21" s="1"/>
  <c r="P432" i="21"/>
  <c r="L431" i="21"/>
  <c r="N431" i="21" s="1"/>
  <c r="R431" i="21" s="1"/>
  <c r="P430" i="21"/>
  <c r="P429" i="21"/>
  <c r="H427" i="21"/>
  <c r="J427" i="21" s="1"/>
  <c r="P426" i="21"/>
  <c r="H424" i="21"/>
  <c r="J424" i="21" s="1"/>
  <c r="R424" i="21" s="1"/>
  <c r="H423" i="21"/>
  <c r="P421" i="21"/>
  <c r="P420" i="21"/>
  <c r="P419" i="21"/>
  <c r="P418" i="21"/>
  <c r="P417" i="21"/>
  <c r="P416" i="21"/>
  <c r="H415" i="21"/>
  <c r="H414" i="21"/>
  <c r="H413" i="21"/>
  <c r="P411" i="21"/>
  <c r="P410" i="21"/>
  <c r="H409" i="21"/>
  <c r="P408" i="21"/>
  <c r="H406" i="21"/>
  <c r="H405" i="21"/>
  <c r="J405" i="21" s="1"/>
  <c r="R405" i="21" s="1"/>
  <c r="P403" i="21"/>
  <c r="P402" i="21"/>
  <c r="P401" i="21"/>
  <c r="P399" i="21"/>
  <c r="P398" i="21"/>
  <c r="H397" i="21"/>
  <c r="H396" i="21"/>
  <c r="H395" i="21"/>
  <c r="P393" i="21"/>
  <c r="P392" i="21"/>
  <c r="P391" i="21"/>
  <c r="P390" i="21"/>
  <c r="P389" i="21"/>
  <c r="H388" i="21"/>
  <c r="H387" i="21"/>
  <c r="H386" i="21"/>
  <c r="P384" i="21"/>
  <c r="P383" i="21"/>
  <c r="P382" i="21"/>
  <c r="H381" i="21"/>
  <c r="H380" i="21"/>
  <c r="H379" i="21"/>
  <c r="J379" i="21" s="1"/>
  <c r="R379" i="21" s="1"/>
  <c r="P377" i="21"/>
  <c r="P376" i="21"/>
  <c r="P375" i="21"/>
  <c r="P374" i="21"/>
  <c r="P373" i="21"/>
  <c r="P372" i="21"/>
  <c r="H371" i="21"/>
  <c r="H370" i="21"/>
  <c r="J370" i="21" s="1"/>
  <c r="R370" i="21" s="1"/>
  <c r="H369" i="21"/>
  <c r="L368" i="21"/>
  <c r="P367" i="21"/>
  <c r="P366" i="21"/>
  <c r="H365" i="21"/>
  <c r="J365" i="21" s="1"/>
  <c r="R365" i="21" s="1"/>
  <c r="P364" i="21"/>
  <c r="H362" i="21"/>
  <c r="H361" i="21"/>
  <c r="B358" i="21"/>
  <c r="B359" i="21" s="1"/>
  <c r="B360" i="21" s="1"/>
  <c r="B361" i="21" s="1"/>
  <c r="B362" i="21" s="1"/>
  <c r="B363" i="21" s="1"/>
  <c r="B364" i="21" s="1"/>
  <c r="B365" i="21" s="1"/>
  <c r="B366" i="21" s="1"/>
  <c r="B367" i="21" s="1"/>
  <c r="B368" i="21" s="1"/>
  <c r="B369" i="21" s="1"/>
  <c r="B370" i="21" s="1"/>
  <c r="B371" i="21" s="1"/>
  <c r="B372" i="21" s="1"/>
  <c r="B373" i="21" s="1"/>
  <c r="B374" i="21" s="1"/>
  <c r="B375" i="21" s="1"/>
  <c r="B376" i="21" s="1"/>
  <c r="B377" i="21" s="1"/>
  <c r="B378" i="21" s="1"/>
  <c r="B379" i="21" s="1"/>
  <c r="B380" i="21" s="1"/>
  <c r="B381" i="21" s="1"/>
  <c r="B382" i="21" s="1"/>
  <c r="B383" i="21" s="1"/>
  <c r="B384" i="21" s="1"/>
  <c r="B385" i="21" s="1"/>
  <c r="B386" i="21" s="1"/>
  <c r="B387" i="21" s="1"/>
  <c r="B388" i="21" s="1"/>
  <c r="B389" i="21" s="1"/>
  <c r="B390" i="21" s="1"/>
  <c r="B391" i="21" s="1"/>
  <c r="B392" i="21" s="1"/>
  <c r="B393" i="21" s="1"/>
  <c r="B394" i="21" s="1"/>
  <c r="B395" i="21" s="1"/>
  <c r="B396" i="21" s="1"/>
  <c r="B397" i="21" s="1"/>
  <c r="B398" i="21" s="1"/>
  <c r="B399" i="21" s="1"/>
  <c r="B400" i="21" s="1"/>
  <c r="B401" i="21" s="1"/>
  <c r="B402" i="21" s="1"/>
  <c r="B403" i="21" s="1"/>
  <c r="B404" i="21" s="1"/>
  <c r="B405" i="21" s="1"/>
  <c r="B406" i="21" s="1"/>
  <c r="B407" i="21" s="1"/>
  <c r="B408" i="21" s="1"/>
  <c r="B409" i="21" s="1"/>
  <c r="B410" i="21" s="1"/>
  <c r="B411" i="21" s="1"/>
  <c r="B412" i="21" s="1"/>
  <c r="B413" i="21" s="1"/>
  <c r="B414" i="21" s="1"/>
  <c r="B415" i="21" s="1"/>
  <c r="B416" i="21" s="1"/>
  <c r="B417" i="21" s="1"/>
  <c r="B418" i="21" s="1"/>
  <c r="B419" i="21" s="1"/>
  <c r="B420" i="21" s="1"/>
  <c r="B421" i="21" s="1"/>
  <c r="B422" i="21" s="1"/>
  <c r="B423" i="21" s="1"/>
  <c r="B424" i="21" s="1"/>
  <c r="B425" i="21" s="1"/>
  <c r="B426" i="21" s="1"/>
  <c r="B427" i="21" s="1"/>
  <c r="P350" i="21"/>
  <c r="P349" i="21"/>
  <c r="P348" i="21"/>
  <c r="L347" i="21"/>
  <c r="P346" i="21"/>
  <c r="P345" i="21"/>
  <c r="P344" i="21"/>
  <c r="P343" i="21"/>
  <c r="P342" i="21"/>
  <c r="L341" i="21"/>
  <c r="L340" i="21"/>
  <c r="P339" i="21"/>
  <c r="P338" i="21"/>
  <c r="P337" i="21"/>
  <c r="L336" i="21"/>
  <c r="P335" i="21"/>
  <c r="L334" i="21"/>
  <c r="N334" i="21" s="1"/>
  <c r="R334" i="21" s="1"/>
  <c r="P333" i="21"/>
  <c r="P332" i="21"/>
  <c r="L331" i="21"/>
  <c r="L330" i="21"/>
  <c r="P329" i="21"/>
  <c r="P328" i="21"/>
  <c r="L327" i="21"/>
  <c r="N327" i="21" s="1"/>
  <c r="R327" i="21" s="1"/>
  <c r="P326" i="21"/>
  <c r="P325" i="21"/>
  <c r="L324" i="21"/>
  <c r="N324" i="21" s="1"/>
  <c r="R324" i="21" s="1"/>
  <c r="P323" i="21"/>
  <c r="P322" i="21"/>
  <c r="P321" i="21"/>
  <c r="L320" i="21"/>
  <c r="L319" i="21"/>
  <c r="P318" i="21"/>
  <c r="L317" i="21"/>
  <c r="N317" i="21" s="1"/>
  <c r="R317" i="21" s="1"/>
  <c r="P316" i="21"/>
  <c r="P315" i="21"/>
  <c r="L314" i="21"/>
  <c r="N314" i="21" s="1"/>
  <c r="R314" i="21" s="1"/>
  <c r="L313" i="21"/>
  <c r="L312" i="21"/>
  <c r="P311" i="21"/>
  <c r="P310" i="21"/>
  <c r="L309" i="21"/>
  <c r="N309" i="21" s="1"/>
  <c r="R309" i="21" s="1"/>
  <c r="P308" i="21"/>
  <c r="L307" i="21"/>
  <c r="P305" i="21"/>
  <c r="L304" i="21"/>
  <c r="H302" i="21"/>
  <c r="P301" i="21"/>
  <c r="P300" i="21"/>
  <c r="P299" i="21"/>
  <c r="H298" i="21"/>
  <c r="P297" i="21"/>
  <c r="P296" i="21"/>
  <c r="H294" i="21"/>
  <c r="P293" i="21"/>
  <c r="H292" i="21"/>
  <c r="H291" i="21"/>
  <c r="H289" i="21"/>
  <c r="J289" i="21" s="1"/>
  <c r="R289" i="21" s="1"/>
  <c r="H288" i="21"/>
  <c r="H287" i="21"/>
  <c r="B286" i="21"/>
  <c r="B287" i="21" s="1"/>
  <c r="B288" i="21" s="1"/>
  <c r="B289" i="21" s="1"/>
  <c r="B290" i="21" s="1"/>
  <c r="B291" i="21" s="1"/>
  <c r="B292" i="21" s="1"/>
  <c r="B293" i="21" s="1"/>
  <c r="B294" i="21" s="1"/>
  <c r="B295" i="21" s="1"/>
  <c r="B296" i="21" s="1"/>
  <c r="B297" i="21" s="1"/>
  <c r="B298" i="21" s="1"/>
  <c r="B299" i="21" s="1"/>
  <c r="B300" i="21" s="1"/>
  <c r="B301" i="21" s="1"/>
  <c r="B302" i="21" s="1"/>
  <c r="B303" i="21" s="1"/>
  <c r="B304" i="21" s="1"/>
  <c r="B305" i="21" s="1"/>
  <c r="B306" i="21" s="1"/>
  <c r="B307" i="21" s="1"/>
  <c r="B308" i="21" s="1"/>
  <c r="B309" i="21" s="1"/>
  <c r="B310" i="21" s="1"/>
  <c r="B311" i="21" s="1"/>
  <c r="B312" i="21" s="1"/>
  <c r="B313" i="21" s="1"/>
  <c r="B314" i="21" s="1"/>
  <c r="B315" i="21" s="1"/>
  <c r="B316" i="21" s="1"/>
  <c r="B317" i="21" s="1"/>
  <c r="B318" i="21" s="1"/>
  <c r="B319" i="21" s="1"/>
  <c r="B320" i="21" s="1"/>
  <c r="B321" i="21" s="1"/>
  <c r="B322" i="21" s="1"/>
  <c r="B323" i="21" s="1"/>
  <c r="B324" i="21" s="1"/>
  <c r="B325" i="21" s="1"/>
  <c r="B326" i="21" s="1"/>
  <c r="B327" i="21" s="1"/>
  <c r="B328" i="21" s="1"/>
  <c r="B329" i="21" s="1"/>
  <c r="B330" i="21" s="1"/>
  <c r="B331" i="21" s="1"/>
  <c r="B332" i="21" s="1"/>
  <c r="B333" i="21" s="1"/>
  <c r="B334" i="21" s="1"/>
  <c r="B335" i="21" s="1"/>
  <c r="B336" i="21" s="1"/>
  <c r="B337" i="21" s="1"/>
  <c r="B338" i="21" s="1"/>
  <c r="B339" i="21" s="1"/>
  <c r="B340" i="21" s="1"/>
  <c r="B341" i="21" s="1"/>
  <c r="B342" i="21" s="1"/>
  <c r="B343" i="21" s="1"/>
  <c r="B344" i="21" s="1"/>
  <c r="B345" i="21" s="1"/>
  <c r="B346" i="21" s="1"/>
  <c r="B347" i="21" s="1"/>
  <c r="B348" i="21" s="1"/>
  <c r="B349" i="21" s="1"/>
  <c r="B350" i="21" s="1"/>
  <c r="P277" i="21"/>
  <c r="P276" i="21"/>
  <c r="P275" i="21"/>
  <c r="P274" i="21"/>
  <c r="P273" i="21"/>
  <c r="P272" i="21"/>
  <c r="P271" i="21"/>
  <c r="H270" i="21"/>
  <c r="P270" i="21" s="1"/>
  <c r="P269" i="21"/>
  <c r="L268" i="21"/>
  <c r="H268" i="21"/>
  <c r="L267" i="21"/>
  <c r="P266" i="21"/>
  <c r="H265" i="21"/>
  <c r="P264" i="21"/>
  <c r="L263" i="21"/>
  <c r="N263" i="21" s="1"/>
  <c r="H261" i="21"/>
  <c r="J261" i="21" s="1"/>
  <c r="R261" i="21" s="1"/>
  <c r="P260" i="21"/>
  <c r="H259" i="21"/>
  <c r="H258" i="21"/>
  <c r="J258" i="21" s="1"/>
  <c r="R258" i="21" s="1"/>
  <c r="P256" i="21"/>
  <c r="P255" i="21"/>
  <c r="H253" i="21"/>
  <c r="H252" i="21"/>
  <c r="J252" i="21" s="1"/>
  <c r="R252" i="21" s="1"/>
  <c r="H249" i="21"/>
  <c r="J249" i="21" s="1"/>
  <c r="R249" i="21" s="1"/>
  <c r="H248" i="21"/>
  <c r="P247" i="21"/>
  <c r="P246" i="21"/>
  <c r="P245" i="21"/>
  <c r="H244" i="21"/>
  <c r="J244" i="21" s="1"/>
  <c r="R244" i="21" s="1"/>
  <c r="P243" i="21"/>
  <c r="H242" i="21"/>
  <c r="P240" i="21"/>
  <c r="H239" i="21"/>
  <c r="L238" i="21"/>
  <c r="B238" i="21"/>
  <c r="B239" i="21" s="1"/>
  <c r="B240" i="21" s="1"/>
  <c r="B241" i="21" s="1"/>
  <c r="B242" i="21" s="1"/>
  <c r="B243" i="21" s="1"/>
  <c r="B244" i="21" s="1"/>
  <c r="B245" i="21" s="1"/>
  <c r="B246" i="21" s="1"/>
  <c r="B247" i="21" s="1"/>
  <c r="B248" i="21" s="1"/>
  <c r="B249" i="21" s="1"/>
  <c r="B250" i="21" s="1"/>
  <c r="B251" i="21" s="1"/>
  <c r="B252" i="21" s="1"/>
  <c r="B253" i="21" s="1"/>
  <c r="B254" i="21" s="1"/>
  <c r="B255" i="21" s="1"/>
  <c r="B256" i="21" s="1"/>
  <c r="B257" i="21" s="1"/>
  <c r="B258" i="21" s="1"/>
  <c r="B259" i="21" s="1"/>
  <c r="B260" i="21" s="1"/>
  <c r="B261" i="21" s="1"/>
  <c r="B262" i="21" s="1"/>
  <c r="B263" i="21" s="1"/>
  <c r="B264" i="21" s="1"/>
  <c r="B265" i="21" s="1"/>
  <c r="B266" i="21" s="1"/>
  <c r="B267" i="21" s="1"/>
  <c r="B268" i="21" s="1"/>
  <c r="B269" i="21" s="1"/>
  <c r="B270" i="21" s="1"/>
  <c r="B271" i="21" s="1"/>
  <c r="B272" i="21" s="1"/>
  <c r="B273" i="21" s="1"/>
  <c r="B274" i="21" s="1"/>
  <c r="B275" i="21" s="1"/>
  <c r="B276" i="21" s="1"/>
  <c r="B277" i="21" s="1"/>
  <c r="P230" i="21"/>
  <c r="P229" i="21"/>
  <c r="P228" i="21"/>
  <c r="P227" i="21"/>
  <c r="P226" i="21"/>
  <c r="P225" i="21"/>
  <c r="H224" i="21"/>
  <c r="P223" i="21"/>
  <c r="P222" i="21"/>
  <c r="L220" i="21"/>
  <c r="P219" i="21"/>
  <c r="L218" i="21"/>
  <c r="P217" i="21"/>
  <c r="L216" i="21"/>
  <c r="P215" i="21"/>
  <c r="P214" i="21"/>
  <c r="P213" i="21"/>
  <c r="P212" i="21"/>
  <c r="P211" i="21"/>
  <c r="P210" i="21"/>
  <c r="H209" i="21"/>
  <c r="P208" i="21"/>
  <c r="P207" i="21"/>
  <c r="H206" i="21"/>
  <c r="P205" i="21"/>
  <c r="H204" i="21"/>
  <c r="P203" i="21"/>
  <c r="P201" i="21"/>
  <c r="P200" i="21"/>
  <c r="L198" i="21"/>
  <c r="P197" i="21"/>
  <c r="P196" i="21"/>
  <c r="H195" i="21"/>
  <c r="P194" i="21"/>
  <c r="P193" i="21"/>
  <c r="P191" i="21"/>
  <c r="P190" i="21"/>
  <c r="H187" i="21"/>
  <c r="H186" i="21"/>
  <c r="H181" i="21" s="1"/>
  <c r="P185" i="21"/>
  <c r="P184" i="21"/>
  <c r="P183" i="21"/>
  <c r="P182" i="21"/>
  <c r="P180" i="21"/>
  <c r="P179" i="21"/>
  <c r="P177" i="21"/>
  <c r="H176" i="21"/>
  <c r="P175" i="21"/>
  <c r="H174" i="21"/>
  <c r="H173" i="21"/>
  <c r="H172" i="21"/>
  <c r="H170" i="21"/>
  <c r="H169" i="21"/>
  <c r="P167" i="21"/>
  <c r="P166" i="21"/>
  <c r="P165" i="21"/>
  <c r="H164" i="21"/>
  <c r="B164" i="21"/>
  <c r="B165" i="21" s="1"/>
  <c r="B166" i="21" s="1"/>
  <c r="B167" i="21" s="1"/>
  <c r="B168" i="21" s="1"/>
  <c r="B169" i="21" s="1"/>
  <c r="B170" i="21" s="1"/>
  <c r="B171" i="21" s="1"/>
  <c r="B172" i="21" s="1"/>
  <c r="B173" i="21" s="1"/>
  <c r="B174" i="21" s="1"/>
  <c r="B175" i="21" s="1"/>
  <c r="B176" i="21" s="1"/>
  <c r="B177" i="21" s="1"/>
  <c r="B178" i="21" s="1"/>
  <c r="B179" i="21" s="1"/>
  <c r="B180" i="21" s="1"/>
  <c r="B181" i="21" s="1"/>
  <c r="B182" i="21" s="1"/>
  <c r="B183" i="21" s="1"/>
  <c r="B184" i="21" s="1"/>
  <c r="B185" i="21" s="1"/>
  <c r="B186" i="21" s="1"/>
  <c r="B187" i="21" s="1"/>
  <c r="B188" i="21" s="1"/>
  <c r="B189" i="21" s="1"/>
  <c r="B190" i="21" s="1"/>
  <c r="B191" i="21" s="1"/>
  <c r="B192" i="21" s="1"/>
  <c r="B193" i="21" s="1"/>
  <c r="B194" i="21" s="1"/>
  <c r="B195" i="21" s="1"/>
  <c r="B196" i="21" s="1"/>
  <c r="B197" i="21" s="1"/>
  <c r="B198" i="21" s="1"/>
  <c r="B199" i="21" s="1"/>
  <c r="B200" i="21" s="1"/>
  <c r="B201" i="21" s="1"/>
  <c r="B202" i="21" s="1"/>
  <c r="B203" i="21" s="1"/>
  <c r="B204" i="21" s="1"/>
  <c r="B205" i="21" s="1"/>
  <c r="B206" i="21" s="1"/>
  <c r="B207" i="21" s="1"/>
  <c r="B208" i="21" s="1"/>
  <c r="B209" i="21" s="1"/>
  <c r="B210" i="21" s="1"/>
  <c r="B211" i="21" s="1"/>
  <c r="B212" i="21" s="1"/>
  <c r="B213" i="21" s="1"/>
  <c r="B214" i="21" s="1"/>
  <c r="B215" i="21" s="1"/>
  <c r="B216" i="21" s="1"/>
  <c r="B217" i="21" s="1"/>
  <c r="B218" i="21" s="1"/>
  <c r="B219" i="21" s="1"/>
  <c r="B220" i="21" s="1"/>
  <c r="B221" i="21" s="1"/>
  <c r="B222" i="21" s="1"/>
  <c r="B223" i="21" s="1"/>
  <c r="B224" i="21" s="1"/>
  <c r="B225" i="21" s="1"/>
  <c r="B226" i="21" s="1"/>
  <c r="B227" i="21" s="1"/>
  <c r="B228" i="21" s="1"/>
  <c r="B229" i="21" s="1"/>
  <c r="L156" i="21"/>
  <c r="L152" i="21" s="1"/>
  <c r="P155" i="21"/>
  <c r="P154" i="21"/>
  <c r="H153" i="21"/>
  <c r="P151" i="21"/>
  <c r="P150" i="21"/>
  <c r="H148" i="21"/>
  <c r="P148" i="21" s="1"/>
  <c r="H147" i="21"/>
  <c r="H146" i="21"/>
  <c r="J146" i="21" s="1"/>
  <c r="R146" i="21" s="1"/>
  <c r="L145" i="21"/>
  <c r="P144" i="21"/>
  <c r="P143" i="21"/>
  <c r="H142" i="21"/>
  <c r="P142" i="21" s="1"/>
  <c r="H141" i="21"/>
  <c r="P140" i="21"/>
  <c r="P139" i="21"/>
  <c r="H138" i="21"/>
  <c r="P138" i="21" s="1"/>
  <c r="H137" i="21"/>
  <c r="P136" i="21"/>
  <c r="P134" i="21"/>
  <c r="P133" i="21"/>
  <c r="P131" i="21"/>
  <c r="P130" i="21"/>
  <c r="P129" i="21"/>
  <c r="P128" i="21"/>
  <c r="P127" i="21"/>
  <c r="P126" i="21"/>
  <c r="P125" i="21"/>
  <c r="H124" i="21"/>
  <c r="P124" i="21" s="1"/>
  <c r="P123" i="21"/>
  <c r="P122" i="21"/>
  <c r="L119" i="21"/>
  <c r="P119" i="21" s="1"/>
  <c r="P118" i="21"/>
  <c r="P117" i="21"/>
  <c r="L116" i="21"/>
  <c r="P115" i="21"/>
  <c r="P114" i="21"/>
  <c r="P112" i="21"/>
  <c r="P111" i="21"/>
  <c r="P110" i="21"/>
  <c r="L109" i="21"/>
  <c r="H109" i="21"/>
  <c r="L108" i="21"/>
  <c r="H107" i="21"/>
  <c r="P107" i="21" s="1"/>
  <c r="P106" i="21"/>
  <c r="P104" i="21"/>
  <c r="P103" i="21"/>
  <c r="P102" i="21"/>
  <c r="L101" i="21"/>
  <c r="H101" i="21"/>
  <c r="P100" i="21"/>
  <c r="H99" i="21"/>
  <c r="H97" i="21"/>
  <c r="P97" i="21" s="1"/>
  <c r="P96" i="21"/>
  <c r="P95" i="21"/>
  <c r="L94" i="21"/>
  <c r="B94" i="21"/>
  <c r="B95" i="21" s="1"/>
  <c r="B96" i="21" s="1"/>
  <c r="B97" i="21" s="1"/>
  <c r="B98" i="21" s="1"/>
  <c r="B99" i="21" s="1"/>
  <c r="B100" i="21" s="1"/>
  <c r="B101" i="21" s="1"/>
  <c r="B102" i="21" s="1"/>
  <c r="B103" i="21" s="1"/>
  <c r="B104" i="21" s="1"/>
  <c r="B105" i="21" s="1"/>
  <c r="B106" i="21" s="1"/>
  <c r="P86" i="21"/>
  <c r="P85" i="21"/>
  <c r="H84" i="21"/>
  <c r="P84" i="21" s="1"/>
  <c r="P83" i="21"/>
  <c r="H82" i="21"/>
  <c r="J82" i="21" s="1"/>
  <c r="P81" i="21"/>
  <c r="H80" i="21"/>
  <c r="P80" i="21" s="1"/>
  <c r="B79" i="21"/>
  <c r="B80" i="21" s="1"/>
  <c r="B81" i="21" s="1"/>
  <c r="B82" i="21" s="1"/>
  <c r="B83" i="21" s="1"/>
  <c r="B84" i="21" s="1"/>
  <c r="B85" i="21" s="1"/>
  <c r="B86" i="21" s="1"/>
  <c r="L78" i="21"/>
  <c r="G7" i="15" s="1"/>
  <c r="J267" i="7"/>
  <c r="J266" i="7"/>
  <c r="I265" i="7"/>
  <c r="I262" i="7"/>
  <c r="J250" i="7"/>
  <c r="J249" i="7"/>
  <c r="J248" i="7"/>
  <c r="J247" i="7"/>
  <c r="J246" i="7"/>
  <c r="J244" i="7"/>
  <c r="J243" i="7"/>
  <c r="J242" i="7"/>
  <c r="J241" i="7"/>
  <c r="J239" i="7"/>
  <c r="J238" i="7"/>
  <c r="I235" i="7"/>
  <c r="I234" i="7" s="1"/>
  <c r="I230" i="7" s="1"/>
  <c r="J233" i="7"/>
  <c r="I232" i="7"/>
  <c r="J204" i="7"/>
  <c r="J200" i="7"/>
  <c r="J198" i="7"/>
  <c r="I197" i="7"/>
  <c r="I194" i="7"/>
  <c r="J192" i="7"/>
  <c r="J191" i="7"/>
  <c r="J190" i="7"/>
  <c r="J189" i="7"/>
  <c r="J188" i="7"/>
  <c r="J187" i="7"/>
  <c r="J186" i="7"/>
  <c r="I185" i="7"/>
  <c r="J183" i="7"/>
  <c r="J182" i="7"/>
  <c r="J181" i="7"/>
  <c r="J180" i="7"/>
  <c r="J179" i="7"/>
  <c r="J178" i="7"/>
  <c r="J177" i="7"/>
  <c r="J176" i="7"/>
  <c r="J175" i="7"/>
  <c r="I174" i="7"/>
  <c r="J171" i="7"/>
  <c r="J170" i="7"/>
  <c r="J169" i="7"/>
  <c r="J168" i="7"/>
  <c r="J167" i="7"/>
  <c r="J166" i="7"/>
  <c r="J165" i="7"/>
  <c r="J164" i="7"/>
  <c r="I163" i="7"/>
  <c r="J160" i="7"/>
  <c r="J159" i="7"/>
  <c r="J158" i="7"/>
  <c r="J157" i="7"/>
  <c r="J156" i="7"/>
  <c r="J155" i="7"/>
  <c r="J154" i="7"/>
  <c r="J153" i="7"/>
  <c r="I152" i="7"/>
  <c r="J142" i="7"/>
  <c r="J141" i="7"/>
  <c r="J140" i="7"/>
  <c r="J139" i="7"/>
  <c r="J138" i="7"/>
  <c r="J137" i="7"/>
  <c r="J136" i="7"/>
  <c r="J135" i="7"/>
  <c r="J134" i="7"/>
  <c r="J133" i="7"/>
  <c r="J132" i="7"/>
  <c r="J131" i="7"/>
  <c r="J130" i="7"/>
  <c r="J129" i="7"/>
  <c r="J128" i="7"/>
  <c r="J127" i="7"/>
  <c r="J126" i="7"/>
  <c r="J125" i="7"/>
  <c r="I124" i="7"/>
  <c r="I123" i="7" s="1"/>
  <c r="J122" i="7"/>
  <c r="I121" i="7"/>
  <c r="J120" i="7"/>
  <c r="I119" i="7"/>
  <c r="J115" i="7"/>
  <c r="J114" i="7"/>
  <c r="J113" i="7"/>
  <c r="J112" i="7"/>
  <c r="J111" i="7"/>
  <c r="J109" i="7"/>
  <c r="J108" i="7"/>
  <c r="I107" i="7"/>
  <c r="J105" i="7"/>
  <c r="J104" i="7"/>
  <c r="J103" i="7"/>
  <c r="I102" i="7"/>
  <c r="J100" i="7"/>
  <c r="J99" i="7"/>
  <c r="J97" i="7"/>
  <c r="J96" i="7"/>
  <c r="J95" i="7"/>
  <c r="I94" i="7"/>
  <c r="J92" i="7"/>
  <c r="J91" i="7"/>
  <c r="J90" i="7"/>
  <c r="J89" i="7"/>
  <c r="I88" i="7"/>
  <c r="J84" i="7"/>
  <c r="J83" i="7"/>
  <c r="J80" i="7"/>
  <c r="J78" i="7"/>
  <c r="J77" i="7"/>
  <c r="J75" i="7"/>
  <c r="J74" i="7"/>
  <c r="I73" i="7"/>
  <c r="I72" i="7" s="1"/>
  <c r="I52" i="7"/>
  <c r="I50" i="7" s="1"/>
  <c r="J48" i="7"/>
  <c r="J47" i="7"/>
  <c r="I46" i="7"/>
  <c r="J44" i="7"/>
  <c r="J42" i="7"/>
  <c r="J41" i="7"/>
  <c r="J40" i="7"/>
  <c r="J39" i="7"/>
  <c r="J38" i="7"/>
  <c r="I37" i="7"/>
  <c r="I36" i="7" s="1"/>
  <c r="J34" i="7"/>
  <c r="J33" i="7"/>
  <c r="J32" i="7"/>
  <c r="J30" i="7"/>
  <c r="I29" i="7"/>
  <c r="I27" i="7" s="1"/>
  <c r="I26" i="7" s="1"/>
  <c r="J28" i="7"/>
  <c r="J22" i="7"/>
  <c r="J21" i="7"/>
  <c r="J20" i="7"/>
  <c r="J19" i="7"/>
  <c r="I18" i="7"/>
  <c r="J16" i="7"/>
  <c r="J15" i="7"/>
  <c r="J14" i="7"/>
  <c r="I12" i="7"/>
  <c r="I9" i="7"/>
  <c r="P910" i="21" l="1"/>
  <c r="R214" i="21"/>
  <c r="J209" i="21"/>
  <c r="Q94" i="21"/>
  <c r="Q1147" i="21"/>
  <c r="P289" i="21"/>
  <c r="Q1138" i="21"/>
  <c r="R1146" i="21"/>
  <c r="N94" i="21"/>
  <c r="N434" i="21"/>
  <c r="N868" i="21"/>
  <c r="Q1181" i="21"/>
  <c r="P947" i="21"/>
  <c r="R1193" i="21"/>
  <c r="R870" i="21"/>
  <c r="P156" i="21"/>
  <c r="H945" i="21"/>
  <c r="P945" i="21" s="1"/>
  <c r="R874" i="21"/>
  <c r="Q35" i="21"/>
  <c r="N220" i="21"/>
  <c r="H707" i="21"/>
  <c r="P707" i="21" s="1"/>
  <c r="H1479" i="21"/>
  <c r="P1479" i="21" s="1"/>
  <c r="P82" i="21"/>
  <c r="J1343" i="21"/>
  <c r="R1343" i="21" s="1"/>
  <c r="P1483" i="21"/>
  <c r="Q635" i="21"/>
  <c r="Q422" i="21"/>
  <c r="H1231" i="21"/>
  <c r="H1230" i="21" s="1"/>
  <c r="P1230" i="21" s="1"/>
  <c r="P728" i="21"/>
  <c r="P928" i="21"/>
  <c r="P946" i="21"/>
  <c r="N1201" i="21"/>
  <c r="R875" i="21"/>
  <c r="P957" i="21"/>
  <c r="H956" i="21"/>
  <c r="J956" i="21" s="1"/>
  <c r="R956" i="21" s="1"/>
  <c r="Q893" i="21"/>
  <c r="R872" i="21"/>
  <c r="N974" i="21"/>
  <c r="R932" i="21"/>
  <c r="R876" i="21"/>
  <c r="Q860" i="21"/>
  <c r="N860" i="21"/>
  <c r="R1244" i="21"/>
  <c r="N198" i="21"/>
  <c r="P479" i="21"/>
  <c r="H497" i="21"/>
  <c r="J497" i="21" s="1"/>
  <c r="R497" i="21" s="1"/>
  <c r="P562" i="21"/>
  <c r="P598" i="21"/>
  <c r="J1390" i="21"/>
  <c r="R1390" i="21" s="1"/>
  <c r="R102" i="21"/>
  <c r="R869" i="21"/>
  <c r="N1138" i="21"/>
  <c r="J1297" i="21"/>
  <c r="Q121" i="21"/>
  <c r="J101" i="21"/>
  <c r="P456" i="21"/>
  <c r="P473" i="21"/>
  <c r="P490" i="21"/>
  <c r="P498" i="21"/>
  <c r="P551" i="21"/>
  <c r="J1441" i="21"/>
  <c r="R1441" i="21" s="1"/>
  <c r="R1054" i="21"/>
  <c r="Q1201" i="21"/>
  <c r="N1297" i="21"/>
  <c r="B107" i="21"/>
  <c r="B108" i="21" s="1"/>
  <c r="B109" i="21" s="1"/>
  <c r="B110" i="21" s="1"/>
  <c r="B111" i="21" s="1"/>
  <c r="B112" i="21" s="1"/>
  <c r="B113" i="21" s="1"/>
  <c r="B114" i="21" s="1"/>
  <c r="B115" i="21" s="1"/>
  <c r="B116" i="21" s="1"/>
  <c r="B117" i="21" s="1"/>
  <c r="B118" i="21" s="1"/>
  <c r="B119" i="21" s="1"/>
  <c r="B120" i="21" s="1"/>
  <c r="B121" i="21" s="1"/>
  <c r="B122" i="21" s="1"/>
  <c r="B123" i="21" s="1"/>
  <c r="B124" i="21" s="1"/>
  <c r="B125" i="21" s="1"/>
  <c r="B126" i="21" s="1"/>
  <c r="B127" i="21" s="1"/>
  <c r="B128" i="21" s="1"/>
  <c r="B129" i="21" s="1"/>
  <c r="B130" i="21" s="1"/>
  <c r="B131" i="21" s="1"/>
  <c r="B132" i="21" s="1"/>
  <c r="B133" i="21" s="1"/>
  <c r="B134" i="21" s="1"/>
  <c r="B135" i="21" s="1"/>
  <c r="B136" i="21" s="1"/>
  <c r="B137" i="21" s="1"/>
  <c r="B138" i="21" s="1"/>
  <c r="B139" i="21" s="1"/>
  <c r="B140" i="21" s="1"/>
  <c r="B141" i="21" s="1"/>
  <c r="B142" i="21" s="1"/>
  <c r="B143" i="21" s="1"/>
  <c r="B144" i="21" s="1"/>
  <c r="B145" i="21" s="1"/>
  <c r="B146" i="21" s="1"/>
  <c r="B147" i="21" s="1"/>
  <c r="B148" i="21" s="1"/>
  <c r="B149" i="21" s="1"/>
  <c r="B150" i="21" s="1"/>
  <c r="B151" i="21" s="1"/>
  <c r="B152" i="21" s="1"/>
  <c r="B153" i="21" s="1"/>
  <c r="B154" i="21" s="1"/>
  <c r="B155" i="21" s="1"/>
  <c r="B156" i="21" s="1"/>
  <c r="R104" i="21"/>
  <c r="R1179" i="21"/>
  <c r="R103" i="21"/>
  <c r="R208" i="21"/>
  <c r="R215" i="21"/>
  <c r="R118" i="21"/>
  <c r="R1043" i="21"/>
  <c r="Q1230" i="21"/>
  <c r="J181" i="21"/>
  <c r="R181" i="21" s="1"/>
  <c r="P181" i="21"/>
  <c r="J1135" i="21"/>
  <c r="R1135" i="21" s="1"/>
  <c r="P1135" i="21"/>
  <c r="J1227" i="21"/>
  <c r="R1227" i="21" s="1"/>
  <c r="P1227" i="21"/>
  <c r="I295" i="21"/>
  <c r="Q295" i="21" s="1"/>
  <c r="Q298" i="21"/>
  <c r="N109" i="21"/>
  <c r="J361" i="21"/>
  <c r="R361" i="21" s="1"/>
  <c r="P361" i="21"/>
  <c r="J388" i="21"/>
  <c r="R388" i="21" s="1"/>
  <c r="P388" i="21"/>
  <c r="J413" i="21"/>
  <c r="R413" i="21" s="1"/>
  <c r="P413" i="21"/>
  <c r="H412" i="21"/>
  <c r="P412" i="21" s="1"/>
  <c r="N877" i="21"/>
  <c r="J1017" i="21"/>
  <c r="R1017" i="21" s="1"/>
  <c r="P1017" i="21"/>
  <c r="J1420" i="21"/>
  <c r="R1420" i="21" s="1"/>
  <c r="H1415" i="21"/>
  <c r="J1415" i="21" s="1"/>
  <c r="R1415" i="21" s="1"/>
  <c r="J369" i="21"/>
  <c r="R369" i="21" s="1"/>
  <c r="P369" i="21"/>
  <c r="J395" i="21"/>
  <c r="R395" i="21" s="1"/>
  <c r="P395" i="21"/>
  <c r="H394" i="21"/>
  <c r="P394" i="21" s="1"/>
  <c r="J861" i="21"/>
  <c r="R861" i="21" s="1"/>
  <c r="P861" i="21"/>
  <c r="H1216" i="21"/>
  <c r="J1216" i="21" s="1"/>
  <c r="R1216" i="21" s="1"/>
  <c r="J1403" i="21"/>
  <c r="R1403" i="21" s="1"/>
  <c r="H1401" i="21"/>
  <c r="J1401" i="21" s="1"/>
  <c r="R1401" i="21" s="1"/>
  <c r="I1306" i="21"/>
  <c r="Q1306" i="21" s="1"/>
  <c r="Q1307" i="21"/>
  <c r="N573" i="21"/>
  <c r="R601" i="21"/>
  <c r="R765" i="21"/>
  <c r="N829" i="21"/>
  <c r="H1256" i="21"/>
  <c r="J1256" i="21" s="1"/>
  <c r="R1256" i="21" s="1"/>
  <c r="H1275" i="21"/>
  <c r="J1275" i="21" s="1"/>
  <c r="R1275" i="21" s="1"/>
  <c r="R1290" i="21"/>
  <c r="R1304" i="21"/>
  <c r="H1334" i="21"/>
  <c r="J1334" i="21" s="1"/>
  <c r="R1334" i="21" s="1"/>
  <c r="H1359" i="21"/>
  <c r="J1359" i="21" s="1"/>
  <c r="R1359" i="21" s="1"/>
  <c r="H1387" i="21"/>
  <c r="H1431" i="21"/>
  <c r="J1431" i="21" s="1"/>
  <c r="R1431" i="21" s="1"/>
  <c r="Q152" i="21"/>
  <c r="I178" i="21"/>
  <c r="Q178" i="21" s="1"/>
  <c r="M163" i="21"/>
  <c r="H9" i="15" s="1"/>
  <c r="R205" i="21"/>
  <c r="R201" i="21"/>
  <c r="Q829" i="21"/>
  <c r="R376" i="21"/>
  <c r="R372" i="21"/>
  <c r="R398" i="21"/>
  <c r="R410" i="21"/>
  <c r="R418" i="21"/>
  <c r="R458" i="21"/>
  <c r="R487" i="21"/>
  <c r="R503" i="21"/>
  <c r="R511" i="21"/>
  <c r="R532" i="21"/>
  <c r="R582" i="21"/>
  <c r="R609" i="21"/>
  <c r="R617" i="21"/>
  <c r="R643" i="21"/>
  <c r="R711" i="21"/>
  <c r="R769" i="21"/>
  <c r="R809" i="21"/>
  <c r="R828" i="21"/>
  <c r="R881" i="21"/>
  <c r="R930" i="21"/>
  <c r="R1012" i="21"/>
  <c r="R1051" i="21"/>
  <c r="R1107" i="21"/>
  <c r="R1184" i="21"/>
  <c r="R1224" i="21"/>
  <c r="R1237" i="21"/>
  <c r="R1241" i="21"/>
  <c r="R1261" i="21"/>
  <c r="R1269" i="21"/>
  <c r="Q1256" i="21"/>
  <c r="R687" i="21"/>
  <c r="R912" i="21"/>
  <c r="R988" i="21"/>
  <c r="R1008" i="21"/>
  <c r="R1091" i="21"/>
  <c r="N1147" i="21"/>
  <c r="R1312" i="21"/>
  <c r="R100" i="21"/>
  <c r="R106" i="21"/>
  <c r="R122" i="21"/>
  <c r="R130" i="21"/>
  <c r="R126" i="21"/>
  <c r="R154" i="21"/>
  <c r="R217" i="21"/>
  <c r="M237" i="21"/>
  <c r="H10" i="15" s="1"/>
  <c r="R367" i="21"/>
  <c r="R402" i="21"/>
  <c r="R544" i="21"/>
  <c r="R595" i="21"/>
  <c r="R621" i="21"/>
  <c r="R630" i="21"/>
  <c r="R639" i="21"/>
  <c r="R663" i="21"/>
  <c r="R833" i="21"/>
  <c r="R841" i="21"/>
  <c r="R849" i="21"/>
  <c r="R891" i="21"/>
  <c r="R907" i="21"/>
  <c r="R1042" i="21"/>
  <c r="R1061" i="21"/>
  <c r="R1103" i="21"/>
  <c r="R1174" i="21"/>
  <c r="R1233" i="21"/>
  <c r="R1257" i="21"/>
  <c r="R1265" i="21"/>
  <c r="R1295" i="21"/>
  <c r="R1300" i="21"/>
  <c r="N368" i="21"/>
  <c r="R427" i="21"/>
  <c r="R479" i="21"/>
  <c r="R483" i="21"/>
  <c r="R528" i="21"/>
  <c r="R683" i="21"/>
  <c r="R699" i="21"/>
  <c r="P796" i="21"/>
  <c r="P852" i="21"/>
  <c r="P870" i="21"/>
  <c r="R947" i="21"/>
  <c r="R976" i="21"/>
  <c r="R1020" i="21"/>
  <c r="P1046" i="21"/>
  <c r="P1050" i="21"/>
  <c r="P1234" i="21"/>
  <c r="R1273" i="21"/>
  <c r="R1277" i="21"/>
  <c r="R1321" i="21"/>
  <c r="R1325" i="21"/>
  <c r="J1369" i="21"/>
  <c r="R1369" i="21" s="1"/>
  <c r="R114" i="21"/>
  <c r="R117" i="21"/>
  <c r="R139" i="21"/>
  <c r="R150" i="21"/>
  <c r="Q124" i="21"/>
  <c r="Q209" i="21"/>
  <c r="R167" i="21"/>
  <c r="R207" i="21"/>
  <c r="R203" i="21"/>
  <c r="Q877" i="21"/>
  <c r="Q573" i="21"/>
  <c r="R475" i="21"/>
  <c r="R495" i="21"/>
  <c r="R524" i="21"/>
  <c r="R564" i="21"/>
  <c r="R578" i="21"/>
  <c r="R634" i="21"/>
  <c r="R667" i="21"/>
  <c r="R691" i="21"/>
  <c r="R729" i="21"/>
  <c r="R737" i="21"/>
  <c r="R745" i="21"/>
  <c r="R753" i="21"/>
  <c r="R785" i="21"/>
  <c r="R789" i="21"/>
  <c r="R867" i="21"/>
  <c r="R963" i="21"/>
  <c r="R971" i="21"/>
  <c r="R980" i="21"/>
  <c r="R984" i="21"/>
  <c r="R992" i="21"/>
  <c r="R1073" i="21"/>
  <c r="R1170" i="21"/>
  <c r="R1208" i="21"/>
  <c r="R1212" i="21"/>
  <c r="Q1216" i="21"/>
  <c r="R1281" i="21"/>
  <c r="R1308" i="21"/>
  <c r="N901" i="21"/>
  <c r="R908" i="21"/>
  <c r="Q901" i="21"/>
  <c r="Q868" i="21"/>
  <c r="M820" i="21"/>
  <c r="R859" i="21"/>
  <c r="N821" i="21"/>
  <c r="Q821" i="21"/>
  <c r="P108" i="21"/>
  <c r="N108" i="21"/>
  <c r="P206" i="21"/>
  <c r="J206" i="21"/>
  <c r="R206" i="21" s="1"/>
  <c r="P288" i="21"/>
  <c r="J288" i="21"/>
  <c r="R288" i="21" s="1"/>
  <c r="P292" i="21"/>
  <c r="J292" i="21"/>
  <c r="R292" i="21" s="1"/>
  <c r="P320" i="21"/>
  <c r="N320" i="21"/>
  <c r="R320" i="21" s="1"/>
  <c r="P330" i="21"/>
  <c r="N330" i="21"/>
  <c r="R330" i="21" s="1"/>
  <c r="P341" i="21"/>
  <c r="N341" i="21"/>
  <c r="R341" i="21" s="1"/>
  <c r="P387" i="21"/>
  <c r="J387" i="21"/>
  <c r="R387" i="21" s="1"/>
  <c r="P397" i="21"/>
  <c r="J397" i="21"/>
  <c r="R397" i="21" s="1"/>
  <c r="P415" i="21"/>
  <c r="J415" i="21"/>
  <c r="R415" i="21" s="1"/>
  <c r="P101" i="21"/>
  <c r="L105" i="21"/>
  <c r="N105" i="21" s="1"/>
  <c r="P109" i="21"/>
  <c r="J109" i="21"/>
  <c r="H121" i="21"/>
  <c r="P121" i="21" s="1"/>
  <c r="P146" i="21"/>
  <c r="P169" i="21"/>
  <c r="J169" i="21"/>
  <c r="R169" i="21" s="1"/>
  <c r="P174" i="21"/>
  <c r="J174" i="21"/>
  <c r="R174" i="21" s="1"/>
  <c r="P186" i="21"/>
  <c r="J186" i="21"/>
  <c r="R186" i="21" s="1"/>
  <c r="P224" i="21"/>
  <c r="J224" i="21"/>
  <c r="R224" i="21" s="1"/>
  <c r="P249" i="21"/>
  <c r="P252" i="21"/>
  <c r="H257" i="21"/>
  <c r="P257" i="21" s="1"/>
  <c r="P263" i="21"/>
  <c r="P267" i="21"/>
  <c r="N267" i="21"/>
  <c r="R267" i="21" s="1"/>
  <c r="P298" i="21"/>
  <c r="J298" i="21"/>
  <c r="R298" i="21" s="1"/>
  <c r="P302" i="21"/>
  <c r="J302" i="21"/>
  <c r="R302" i="21" s="1"/>
  <c r="P314" i="21"/>
  <c r="P317" i="21"/>
  <c r="P324" i="21"/>
  <c r="P327" i="21"/>
  <c r="P331" i="21"/>
  <c r="N331" i="21"/>
  <c r="R331" i="21" s="1"/>
  <c r="P334" i="21"/>
  <c r="P379" i="21"/>
  <c r="P409" i="21"/>
  <c r="J409" i="21"/>
  <c r="R409" i="21" s="1"/>
  <c r="P424" i="21"/>
  <c r="P427" i="21"/>
  <c r="P435" i="21"/>
  <c r="J435" i="21"/>
  <c r="R435" i="21" s="1"/>
  <c r="H437" i="21"/>
  <c r="H434" i="21" s="1"/>
  <c r="J439" i="21"/>
  <c r="R439" i="21" s="1"/>
  <c r="P447" i="21"/>
  <c r="J447" i="21"/>
  <c r="R447" i="21" s="1"/>
  <c r="H463" i="21"/>
  <c r="P466" i="21"/>
  <c r="J466" i="21"/>
  <c r="R466" i="21" s="1"/>
  <c r="H470" i="21"/>
  <c r="J471" i="21"/>
  <c r="R471" i="21" s="1"/>
  <c r="P492" i="21"/>
  <c r="J492" i="21"/>
  <c r="R492" i="21" s="1"/>
  <c r="P499" i="21"/>
  <c r="J499" i="21"/>
  <c r="R499" i="21" s="1"/>
  <c r="P508" i="21"/>
  <c r="J508" i="21"/>
  <c r="R508" i="21" s="1"/>
  <c r="P539" i="21"/>
  <c r="J539" i="21"/>
  <c r="R539" i="21" s="1"/>
  <c r="P552" i="21"/>
  <c r="J552" i="21"/>
  <c r="R552" i="21" s="1"/>
  <c r="P575" i="21"/>
  <c r="J575" i="21"/>
  <c r="R575" i="21" s="1"/>
  <c r="P608" i="21"/>
  <c r="J608" i="21"/>
  <c r="R608" i="21" s="1"/>
  <c r="P613" i="21"/>
  <c r="J613" i="21"/>
  <c r="R613" i="21" s="1"/>
  <c r="P622" i="21"/>
  <c r="J622" i="21"/>
  <c r="R622" i="21" s="1"/>
  <c r="P637" i="21"/>
  <c r="J637" i="21"/>
  <c r="R637" i="21" s="1"/>
  <c r="P673" i="21"/>
  <c r="J673" i="21"/>
  <c r="R673" i="21" s="1"/>
  <c r="P703" i="21"/>
  <c r="J703" i="21"/>
  <c r="R703" i="21" s="1"/>
  <c r="P721" i="21"/>
  <c r="J721" i="21"/>
  <c r="R721" i="21" s="1"/>
  <c r="P743" i="21"/>
  <c r="J743" i="21"/>
  <c r="R743" i="21" s="1"/>
  <c r="P751" i="21"/>
  <c r="P759" i="21"/>
  <c r="J759" i="21"/>
  <c r="R759" i="21" s="1"/>
  <c r="P767" i="21"/>
  <c r="P781" i="21"/>
  <c r="J781" i="21"/>
  <c r="R781" i="21" s="1"/>
  <c r="P800" i="21"/>
  <c r="J800" i="21"/>
  <c r="R800" i="21" s="1"/>
  <c r="P822" i="21"/>
  <c r="J822" i="21"/>
  <c r="R822" i="21" s="1"/>
  <c r="P830" i="21"/>
  <c r="J830" i="21"/>
  <c r="R830" i="21" s="1"/>
  <c r="P839" i="21"/>
  <c r="J839" i="21"/>
  <c r="R839" i="21" s="1"/>
  <c r="P862" i="21"/>
  <c r="J862" i="21"/>
  <c r="R862" i="21" s="1"/>
  <c r="P886" i="21"/>
  <c r="J886" i="21"/>
  <c r="R886" i="21" s="1"/>
  <c r="P895" i="21"/>
  <c r="J895" i="21"/>
  <c r="R895" i="21" s="1"/>
  <c r="P902" i="21"/>
  <c r="P918" i="21"/>
  <c r="J918" i="21"/>
  <c r="R918" i="21" s="1"/>
  <c r="P926" i="21"/>
  <c r="J926" i="21"/>
  <c r="R926" i="21" s="1"/>
  <c r="P936" i="21"/>
  <c r="J936" i="21"/>
  <c r="R936" i="21" s="1"/>
  <c r="P958" i="21"/>
  <c r="J958" i="21"/>
  <c r="R958" i="21" s="1"/>
  <c r="P967" i="21"/>
  <c r="J967" i="21"/>
  <c r="R967" i="21" s="1"/>
  <c r="H975" i="21"/>
  <c r="P978" i="21"/>
  <c r="J978" i="21"/>
  <c r="R978" i="21" s="1"/>
  <c r="P989" i="21"/>
  <c r="P998" i="21"/>
  <c r="P1002" i="21"/>
  <c r="J1002" i="21"/>
  <c r="R1002" i="21" s="1"/>
  <c r="P1011" i="21"/>
  <c r="J1011" i="21"/>
  <c r="R1011" i="21" s="1"/>
  <c r="P1020" i="21"/>
  <c r="P1023" i="21"/>
  <c r="J1023" i="21"/>
  <c r="R1023" i="21" s="1"/>
  <c r="P1032" i="21"/>
  <c r="J1032" i="21"/>
  <c r="R1032" i="21" s="1"/>
  <c r="P1036" i="21"/>
  <c r="J1036" i="21"/>
  <c r="R1036" i="21" s="1"/>
  <c r="L1075" i="21"/>
  <c r="N1075" i="21" s="1"/>
  <c r="N1076" i="21"/>
  <c r="P1091" i="21"/>
  <c r="P1099" i="21"/>
  <c r="J1099" i="21"/>
  <c r="R1099" i="21" s="1"/>
  <c r="P1124" i="21"/>
  <c r="J1124" i="21"/>
  <c r="R1124" i="21" s="1"/>
  <c r="P1144" i="21"/>
  <c r="J1144" i="21"/>
  <c r="R1144" i="21" s="1"/>
  <c r="P1151" i="21"/>
  <c r="J1151" i="21"/>
  <c r="R1151" i="21" s="1"/>
  <c r="P1177" i="21"/>
  <c r="N1177" i="21"/>
  <c r="R1177" i="21" s="1"/>
  <c r="H1453" i="21"/>
  <c r="J1453" i="21" s="1"/>
  <c r="R1453" i="21" s="1"/>
  <c r="I7" i="15"/>
  <c r="J80" i="21"/>
  <c r="R80" i="21" s="1"/>
  <c r="J84" i="21"/>
  <c r="R84" i="21" s="1"/>
  <c r="Q145" i="21"/>
  <c r="J97" i="21"/>
  <c r="R97" i="21" s="1"/>
  <c r="R108" i="21"/>
  <c r="R115" i="21"/>
  <c r="R133" i="21"/>
  <c r="N101" i="21"/>
  <c r="P259" i="21"/>
  <c r="J259" i="21"/>
  <c r="R259" i="21" s="1"/>
  <c r="P307" i="21"/>
  <c r="N307" i="21"/>
  <c r="R307" i="21" s="1"/>
  <c r="P153" i="21"/>
  <c r="J153" i="21"/>
  <c r="R153" i="21" s="1"/>
  <c r="P187" i="21"/>
  <c r="J187" i="21"/>
  <c r="R187" i="21" s="1"/>
  <c r="L250" i="21"/>
  <c r="N250" i="21" s="1"/>
  <c r="P253" i="21"/>
  <c r="J253" i="21"/>
  <c r="R253" i="21" s="1"/>
  <c r="P294" i="21"/>
  <c r="J294" i="21"/>
  <c r="R294" i="21" s="1"/>
  <c r="P304" i="21"/>
  <c r="N304" i="21"/>
  <c r="R304" i="21" s="1"/>
  <c r="P312" i="21"/>
  <c r="N312" i="21"/>
  <c r="R312" i="21" s="1"/>
  <c r="P347" i="21"/>
  <c r="N347" i="21"/>
  <c r="R347" i="21" s="1"/>
  <c r="P380" i="21"/>
  <c r="J380" i="21"/>
  <c r="R380" i="21" s="1"/>
  <c r="H425" i="21"/>
  <c r="P425" i="21" s="1"/>
  <c r="P472" i="21"/>
  <c r="J472" i="21"/>
  <c r="R472" i="21" s="1"/>
  <c r="P497" i="21"/>
  <c r="P500" i="21"/>
  <c r="J500" i="21"/>
  <c r="R500" i="21" s="1"/>
  <c r="H540" i="21"/>
  <c r="H537" i="21" s="1"/>
  <c r="J545" i="21"/>
  <c r="R545" i="21" s="1"/>
  <c r="P548" i="21"/>
  <c r="J548" i="21"/>
  <c r="R548" i="21" s="1"/>
  <c r="P571" i="21"/>
  <c r="J571" i="21"/>
  <c r="R571" i="21" s="1"/>
  <c r="P581" i="21"/>
  <c r="J581" i="21"/>
  <c r="R581" i="21" s="1"/>
  <c r="P586" i="21"/>
  <c r="J586" i="21"/>
  <c r="R586" i="21" s="1"/>
  <c r="P591" i="21"/>
  <c r="J591" i="21"/>
  <c r="R591" i="21" s="1"/>
  <c r="P614" i="21"/>
  <c r="J614" i="21"/>
  <c r="R614" i="21" s="1"/>
  <c r="P623" i="21"/>
  <c r="J623" i="21"/>
  <c r="R623" i="21" s="1"/>
  <c r="P638" i="21"/>
  <c r="J638" i="21"/>
  <c r="R638" i="21" s="1"/>
  <c r="P642" i="21"/>
  <c r="J642" i="21"/>
  <c r="R642" i="21" s="1"/>
  <c r="P664" i="21"/>
  <c r="J664" i="21"/>
  <c r="R664" i="21" s="1"/>
  <c r="P668" i="21"/>
  <c r="J668" i="21"/>
  <c r="R668" i="21" s="1"/>
  <c r="P674" i="21"/>
  <c r="J674" i="21"/>
  <c r="R674" i="21" s="1"/>
  <c r="P679" i="21"/>
  <c r="J679" i="21"/>
  <c r="R679" i="21" s="1"/>
  <c r="P684" i="21"/>
  <c r="J684" i="21"/>
  <c r="R684" i="21" s="1"/>
  <c r="P689" i="21"/>
  <c r="J689" i="21"/>
  <c r="R689" i="21" s="1"/>
  <c r="P700" i="21"/>
  <c r="J700" i="21"/>
  <c r="R700" i="21" s="1"/>
  <c r="P709" i="21"/>
  <c r="J709" i="21"/>
  <c r="R709" i="21" s="1"/>
  <c r="P713" i="21"/>
  <c r="J713" i="21"/>
  <c r="R713" i="21" s="1"/>
  <c r="P727" i="21"/>
  <c r="J727" i="21"/>
  <c r="R727" i="21" s="1"/>
  <c r="P735" i="21"/>
  <c r="J735" i="21"/>
  <c r="R735" i="21" s="1"/>
  <c r="P744" i="21"/>
  <c r="J744" i="21"/>
  <c r="R744" i="21" s="1"/>
  <c r="P761" i="21"/>
  <c r="J761" i="21"/>
  <c r="R761" i="21" s="1"/>
  <c r="P782" i="21"/>
  <c r="J782" i="21"/>
  <c r="R782" i="21" s="1"/>
  <c r="P801" i="21"/>
  <c r="J801" i="21"/>
  <c r="R801" i="21" s="1"/>
  <c r="P823" i="21"/>
  <c r="J823" i="21"/>
  <c r="R823" i="21" s="1"/>
  <c r="P840" i="21"/>
  <c r="J840" i="21"/>
  <c r="R840" i="21" s="1"/>
  <c r="H844" i="21"/>
  <c r="J845" i="21"/>
  <c r="R845" i="21" s="1"/>
  <c r="P863" i="21"/>
  <c r="J863" i="21"/>
  <c r="R863" i="21" s="1"/>
  <c r="P878" i="21"/>
  <c r="J878" i="21"/>
  <c r="R878" i="21" s="1"/>
  <c r="P887" i="21"/>
  <c r="J887" i="21"/>
  <c r="R887" i="21" s="1"/>
  <c r="P896" i="21"/>
  <c r="J896" i="21"/>
  <c r="R896" i="21" s="1"/>
  <c r="P900" i="21"/>
  <c r="N900" i="21"/>
  <c r="R900" i="21" s="1"/>
  <c r="P919" i="21"/>
  <c r="J919" i="21"/>
  <c r="R919" i="21" s="1"/>
  <c r="P927" i="21"/>
  <c r="J927" i="21"/>
  <c r="R927" i="21" s="1"/>
  <c r="P937" i="21"/>
  <c r="J937" i="21"/>
  <c r="R937" i="21" s="1"/>
  <c r="P959" i="21"/>
  <c r="J959" i="21"/>
  <c r="R959" i="21" s="1"/>
  <c r="P968" i="21"/>
  <c r="J968" i="21"/>
  <c r="R968" i="21" s="1"/>
  <c r="P1045" i="21"/>
  <c r="J1045" i="21"/>
  <c r="R1045" i="21" s="1"/>
  <c r="H1047" i="21"/>
  <c r="H1044" i="21" s="1"/>
  <c r="P1044" i="21" s="1"/>
  <c r="J1049" i="21"/>
  <c r="R1049" i="21" s="1"/>
  <c r="P1057" i="21"/>
  <c r="J1057" i="21"/>
  <c r="R1057" i="21" s="1"/>
  <c r="P1062" i="21"/>
  <c r="J1062" i="21"/>
  <c r="R1062" i="21" s="1"/>
  <c r="P1067" i="21"/>
  <c r="J1067" i="21"/>
  <c r="R1067" i="21" s="1"/>
  <c r="H1076" i="21"/>
  <c r="P1076" i="21" s="1"/>
  <c r="J1077" i="21"/>
  <c r="R1077" i="21" s="1"/>
  <c r="P1081" i="21"/>
  <c r="J1081" i="21"/>
  <c r="R1081" i="21" s="1"/>
  <c r="P1141" i="21"/>
  <c r="J1141" i="21"/>
  <c r="R1141" i="21" s="1"/>
  <c r="P1148" i="21"/>
  <c r="J1148" i="21"/>
  <c r="R1148" i="21" s="1"/>
  <c r="P1185" i="21"/>
  <c r="J1185" i="21"/>
  <c r="R1185" i="21" s="1"/>
  <c r="P1205" i="21"/>
  <c r="J1205" i="21"/>
  <c r="R1205" i="21" s="1"/>
  <c r="P1218" i="21"/>
  <c r="J1218" i="21"/>
  <c r="R1218" i="21" s="1"/>
  <c r="P1229" i="21"/>
  <c r="J1229" i="21"/>
  <c r="R1229" i="21" s="1"/>
  <c r="P1480" i="21"/>
  <c r="J1480" i="21"/>
  <c r="R1480" i="21" s="1"/>
  <c r="P1487" i="21"/>
  <c r="J1487" i="21"/>
  <c r="R1487" i="21" s="1"/>
  <c r="Q25" i="21"/>
  <c r="J107" i="21"/>
  <c r="R107" i="21" s="1"/>
  <c r="J138" i="21"/>
  <c r="R138" i="21" s="1"/>
  <c r="J148" i="21"/>
  <c r="R148" i="21" s="1"/>
  <c r="N156" i="21"/>
  <c r="R156" i="21" s="1"/>
  <c r="P116" i="21"/>
  <c r="N116" i="21"/>
  <c r="R116" i="21" s="1"/>
  <c r="P164" i="21"/>
  <c r="J164" i="21"/>
  <c r="R164" i="21" s="1"/>
  <c r="P218" i="21"/>
  <c r="N218" i="21"/>
  <c r="R218" i="21" s="1"/>
  <c r="P99" i="21"/>
  <c r="J99" i="21"/>
  <c r="R99" i="21" s="1"/>
  <c r="P147" i="21"/>
  <c r="J147" i="21"/>
  <c r="R147" i="21" s="1"/>
  <c r="P170" i="21"/>
  <c r="J170" i="21"/>
  <c r="R170" i="21" s="1"/>
  <c r="H202" i="21"/>
  <c r="J202" i="21" s="1"/>
  <c r="R202" i="21" s="1"/>
  <c r="J204" i="21"/>
  <c r="R204" i="21" s="1"/>
  <c r="P216" i="21"/>
  <c r="N216" i="21"/>
  <c r="R216" i="21" s="1"/>
  <c r="P239" i="21"/>
  <c r="J239" i="21"/>
  <c r="R239" i="21" s="1"/>
  <c r="I261" i="7"/>
  <c r="I259" i="7" s="1"/>
  <c r="I272" i="7" s="1"/>
  <c r="I282" i="7" s="1"/>
  <c r="H3" i="15" s="1"/>
  <c r="P137" i="21"/>
  <c r="J137" i="21"/>
  <c r="R137" i="21" s="1"/>
  <c r="P141" i="21"/>
  <c r="J141" i="21"/>
  <c r="R141" i="21" s="1"/>
  <c r="P172" i="21"/>
  <c r="J172" i="21"/>
  <c r="R172" i="21" s="1"/>
  <c r="P176" i="21"/>
  <c r="J176" i="21"/>
  <c r="R176" i="21" s="1"/>
  <c r="P195" i="21"/>
  <c r="J195" i="21"/>
  <c r="R195" i="21" s="1"/>
  <c r="P244" i="21"/>
  <c r="P248" i="21"/>
  <c r="J248" i="21"/>
  <c r="R248" i="21" s="1"/>
  <c r="H251" i="21"/>
  <c r="P251" i="21" s="1"/>
  <c r="P258" i="21"/>
  <c r="P261" i="21"/>
  <c r="P268" i="21"/>
  <c r="P287" i="21"/>
  <c r="J287" i="21"/>
  <c r="R287" i="21" s="1"/>
  <c r="P291" i="21"/>
  <c r="J291" i="21"/>
  <c r="R291" i="21" s="1"/>
  <c r="P309" i="21"/>
  <c r="P313" i="21"/>
  <c r="N313" i="21"/>
  <c r="R313" i="21" s="1"/>
  <c r="P319" i="21"/>
  <c r="N319" i="21"/>
  <c r="R319" i="21" s="1"/>
  <c r="P336" i="21"/>
  <c r="N336" i="21"/>
  <c r="R336" i="21" s="1"/>
  <c r="P340" i="21"/>
  <c r="N340" i="21"/>
  <c r="R340" i="21" s="1"/>
  <c r="P362" i="21"/>
  <c r="J362" i="21"/>
  <c r="R362" i="21" s="1"/>
  <c r="H378" i="21"/>
  <c r="P381" i="21"/>
  <c r="J381" i="21"/>
  <c r="R381" i="21" s="1"/>
  <c r="P386" i="21"/>
  <c r="J386" i="21"/>
  <c r="R386" i="21" s="1"/>
  <c r="P396" i="21"/>
  <c r="J396" i="21"/>
  <c r="R396" i="21" s="1"/>
  <c r="P406" i="21"/>
  <c r="J406" i="21"/>
  <c r="R406" i="21" s="1"/>
  <c r="P414" i="21"/>
  <c r="J414" i="21"/>
  <c r="R414" i="21" s="1"/>
  <c r="P423" i="21"/>
  <c r="J423" i="21"/>
  <c r="R423" i="21" s="1"/>
  <c r="P433" i="21"/>
  <c r="P436" i="21"/>
  <c r="P445" i="21"/>
  <c r="J445" i="21"/>
  <c r="R445" i="21" s="1"/>
  <c r="P453" i="21"/>
  <c r="N453" i="21"/>
  <c r="R453" i="21" s="1"/>
  <c r="P457" i="21"/>
  <c r="J457" i="21"/>
  <c r="R457" i="21" s="1"/>
  <c r="P464" i="21"/>
  <c r="P480" i="21"/>
  <c r="J480" i="21"/>
  <c r="R480" i="21" s="1"/>
  <c r="P518" i="21"/>
  <c r="P528" i="21"/>
  <c r="P536" i="21"/>
  <c r="J536" i="21"/>
  <c r="R536" i="21" s="1"/>
  <c r="P545" i="21"/>
  <c r="P555" i="21"/>
  <c r="J555" i="21"/>
  <c r="R555" i="21" s="1"/>
  <c r="P559" i="21"/>
  <c r="J559" i="21"/>
  <c r="R559" i="21" s="1"/>
  <c r="P587" i="21"/>
  <c r="J587" i="21"/>
  <c r="R587" i="21" s="1"/>
  <c r="H615" i="21"/>
  <c r="J615" i="21" s="1"/>
  <c r="R615" i="21" s="1"/>
  <c r="J620" i="21"/>
  <c r="R620" i="21" s="1"/>
  <c r="P626" i="21"/>
  <c r="J626" i="21"/>
  <c r="R626" i="21" s="1"/>
  <c r="L624" i="21"/>
  <c r="N624" i="21" s="1"/>
  <c r="N635" i="21"/>
  <c r="P655" i="21"/>
  <c r="J655" i="21"/>
  <c r="R655" i="21" s="1"/>
  <c r="P660" i="21"/>
  <c r="J660" i="21"/>
  <c r="R660" i="21" s="1"/>
  <c r="P665" i="21"/>
  <c r="J665" i="21"/>
  <c r="R665" i="21" s="1"/>
  <c r="P690" i="21"/>
  <c r="J690" i="21"/>
  <c r="R690" i="21" s="1"/>
  <c r="P696" i="21"/>
  <c r="J696" i="21"/>
  <c r="R696" i="21" s="1"/>
  <c r="P706" i="21"/>
  <c r="J706" i="21"/>
  <c r="R706" i="21" s="1"/>
  <c r="P710" i="21"/>
  <c r="J710" i="21"/>
  <c r="R710" i="21" s="1"/>
  <c r="P719" i="21"/>
  <c r="J719" i="21"/>
  <c r="R719" i="21" s="1"/>
  <c r="P736" i="21"/>
  <c r="J736" i="21"/>
  <c r="R736" i="21" s="1"/>
  <c r="P752" i="21"/>
  <c r="P762" i="21"/>
  <c r="J762" i="21"/>
  <c r="R762" i="21" s="1"/>
  <c r="P766" i="21"/>
  <c r="P774" i="21"/>
  <c r="J774" i="21"/>
  <c r="R774" i="21" s="1"/>
  <c r="P778" i="21"/>
  <c r="P807" i="21"/>
  <c r="J807" i="21"/>
  <c r="R807" i="21" s="1"/>
  <c r="P824" i="21"/>
  <c r="J824" i="21"/>
  <c r="R824" i="21" s="1"/>
  <c r="P832" i="21"/>
  <c r="J832" i="21"/>
  <c r="R832" i="21" s="1"/>
  <c r="P846" i="21"/>
  <c r="J846" i="21"/>
  <c r="R846" i="21" s="1"/>
  <c r="P853" i="21"/>
  <c r="J853" i="21"/>
  <c r="R853" i="21" s="1"/>
  <c r="P871" i="21"/>
  <c r="J871" i="21"/>
  <c r="R871" i="21" s="1"/>
  <c r="P879" i="21"/>
  <c r="J879" i="21"/>
  <c r="R879" i="21" s="1"/>
  <c r="P889" i="21"/>
  <c r="J889" i="21"/>
  <c r="R889" i="21" s="1"/>
  <c r="L893" i="21"/>
  <c r="N893" i="21" s="1"/>
  <c r="P904" i="21"/>
  <c r="J904" i="21"/>
  <c r="R904" i="21" s="1"/>
  <c r="P911" i="21"/>
  <c r="J911" i="21"/>
  <c r="R911" i="21" s="1"/>
  <c r="P920" i="21"/>
  <c r="J920" i="21"/>
  <c r="R920" i="21" s="1"/>
  <c r="P938" i="21"/>
  <c r="J938" i="21"/>
  <c r="R938" i="21" s="1"/>
  <c r="P948" i="21"/>
  <c r="J948" i="21"/>
  <c r="R948" i="21" s="1"/>
  <c r="P976" i="21"/>
  <c r="P988" i="21"/>
  <c r="P999" i="21"/>
  <c r="P1004" i="21"/>
  <c r="J1004" i="21"/>
  <c r="R1004" i="21" s="1"/>
  <c r="P1008" i="21"/>
  <c r="P1013" i="21"/>
  <c r="J1013" i="21"/>
  <c r="R1013" i="21" s="1"/>
  <c r="P1018" i="21"/>
  <c r="J1018" i="21"/>
  <c r="R1018" i="21" s="1"/>
  <c r="P1021" i="21"/>
  <c r="P1026" i="21"/>
  <c r="J1026" i="21"/>
  <c r="R1026" i="21" s="1"/>
  <c r="P1030" i="21"/>
  <c r="L1034" i="21"/>
  <c r="P1038" i="21"/>
  <c r="J1038" i="21"/>
  <c r="R1038" i="21" s="1"/>
  <c r="P1063" i="21"/>
  <c r="J1063" i="21"/>
  <c r="R1063" i="21" s="1"/>
  <c r="P1068" i="21"/>
  <c r="J1068" i="21"/>
  <c r="R1068" i="21" s="1"/>
  <c r="P1077" i="21"/>
  <c r="H1090" i="21"/>
  <c r="H1089" i="21" s="1"/>
  <c r="P1089" i="21" s="1"/>
  <c r="J1093" i="21"/>
  <c r="R1093" i="21" s="1"/>
  <c r="P1101" i="21"/>
  <c r="J1101" i="21"/>
  <c r="R1101" i="21" s="1"/>
  <c r="P1109" i="21"/>
  <c r="J1109" i="21"/>
  <c r="R1109" i="21" s="1"/>
  <c r="P1219" i="21"/>
  <c r="J1219" i="21"/>
  <c r="R1219" i="21" s="1"/>
  <c r="P1223" i="21"/>
  <c r="J1223" i="21"/>
  <c r="R1223" i="21" s="1"/>
  <c r="P1325" i="21"/>
  <c r="H1459" i="21"/>
  <c r="J1459" i="21" s="1"/>
  <c r="R1459" i="21" s="1"/>
  <c r="P1481" i="21"/>
  <c r="J1481" i="21"/>
  <c r="R1481" i="21" s="1"/>
  <c r="Q60" i="21"/>
  <c r="I78" i="21"/>
  <c r="Q79" i="21"/>
  <c r="R136" i="21"/>
  <c r="J142" i="21"/>
  <c r="R142" i="21" s="1"/>
  <c r="R151" i="21"/>
  <c r="N119" i="21"/>
  <c r="R119" i="21" s="1"/>
  <c r="Q135" i="21"/>
  <c r="P173" i="21"/>
  <c r="J173" i="21"/>
  <c r="R173" i="21" s="1"/>
  <c r="P242" i="21"/>
  <c r="J242" i="21"/>
  <c r="R242" i="21" s="1"/>
  <c r="P371" i="21"/>
  <c r="J371" i="21"/>
  <c r="R371" i="21" s="1"/>
  <c r="P446" i="21"/>
  <c r="J446" i="21"/>
  <c r="R446" i="21" s="1"/>
  <c r="P455" i="21"/>
  <c r="J455" i="21"/>
  <c r="R455" i="21" s="1"/>
  <c r="L454" i="21"/>
  <c r="N454" i="21" s="1"/>
  <c r="N462" i="21"/>
  <c r="R462" i="21" s="1"/>
  <c r="P465" i="21"/>
  <c r="J465" i="21"/>
  <c r="R465" i="21" s="1"/>
  <c r="P520" i="21"/>
  <c r="J520" i="21"/>
  <c r="R520" i="21" s="1"/>
  <c r="H529" i="21"/>
  <c r="H526" i="21" s="1"/>
  <c r="J526" i="21" s="1"/>
  <c r="R526" i="21" s="1"/>
  <c r="J534" i="21"/>
  <c r="R534" i="21" s="1"/>
  <c r="P538" i="21"/>
  <c r="J538" i="21"/>
  <c r="R538" i="21" s="1"/>
  <c r="P574" i="21"/>
  <c r="J574" i="21"/>
  <c r="R574" i="21" s="1"/>
  <c r="P602" i="21"/>
  <c r="J602" i="21"/>
  <c r="R602" i="21" s="1"/>
  <c r="P611" i="21"/>
  <c r="J611" i="21"/>
  <c r="R611" i="21" s="1"/>
  <c r="P627" i="21"/>
  <c r="J627" i="21"/>
  <c r="R627" i="21" s="1"/>
  <c r="P636" i="21"/>
  <c r="J636" i="21"/>
  <c r="R636" i="21" s="1"/>
  <c r="P651" i="21"/>
  <c r="J651" i="21"/>
  <c r="R651" i="21" s="1"/>
  <c r="P656" i="21"/>
  <c r="J656" i="21"/>
  <c r="R656" i="21" s="1"/>
  <c r="P661" i="21"/>
  <c r="J661" i="21"/>
  <c r="R661" i="21" s="1"/>
  <c r="P666" i="21"/>
  <c r="J666" i="21"/>
  <c r="R666" i="21" s="1"/>
  <c r="P677" i="21"/>
  <c r="J677" i="21"/>
  <c r="R677" i="21" s="1"/>
  <c r="J707" i="21"/>
  <c r="R707" i="21" s="1"/>
  <c r="P720" i="21"/>
  <c r="J720" i="21"/>
  <c r="R720" i="21" s="1"/>
  <c r="P776" i="21"/>
  <c r="J776" i="21"/>
  <c r="R776" i="21" s="1"/>
  <c r="P813" i="21"/>
  <c r="J813" i="21"/>
  <c r="R813" i="21" s="1"/>
  <c r="P838" i="21"/>
  <c r="J838" i="21"/>
  <c r="R838" i="21" s="1"/>
  <c r="P847" i="21"/>
  <c r="J847" i="21"/>
  <c r="R847" i="21" s="1"/>
  <c r="P854" i="21"/>
  <c r="J854" i="21"/>
  <c r="R854" i="21" s="1"/>
  <c r="P858" i="21"/>
  <c r="J858" i="21"/>
  <c r="R858" i="21" s="1"/>
  <c r="P880" i="21"/>
  <c r="J880" i="21"/>
  <c r="R880" i="21" s="1"/>
  <c r="P884" i="21"/>
  <c r="N884" i="21"/>
  <c r="R884" i="21" s="1"/>
  <c r="P916" i="21"/>
  <c r="N916" i="21"/>
  <c r="R916" i="21" s="1"/>
  <c r="P977" i="21"/>
  <c r="J977" i="21"/>
  <c r="R977" i="21" s="1"/>
  <c r="P1027" i="21"/>
  <c r="J1027" i="21"/>
  <c r="R1027" i="21" s="1"/>
  <c r="P1106" i="21"/>
  <c r="J1106" i="21"/>
  <c r="R1106" i="21" s="1"/>
  <c r="P1147" i="21"/>
  <c r="J1147" i="21"/>
  <c r="P1171" i="21"/>
  <c r="J1171" i="21"/>
  <c r="R1171" i="21" s="1"/>
  <c r="P1176" i="21"/>
  <c r="J1176" i="21"/>
  <c r="R1176" i="21" s="1"/>
  <c r="P1220" i="21"/>
  <c r="J1220" i="21"/>
  <c r="R1220" i="21" s="1"/>
  <c r="L1200" i="21"/>
  <c r="G17" i="15"/>
  <c r="I17" i="15" s="1"/>
  <c r="N1476" i="21"/>
  <c r="J124" i="21"/>
  <c r="R124" i="21" s="1"/>
  <c r="R263" i="21"/>
  <c r="R82" i="21"/>
  <c r="Q224" i="21"/>
  <c r="Q202" i="21"/>
  <c r="Q192" i="21"/>
  <c r="N268" i="21"/>
  <c r="I1076" i="21"/>
  <c r="Q1077" i="21"/>
  <c r="I648" i="21"/>
  <c r="Q648" i="21" s="1"/>
  <c r="Q649" i="21"/>
  <c r="I360" i="21"/>
  <c r="Q360" i="21" s="1"/>
  <c r="J268" i="21"/>
  <c r="Q268" i="21"/>
  <c r="Q265" i="21"/>
  <c r="N152" i="21"/>
  <c r="M98" i="21"/>
  <c r="M93" i="21" s="1"/>
  <c r="Q221" i="21"/>
  <c r="Q199" i="21"/>
  <c r="Q189" i="21"/>
  <c r="Q171" i="21"/>
  <c r="J265" i="21"/>
  <c r="I368" i="21"/>
  <c r="Q368" i="21" s="1"/>
  <c r="Q371" i="21"/>
  <c r="R892" i="21"/>
  <c r="J270" i="21"/>
  <c r="R270" i="21" s="1"/>
  <c r="Q257" i="21"/>
  <c r="Q241" i="21"/>
  <c r="I1080" i="21"/>
  <c r="Q1080" i="21" s="1"/>
  <c r="Q1081" i="21"/>
  <c r="N1055" i="21"/>
  <c r="R1065" i="21"/>
  <c r="N1044" i="21"/>
  <c r="Q909" i="21"/>
  <c r="R1079" i="21"/>
  <c r="Q1231" i="21"/>
  <c r="Q1203" i="21"/>
  <c r="R1311" i="21"/>
  <c r="N1293" i="21"/>
  <c r="R1293" i="21" s="1"/>
  <c r="L1286" i="21"/>
  <c r="N1286" i="21" s="1"/>
  <c r="I1449" i="21"/>
  <c r="Q1449" i="21" s="1"/>
  <c r="Q1450" i="21"/>
  <c r="I1411" i="21"/>
  <c r="Q1411" i="21" s="1"/>
  <c r="Q1412" i="21"/>
  <c r="I1358" i="21"/>
  <c r="Q1358" i="21" s="1"/>
  <c r="Q1359" i="21"/>
  <c r="Q1182" i="21"/>
  <c r="Q1165" i="21"/>
  <c r="Q1148" i="21"/>
  <c r="M1200" i="21"/>
  <c r="H14" i="15" s="1"/>
  <c r="N1314" i="21"/>
  <c r="I1400" i="21"/>
  <c r="Q1400" i="21" s="1"/>
  <c r="Q1401" i="21"/>
  <c r="I1387" i="21"/>
  <c r="Q1390" i="21"/>
  <c r="I1286" i="21"/>
  <c r="Q1286" i="21" s="1"/>
  <c r="I1458" i="21"/>
  <c r="Q1458" i="21" s="1"/>
  <c r="Q1459" i="21"/>
  <c r="I1430" i="21"/>
  <c r="Q1430" i="21" s="1"/>
  <c r="Q1431" i="21"/>
  <c r="I1368" i="21"/>
  <c r="Q1368" i="21" s="1"/>
  <c r="Q1369" i="21"/>
  <c r="I1333" i="21"/>
  <c r="Q1334" i="21"/>
  <c r="M1332" i="21"/>
  <c r="H16" i="15" s="1"/>
  <c r="I1476" i="21"/>
  <c r="Q1478" i="21"/>
  <c r="M285" i="21"/>
  <c r="N145" i="21"/>
  <c r="N1056" i="21"/>
  <c r="Q1056" i="21"/>
  <c r="Q1090" i="21"/>
  <c r="B428" i="21"/>
  <c r="B429" i="21" s="1"/>
  <c r="B430" i="21" s="1"/>
  <c r="B431" i="21" s="1"/>
  <c r="B432" i="21" s="1"/>
  <c r="B433" i="21" s="1"/>
  <c r="B434" i="21" s="1"/>
  <c r="B435" i="21" s="1"/>
  <c r="B436" i="21" s="1"/>
  <c r="B437" i="21" s="1"/>
  <c r="B438" i="21" s="1"/>
  <c r="B439" i="21" s="1"/>
  <c r="B440" i="21" s="1"/>
  <c r="B441" i="21" s="1"/>
  <c r="B442" i="21" s="1"/>
  <c r="B443" i="21" s="1"/>
  <c r="B444" i="21" s="1"/>
  <c r="B445" i="21" s="1"/>
  <c r="B446" i="21" s="1"/>
  <c r="B447" i="21" s="1"/>
  <c r="B448" i="21" s="1"/>
  <c r="B449" i="21" s="1"/>
  <c r="B450" i="21" s="1"/>
  <c r="B451" i="21" s="1"/>
  <c r="B452" i="21" s="1"/>
  <c r="B453" i="21" s="1"/>
  <c r="B454" i="21" s="1"/>
  <c r="B455" i="21" s="1"/>
  <c r="B456" i="21" s="1"/>
  <c r="B457" i="21" s="1"/>
  <c r="B458" i="21" s="1"/>
  <c r="B459" i="21" s="1"/>
  <c r="B460" i="21" s="1"/>
  <c r="B461" i="21" s="1"/>
  <c r="B462" i="21" s="1"/>
  <c r="B463" i="21" s="1"/>
  <c r="B464" i="21" s="1"/>
  <c r="N909" i="21"/>
  <c r="P1467" i="21"/>
  <c r="M1251" i="21"/>
  <c r="H15" i="15" s="1"/>
  <c r="P1322" i="21"/>
  <c r="P1323" i="21"/>
  <c r="P1324" i="21"/>
  <c r="I1315" i="21"/>
  <c r="I1252" i="21"/>
  <c r="Q1252" i="21" s="1"/>
  <c r="I1200" i="21"/>
  <c r="M1134" i="21"/>
  <c r="M1122" i="21" s="1"/>
  <c r="H13" i="15" s="1"/>
  <c r="I1134" i="21"/>
  <c r="M933" i="21"/>
  <c r="M359" i="21"/>
  <c r="M572" i="21"/>
  <c r="I1055" i="21"/>
  <c r="Q1055" i="21" s="1"/>
  <c r="I974" i="21"/>
  <c r="Q974" i="21" s="1"/>
  <c r="I671" i="21"/>
  <c r="Q671" i="21" s="1"/>
  <c r="I624" i="21"/>
  <c r="Q624" i="21" s="1"/>
  <c r="I572" i="21"/>
  <c r="I525" i="21"/>
  <c r="Q525" i="21" s="1"/>
  <c r="I515" i="21"/>
  <c r="I955" i="21"/>
  <c r="I820" i="21"/>
  <c r="I1025" i="21"/>
  <c r="I1006" i="21"/>
  <c r="Q1006" i="21" s="1"/>
  <c r="I997" i="21"/>
  <c r="Q997" i="21" s="1"/>
  <c r="I600" i="21"/>
  <c r="I549" i="21"/>
  <c r="Q549" i="21" s="1"/>
  <c r="I516" i="21"/>
  <c r="Q516" i="21" s="1"/>
  <c r="I434" i="21"/>
  <c r="Q434" i="21" s="1"/>
  <c r="I404" i="21"/>
  <c r="Q404" i="21" s="1"/>
  <c r="I1089" i="21"/>
  <c r="I934" i="21"/>
  <c r="Q934" i="21" s="1"/>
  <c r="I772" i="21"/>
  <c r="I693" i="21"/>
  <c r="I254" i="21"/>
  <c r="Q254" i="21" s="1"/>
  <c r="I238" i="21"/>
  <c r="I98" i="21"/>
  <c r="R86" i="21"/>
  <c r="R85" i="21"/>
  <c r="R81" i="21"/>
  <c r="M5" i="21"/>
  <c r="I6" i="21"/>
  <c r="H135" i="21"/>
  <c r="H132" i="21" s="1"/>
  <c r="H407" i="21"/>
  <c r="H404" i="21" s="1"/>
  <c r="L444" i="21"/>
  <c r="N444" i="21" s="1"/>
  <c r="H454" i="21"/>
  <c r="H553" i="21"/>
  <c r="J553" i="21" s="1"/>
  <c r="R553" i="21" s="1"/>
  <c r="H697" i="21"/>
  <c r="H694" i="21" s="1"/>
  <c r="J694" i="21" s="1"/>
  <c r="R694" i="21" s="1"/>
  <c r="H1019" i="21"/>
  <c r="H1016" i="21" s="1"/>
  <c r="J1016" i="21" s="1"/>
  <c r="R1016" i="21" s="1"/>
  <c r="H1368" i="21"/>
  <c r="H105" i="21"/>
  <c r="H98" i="21" s="1"/>
  <c r="H152" i="21"/>
  <c r="H171" i="21"/>
  <c r="H168" i="21" s="1"/>
  <c r="P204" i="21"/>
  <c r="L290" i="21"/>
  <c r="N290" i="21" s="1"/>
  <c r="H385" i="21"/>
  <c r="P385" i="21" s="1"/>
  <c r="H444" i="21"/>
  <c r="P462" i="21"/>
  <c r="P471" i="21"/>
  <c r="H491" i="21"/>
  <c r="H519" i="21"/>
  <c r="H588" i="21"/>
  <c r="H585" i="21" s="1"/>
  <c r="P620" i="21"/>
  <c r="P845" i="21"/>
  <c r="H917" i="21"/>
  <c r="H935" i="21"/>
  <c r="J935" i="21" s="1"/>
  <c r="R935" i="21" s="1"/>
  <c r="L1163" i="21"/>
  <c r="H1266" i="21"/>
  <c r="J1266" i="21" s="1"/>
  <c r="R1266" i="21" s="1"/>
  <c r="H1386" i="21"/>
  <c r="H94" i="21"/>
  <c r="L209" i="21"/>
  <c r="H685" i="21"/>
  <c r="H682" i="21" s="1"/>
  <c r="P699" i="21"/>
  <c r="H925" i="21"/>
  <c r="H1059" i="21"/>
  <c r="H1056" i="21" s="1"/>
  <c r="J1056" i="21" s="1"/>
  <c r="P1093" i="21"/>
  <c r="H1345" i="21"/>
  <c r="J1345" i="21" s="1"/>
  <c r="R1345" i="21" s="1"/>
  <c r="H1443" i="21"/>
  <c r="J1443" i="21" s="1"/>
  <c r="R1443" i="21" s="1"/>
  <c r="H1310" i="21"/>
  <c r="J1310" i="21" s="1"/>
  <c r="R1310" i="21" s="1"/>
  <c r="H1318" i="21"/>
  <c r="J1318" i="21" s="1"/>
  <c r="R1318" i="21" s="1"/>
  <c r="H1287" i="21"/>
  <c r="J1287" i="21" s="1"/>
  <c r="R1287" i="21" s="1"/>
  <c r="H1203" i="21"/>
  <c r="J1203" i="21" s="1"/>
  <c r="R1203" i="21" s="1"/>
  <c r="H1168" i="21"/>
  <c r="J1168" i="21" s="1"/>
  <c r="R1168" i="21" s="1"/>
  <c r="H1138" i="21"/>
  <c r="J1138" i="21" s="1"/>
  <c r="H1182" i="21"/>
  <c r="J1182" i="21" s="1"/>
  <c r="R1182" i="21" s="1"/>
  <c r="P370" i="21"/>
  <c r="H368" i="21"/>
  <c r="P405" i="21"/>
  <c r="L422" i="21"/>
  <c r="N422" i="21" s="1"/>
  <c r="P431" i="21"/>
  <c r="P750" i="21"/>
  <c r="H749" i="21"/>
  <c r="P795" i="21"/>
  <c r="P869" i="21"/>
  <c r="H868" i="21"/>
  <c r="P903" i="21"/>
  <c r="H901" i="21"/>
  <c r="P912" i="21"/>
  <c r="H909" i="21"/>
  <c r="P579" i="21"/>
  <c r="H576" i="21"/>
  <c r="H573" i="21" s="1"/>
  <c r="J573" i="21" s="1"/>
  <c r="P680" i="21"/>
  <c r="H675" i="21"/>
  <c r="P783" i="21"/>
  <c r="H780" i="21"/>
  <c r="P780" i="21" s="1"/>
  <c r="P365" i="21"/>
  <c r="H363" i="21"/>
  <c r="J363" i="21" s="1"/>
  <c r="R363" i="21" s="1"/>
  <c r="H481" i="21"/>
  <c r="J481" i="21" s="1"/>
  <c r="R481" i="21" s="1"/>
  <c r="P483" i="21"/>
  <c r="P517" i="21"/>
  <c r="H563" i="21"/>
  <c r="P565" i="21"/>
  <c r="P597" i="21"/>
  <c r="L585" i="21"/>
  <c r="N585" i="21" s="1"/>
  <c r="P601" i="21"/>
  <c r="H704" i="21"/>
  <c r="P704" i="21" s="1"/>
  <c r="P705" i="21"/>
  <c r="P894" i="21"/>
  <c r="H893" i="21"/>
  <c r="P489" i="21"/>
  <c r="P527" i="21"/>
  <c r="P561" i="21"/>
  <c r="P632" i="21"/>
  <c r="H628" i="21"/>
  <c r="P683" i="21"/>
  <c r="P765" i="21"/>
  <c r="H764" i="21"/>
  <c r="H635" i="21"/>
  <c r="H662" i="21"/>
  <c r="J662" i="21" s="1"/>
  <c r="R662" i="21" s="1"/>
  <c r="P734" i="21"/>
  <c r="H733" i="21"/>
  <c r="P1010" i="21"/>
  <c r="H1009" i="21"/>
  <c r="P650" i="21"/>
  <c r="P726" i="21"/>
  <c r="H725" i="21"/>
  <c r="P758" i="21"/>
  <c r="P773" i="21"/>
  <c r="P806" i="21"/>
  <c r="P892" i="21"/>
  <c r="L885" i="21"/>
  <c r="P966" i="21"/>
  <c r="H965" i="21"/>
  <c r="P965" i="21" s="1"/>
  <c r="P1007" i="21"/>
  <c r="P1049" i="21"/>
  <c r="P987" i="21"/>
  <c r="H986" i="21"/>
  <c r="P1029" i="21"/>
  <c r="H1028" i="21"/>
  <c r="P1037" i="21"/>
  <c r="H1035" i="21"/>
  <c r="J1035" i="21" s="1"/>
  <c r="R1035" i="21" s="1"/>
  <c r="P695" i="21"/>
  <c r="P742" i="21"/>
  <c r="H741" i="21"/>
  <c r="P741" i="21" s="1"/>
  <c r="P831" i="21"/>
  <c r="H829" i="21"/>
  <c r="P1001" i="21"/>
  <c r="H1000" i="21"/>
  <c r="J1000" i="21" s="1"/>
  <c r="R1000" i="21" s="1"/>
  <c r="P1058" i="21"/>
  <c r="P1072" i="21"/>
  <c r="H1069" i="21"/>
  <c r="P687" i="21"/>
  <c r="H718" i="21"/>
  <c r="J718" i="21" s="1"/>
  <c r="R718" i="21" s="1"/>
  <c r="H821" i="21"/>
  <c r="J821" i="21" s="1"/>
  <c r="H603" i="21"/>
  <c r="H652" i="21"/>
  <c r="H760" i="21"/>
  <c r="H775" i="21"/>
  <c r="H797" i="21"/>
  <c r="H808" i="21"/>
  <c r="H837" i="21"/>
  <c r="H851" i="21"/>
  <c r="H860" i="21"/>
  <c r="H877" i="21"/>
  <c r="H888" i="21"/>
  <c r="H1080" i="21"/>
  <c r="H286" i="21"/>
  <c r="J286" i="21" s="1"/>
  <c r="R286" i="21" s="1"/>
  <c r="L306" i="21"/>
  <c r="N306" i="21" s="1"/>
  <c r="R306" i="21" s="1"/>
  <c r="H295" i="21"/>
  <c r="P295" i="21" s="1"/>
  <c r="H241" i="21"/>
  <c r="J241" i="21" s="1"/>
  <c r="R241" i="21" s="1"/>
  <c r="L265" i="21"/>
  <c r="H178" i="21"/>
  <c r="H192" i="21"/>
  <c r="J192" i="21" s="1"/>
  <c r="R192" i="21" s="1"/>
  <c r="H221" i="21"/>
  <c r="J221" i="21" s="1"/>
  <c r="R221" i="21" s="1"/>
  <c r="L113" i="21"/>
  <c r="H145" i="21"/>
  <c r="H79" i="21"/>
  <c r="J79" i="21" s="1"/>
  <c r="R79" i="21" s="1"/>
  <c r="I184" i="7"/>
  <c r="I151" i="7"/>
  <c r="I162" i="7"/>
  <c r="I173" i="7"/>
  <c r="I117" i="7"/>
  <c r="I86" i="7"/>
  <c r="I7" i="7"/>
  <c r="J945" i="21" l="1"/>
  <c r="R945" i="21" s="1"/>
  <c r="H1458" i="21"/>
  <c r="L98" i="21"/>
  <c r="P98" i="21" s="1"/>
  <c r="J1479" i="21"/>
  <c r="R1479" i="21" s="1"/>
  <c r="H1215" i="21"/>
  <c r="H1478" i="21"/>
  <c r="J1478" i="21" s="1"/>
  <c r="R1478" i="21" s="1"/>
  <c r="J251" i="21"/>
  <c r="R251" i="21" s="1"/>
  <c r="H1430" i="21"/>
  <c r="J1430" i="21" s="1"/>
  <c r="R1430" i="21" s="1"/>
  <c r="J1458" i="21"/>
  <c r="R1458" i="21" s="1"/>
  <c r="I163" i="21"/>
  <c r="Q163" i="21" s="1"/>
  <c r="J1368" i="21"/>
  <c r="R1368" i="21" s="1"/>
  <c r="P956" i="21"/>
  <c r="H1272" i="21"/>
  <c r="J1272" i="21" s="1"/>
  <c r="R1272" i="21" s="1"/>
  <c r="J98" i="21"/>
  <c r="J394" i="21"/>
  <c r="R394" i="21" s="1"/>
  <c r="H422" i="21"/>
  <c r="J422" i="21" s="1"/>
  <c r="R422" i="21" s="1"/>
  <c r="J425" i="21"/>
  <c r="R425" i="21" s="1"/>
  <c r="H254" i="21"/>
  <c r="H250" i="21" s="1"/>
  <c r="P250" i="21" s="1"/>
  <c r="H1253" i="21"/>
  <c r="J1253" i="21" s="1"/>
  <c r="R1253" i="21" s="1"/>
  <c r="H1333" i="21"/>
  <c r="J1333" i="21" s="1"/>
  <c r="R1333" i="21" s="1"/>
  <c r="J1230" i="21"/>
  <c r="R1230" i="21" s="1"/>
  <c r="H1450" i="21"/>
  <c r="J1450" i="21" s="1"/>
  <c r="R1450" i="21" s="1"/>
  <c r="J1231" i="21"/>
  <c r="R1231" i="21" s="1"/>
  <c r="I290" i="21"/>
  <c r="Q290" i="21" s="1"/>
  <c r="P1231" i="21"/>
  <c r="L237" i="21"/>
  <c r="G10" i="15" s="1"/>
  <c r="I10" i="15" s="1"/>
  <c r="Q515" i="21"/>
  <c r="L933" i="21"/>
  <c r="N933" i="21" s="1"/>
  <c r="H1264" i="21"/>
  <c r="J1264" i="21" s="1"/>
  <c r="R1264" i="21" s="1"/>
  <c r="P1216" i="21"/>
  <c r="R101" i="21"/>
  <c r="R1297" i="21"/>
  <c r="R1138" i="21"/>
  <c r="P1090" i="21"/>
  <c r="H612" i="21"/>
  <c r="J612" i="21" s="1"/>
  <c r="R612" i="21" s="1"/>
  <c r="H1412" i="21"/>
  <c r="J1090" i="21"/>
  <c r="R1090" i="21" s="1"/>
  <c r="P615" i="21"/>
  <c r="R109" i="21"/>
  <c r="R573" i="21"/>
  <c r="H1400" i="21"/>
  <c r="J1400" i="21" s="1"/>
  <c r="R1400" i="21" s="1"/>
  <c r="J257" i="21"/>
  <c r="R257" i="21" s="1"/>
  <c r="R1147" i="21"/>
  <c r="J412" i="21"/>
  <c r="R412" i="21" s="1"/>
  <c r="P202" i="21"/>
  <c r="R268" i="21"/>
  <c r="H199" i="21"/>
  <c r="J199" i="21" s="1"/>
  <c r="R199" i="21" s="1"/>
  <c r="R821" i="21"/>
  <c r="P935" i="21"/>
  <c r="H1358" i="21"/>
  <c r="J1358" i="21" s="1"/>
  <c r="R1358" i="21" s="1"/>
  <c r="N98" i="21"/>
  <c r="B465" i="21"/>
  <c r="B466" i="21" s="1"/>
  <c r="B467" i="21" s="1"/>
  <c r="B468" i="21" s="1"/>
  <c r="B469" i="21" s="1"/>
  <c r="B470" i="21" s="1"/>
  <c r="B471" i="21" s="1"/>
  <c r="B472" i="21" s="1"/>
  <c r="B473" i="21" s="1"/>
  <c r="B474" i="21" s="1"/>
  <c r="B475" i="21" s="1"/>
  <c r="B476" i="21" s="1"/>
  <c r="B477" i="21" s="1"/>
  <c r="B478" i="21" s="1"/>
  <c r="B479" i="21" s="1"/>
  <c r="B480" i="21" s="1"/>
  <c r="B481" i="21" s="1"/>
  <c r="B482" i="21" s="1"/>
  <c r="B483" i="21" s="1"/>
  <c r="B484" i="21" s="1"/>
  <c r="B485" i="21" s="1"/>
  <c r="B486" i="21" s="1"/>
  <c r="B487" i="21" s="1"/>
  <c r="B488" i="21" s="1"/>
  <c r="B489" i="21" s="1"/>
  <c r="B490" i="21" s="1"/>
  <c r="B491" i="21" s="1"/>
  <c r="B492" i="21" s="1"/>
  <c r="B493" i="21" s="1"/>
  <c r="B494" i="21" s="1"/>
  <c r="B495" i="21" s="1"/>
  <c r="B496" i="21" s="1"/>
  <c r="B497" i="21" s="1"/>
  <c r="B498" i="21" s="1"/>
  <c r="B499" i="21" s="1"/>
  <c r="B500" i="21" s="1"/>
  <c r="B501" i="21" s="1"/>
  <c r="B502" i="21" s="1"/>
  <c r="B503" i="21" s="1"/>
  <c r="B504" i="21" s="1"/>
  <c r="B505" i="21" s="1"/>
  <c r="B506" i="21" s="1"/>
  <c r="B507" i="21" s="1"/>
  <c r="B508" i="21" s="1"/>
  <c r="B509" i="21" s="1"/>
  <c r="B510" i="21" s="1"/>
  <c r="B511" i="21" s="1"/>
  <c r="B512" i="21" s="1"/>
  <c r="B513" i="21" s="1"/>
  <c r="B514" i="21" s="1"/>
  <c r="B515" i="21" s="1"/>
  <c r="B516" i="21" s="1"/>
  <c r="B517" i="21" s="1"/>
  <c r="B518" i="21" s="1"/>
  <c r="B519" i="21" s="1"/>
  <c r="B520" i="21" s="1"/>
  <c r="B521" i="21" s="1"/>
  <c r="B522" i="21" s="1"/>
  <c r="B523" i="21" s="1"/>
  <c r="B524" i="21" s="1"/>
  <c r="B525" i="21" s="1"/>
  <c r="B526" i="21" s="1"/>
  <c r="B527" i="21" s="1"/>
  <c r="B528" i="21" s="1"/>
  <c r="B529" i="21" s="1"/>
  <c r="B530" i="21" s="1"/>
  <c r="B531" i="21" s="1"/>
  <c r="B532" i="21" s="1"/>
  <c r="B533" i="21" s="1"/>
  <c r="B534" i="21" s="1"/>
  <c r="B535" i="21" s="1"/>
  <c r="B536" i="21" s="1"/>
  <c r="B537" i="21" s="1"/>
  <c r="B538" i="21" s="1"/>
  <c r="B539" i="21" s="1"/>
  <c r="B540" i="21" s="1"/>
  <c r="B541" i="21" s="1"/>
  <c r="B542" i="21" s="1"/>
  <c r="B543" i="21" s="1"/>
  <c r="B544" i="21" s="1"/>
  <c r="B545" i="21" s="1"/>
  <c r="B546" i="21" s="1"/>
  <c r="B547" i="21" s="1"/>
  <c r="B548" i="21" s="1"/>
  <c r="B549" i="21" s="1"/>
  <c r="B550" i="21" s="1"/>
  <c r="B551" i="21" s="1"/>
  <c r="B552" i="21" s="1"/>
  <c r="B553" i="21" s="1"/>
  <c r="B554" i="21" s="1"/>
  <c r="B555" i="21" s="1"/>
  <c r="B556" i="21" s="1"/>
  <c r="B557" i="21" s="1"/>
  <c r="B558" i="21" s="1"/>
  <c r="B559" i="21" s="1"/>
  <c r="B560" i="21" s="1"/>
  <c r="B561" i="21" s="1"/>
  <c r="B562" i="21" s="1"/>
  <c r="B563" i="21" s="1"/>
  <c r="B564" i="21" s="1"/>
  <c r="B565" i="21" s="1"/>
  <c r="B566" i="21" s="1"/>
  <c r="B567" i="21" s="1"/>
  <c r="B568" i="21" s="1"/>
  <c r="B569" i="21" s="1"/>
  <c r="B570" i="21" s="1"/>
  <c r="B571" i="21" s="1"/>
  <c r="B572" i="21" s="1"/>
  <c r="B573" i="21" s="1"/>
  <c r="B574" i="21" s="1"/>
  <c r="B575" i="21" s="1"/>
  <c r="B576" i="21" s="1"/>
  <c r="B577" i="21" s="1"/>
  <c r="B578" i="21" s="1"/>
  <c r="B579" i="21" s="1"/>
  <c r="B580" i="21" s="1"/>
  <c r="B581" i="21" s="1"/>
  <c r="B582" i="21" s="1"/>
  <c r="B583" i="21" s="1"/>
  <c r="B584" i="21" s="1"/>
  <c r="B585" i="21" s="1"/>
  <c r="B586" i="21" s="1"/>
  <c r="B587" i="21" s="1"/>
  <c r="B588" i="21" s="1"/>
  <c r="B589" i="21" s="1"/>
  <c r="B590" i="21" s="1"/>
  <c r="B591" i="21" s="1"/>
  <c r="B592" i="21" s="1"/>
  <c r="B593" i="21" s="1"/>
  <c r="B594" i="21" s="1"/>
  <c r="B595" i="21" s="1"/>
  <c r="B596" i="21" s="1"/>
  <c r="B597" i="21" s="1"/>
  <c r="B598" i="21" s="1"/>
  <c r="B599" i="21" s="1"/>
  <c r="B600" i="21" s="1"/>
  <c r="B601" i="21" s="1"/>
  <c r="B602" i="21" s="1"/>
  <c r="B603" i="21" s="1"/>
  <c r="B604" i="21" s="1"/>
  <c r="B605" i="21" s="1"/>
  <c r="B606" i="21" s="1"/>
  <c r="B607" i="21" s="1"/>
  <c r="B608" i="21" s="1"/>
  <c r="B609" i="21" s="1"/>
  <c r="B610" i="21" s="1"/>
  <c r="B611" i="21" s="1"/>
  <c r="B612" i="21" s="1"/>
  <c r="B613" i="21" s="1"/>
  <c r="B614" i="21" s="1"/>
  <c r="B615" i="21" s="1"/>
  <c r="B616" i="21" s="1"/>
  <c r="B617" i="21" s="1"/>
  <c r="B618" i="21" s="1"/>
  <c r="B619" i="21" s="1"/>
  <c r="B620" i="21" s="1"/>
  <c r="B621" i="21" s="1"/>
  <c r="B622" i="21" s="1"/>
  <c r="B623" i="21" s="1"/>
  <c r="B624" i="21" s="1"/>
  <c r="B625" i="21" s="1"/>
  <c r="B626" i="21" s="1"/>
  <c r="B627" i="21" s="1"/>
  <c r="B628" i="21" s="1"/>
  <c r="B629" i="21" s="1"/>
  <c r="B630" i="21" s="1"/>
  <c r="B631" i="21" s="1"/>
  <c r="B632" i="21" s="1"/>
  <c r="B633" i="21" s="1"/>
  <c r="B634" i="21" s="1"/>
  <c r="B635" i="21" s="1"/>
  <c r="B636" i="21" s="1"/>
  <c r="B637" i="21" s="1"/>
  <c r="B638" i="21" s="1"/>
  <c r="B639" i="21" s="1"/>
  <c r="B640" i="21" s="1"/>
  <c r="B641" i="21" s="1"/>
  <c r="B642" i="21" s="1"/>
  <c r="B643" i="21" s="1"/>
  <c r="B644" i="21" s="1"/>
  <c r="B645" i="21" s="1"/>
  <c r="B646" i="21" s="1"/>
  <c r="B647" i="21" s="1"/>
  <c r="B648" i="21" s="1"/>
  <c r="B649" i="21" s="1"/>
  <c r="B650" i="21" s="1"/>
  <c r="B651" i="21" s="1"/>
  <c r="B652" i="21" s="1"/>
  <c r="B653" i="21" s="1"/>
  <c r="B654" i="21" s="1"/>
  <c r="B655" i="21" s="1"/>
  <c r="B656" i="21" s="1"/>
  <c r="B657" i="21" s="1"/>
  <c r="B658" i="21" s="1"/>
  <c r="B659" i="21" s="1"/>
  <c r="B660" i="21" s="1"/>
  <c r="B661" i="21" s="1"/>
  <c r="B662" i="21" s="1"/>
  <c r="B663" i="21" s="1"/>
  <c r="B664" i="21" s="1"/>
  <c r="B665" i="21" s="1"/>
  <c r="B666" i="21" s="1"/>
  <c r="B667" i="21" s="1"/>
  <c r="B668" i="21" s="1"/>
  <c r="B669" i="21" s="1"/>
  <c r="B670" i="21" s="1"/>
  <c r="B671" i="21" s="1"/>
  <c r="B672" i="21" s="1"/>
  <c r="B673" i="21" s="1"/>
  <c r="B674" i="21" s="1"/>
  <c r="B675" i="21" s="1"/>
  <c r="B676" i="21" s="1"/>
  <c r="B677" i="21" s="1"/>
  <c r="B678" i="21" s="1"/>
  <c r="B679" i="21" s="1"/>
  <c r="B680" i="21" s="1"/>
  <c r="B681" i="21" s="1"/>
  <c r="B682" i="21" s="1"/>
  <c r="B683" i="21" s="1"/>
  <c r="B684" i="21" s="1"/>
  <c r="B685" i="21" s="1"/>
  <c r="B686" i="21" s="1"/>
  <c r="B687" i="21" s="1"/>
  <c r="B688" i="21" s="1"/>
  <c r="B689" i="21" s="1"/>
  <c r="B690" i="21" s="1"/>
  <c r="B691" i="21" s="1"/>
  <c r="B692" i="21" s="1"/>
  <c r="B693" i="21" s="1"/>
  <c r="B694" i="21" s="1"/>
  <c r="B695" i="21" s="1"/>
  <c r="B696" i="21" s="1"/>
  <c r="B697" i="21" s="1"/>
  <c r="B698" i="21" s="1"/>
  <c r="B699" i="21" s="1"/>
  <c r="B700" i="21" s="1"/>
  <c r="B701" i="21" s="1"/>
  <c r="B702" i="21" s="1"/>
  <c r="B703" i="21" s="1"/>
  <c r="B704" i="21" s="1"/>
  <c r="B705" i="21" s="1"/>
  <c r="B706" i="21" s="1"/>
  <c r="P808" i="21"/>
  <c r="J808" i="21"/>
  <c r="R808" i="21" s="1"/>
  <c r="P652" i="21"/>
  <c r="J652" i="21"/>
  <c r="R652" i="21" s="1"/>
  <c r="P1028" i="21"/>
  <c r="J1028" i="21"/>
  <c r="R1028" i="21" s="1"/>
  <c r="H805" i="21"/>
  <c r="P764" i="21"/>
  <c r="J764" i="21"/>
  <c r="R764" i="21" s="1"/>
  <c r="P178" i="21"/>
  <c r="J178" i="21"/>
  <c r="R178" i="21" s="1"/>
  <c r="P860" i="21"/>
  <c r="J860" i="21"/>
  <c r="R860" i="21" s="1"/>
  <c r="P797" i="21"/>
  <c r="J797" i="21"/>
  <c r="R797" i="21" s="1"/>
  <c r="P603" i="21"/>
  <c r="J603" i="21"/>
  <c r="R603" i="21" s="1"/>
  <c r="H1025" i="21"/>
  <c r="P733" i="21"/>
  <c r="J733" i="21"/>
  <c r="R733" i="21" s="1"/>
  <c r="L359" i="21"/>
  <c r="L358" i="21" s="1"/>
  <c r="P893" i="21"/>
  <c r="J893" i="21"/>
  <c r="R893" i="21" s="1"/>
  <c r="P563" i="21"/>
  <c r="J563" i="21"/>
  <c r="R563" i="21" s="1"/>
  <c r="P576" i="21"/>
  <c r="J576" i="21"/>
  <c r="R576" i="21" s="1"/>
  <c r="P612" i="21"/>
  <c r="P404" i="21"/>
  <c r="J404" i="21"/>
  <c r="R404" i="21" s="1"/>
  <c r="L572" i="21"/>
  <c r="L514" i="21" s="1"/>
  <c r="P1215" i="21"/>
  <c r="J1215" i="21"/>
  <c r="R1215" i="21" s="1"/>
  <c r="P925" i="21"/>
  <c r="J925" i="21"/>
  <c r="R925" i="21" s="1"/>
  <c r="P94" i="21"/>
  <c r="J94" i="21"/>
  <c r="R94" i="21" s="1"/>
  <c r="L1134" i="21"/>
  <c r="N1163" i="21"/>
  <c r="P454" i="21"/>
  <c r="J454" i="21"/>
  <c r="R454" i="21" s="1"/>
  <c r="P135" i="21"/>
  <c r="J135" i="21"/>
  <c r="R135" i="21" s="1"/>
  <c r="H6" i="15"/>
  <c r="I93" i="21"/>
  <c r="E8" i="15" s="1"/>
  <c r="Q98" i="21"/>
  <c r="Q238" i="21"/>
  <c r="I599" i="21"/>
  <c r="Q599" i="21" s="1"/>
  <c r="Q600" i="21"/>
  <c r="I1122" i="21"/>
  <c r="Q1134" i="21"/>
  <c r="I1314" i="21"/>
  <c r="Q1314" i="21" s="1"/>
  <c r="Q1315" i="21"/>
  <c r="J704" i="21"/>
  <c r="R704" i="21" s="1"/>
  <c r="R1056" i="21"/>
  <c r="Q1333" i="21"/>
  <c r="I1332" i="21"/>
  <c r="E7" i="15"/>
  <c r="Q78" i="21"/>
  <c r="P844" i="21"/>
  <c r="J844" i="21"/>
  <c r="R844" i="21" s="1"/>
  <c r="P470" i="21"/>
  <c r="J470" i="21"/>
  <c r="R470" i="21" s="1"/>
  <c r="P145" i="21"/>
  <c r="J145" i="21"/>
  <c r="R145" i="21" s="1"/>
  <c r="P1080" i="21"/>
  <c r="J1080" i="21"/>
  <c r="R1080" i="21" s="1"/>
  <c r="P986" i="21"/>
  <c r="J986" i="21"/>
  <c r="R986" i="21" s="1"/>
  <c r="L820" i="21"/>
  <c r="N820" i="21" s="1"/>
  <c r="N885" i="21"/>
  <c r="P682" i="21"/>
  <c r="J682" i="21"/>
  <c r="R682" i="21" s="1"/>
  <c r="P434" i="21"/>
  <c r="J434" i="21"/>
  <c r="R434" i="21" s="1"/>
  <c r="P901" i="21"/>
  <c r="J901" i="21"/>
  <c r="R901" i="21" s="1"/>
  <c r="P588" i="21"/>
  <c r="J588" i="21"/>
  <c r="R588" i="21" s="1"/>
  <c r="P105" i="21"/>
  <c r="J105" i="21"/>
  <c r="R105" i="21" s="1"/>
  <c r="P1019" i="21"/>
  <c r="J1019" i="21"/>
  <c r="R1019" i="21" s="1"/>
  <c r="I717" i="21"/>
  <c r="Q717" i="21" s="1"/>
  <c r="Q772" i="21"/>
  <c r="J780" i="21"/>
  <c r="R780" i="21" s="1"/>
  <c r="J385" i="21"/>
  <c r="R385" i="21" s="1"/>
  <c r="I1386" i="21"/>
  <c r="Q1386" i="21" s="1"/>
  <c r="Q1387" i="21"/>
  <c r="M819" i="21"/>
  <c r="I1075" i="21"/>
  <c r="Q1075" i="21" s="1"/>
  <c r="Q1076" i="21"/>
  <c r="P529" i="21"/>
  <c r="J529" i="21"/>
  <c r="R529" i="21" s="1"/>
  <c r="J1387" i="21"/>
  <c r="R1387" i="21" s="1"/>
  <c r="H113" i="21"/>
  <c r="J113" i="21" s="1"/>
  <c r="J121" i="21"/>
  <c r="R121" i="21" s="1"/>
  <c r="P851" i="21"/>
  <c r="J851" i="21"/>
  <c r="R851" i="21" s="1"/>
  <c r="P775" i="21"/>
  <c r="J775" i="21"/>
  <c r="R775" i="21" s="1"/>
  <c r="P585" i="21"/>
  <c r="J585" i="21"/>
  <c r="R585" i="21" s="1"/>
  <c r="P1069" i="21"/>
  <c r="J1069" i="21"/>
  <c r="R1069" i="21" s="1"/>
  <c r="P132" i="21"/>
  <c r="J132" i="21"/>
  <c r="R132" i="21" s="1"/>
  <c r="P888" i="21"/>
  <c r="J888" i="21"/>
  <c r="R888" i="21" s="1"/>
  <c r="P837" i="21"/>
  <c r="J837" i="21"/>
  <c r="R837" i="21" s="1"/>
  <c r="P760" i="21"/>
  <c r="J760" i="21"/>
  <c r="R760" i="21" s="1"/>
  <c r="P537" i="21"/>
  <c r="J537" i="21"/>
  <c r="R537" i="21" s="1"/>
  <c r="P1009" i="21"/>
  <c r="J1009" i="21"/>
  <c r="R1009" i="21" s="1"/>
  <c r="H934" i="21"/>
  <c r="J934" i="21" s="1"/>
  <c r="R934" i="21" s="1"/>
  <c r="P675" i="21"/>
  <c r="J675" i="21"/>
  <c r="R675" i="21" s="1"/>
  <c r="P749" i="21"/>
  <c r="J749" i="21"/>
  <c r="R749" i="21" s="1"/>
  <c r="P368" i="21"/>
  <c r="J368" i="21"/>
  <c r="R368" i="21" s="1"/>
  <c r="P685" i="21"/>
  <c r="J685" i="21"/>
  <c r="R685" i="21" s="1"/>
  <c r="P917" i="21"/>
  <c r="J917" i="21"/>
  <c r="R917" i="21" s="1"/>
  <c r="P519" i="21"/>
  <c r="J519" i="21"/>
  <c r="R519" i="21" s="1"/>
  <c r="P444" i="21"/>
  <c r="P171" i="21"/>
  <c r="J171" i="21"/>
  <c r="P697" i="21"/>
  <c r="J697" i="21"/>
  <c r="R697" i="21" s="1"/>
  <c r="P407" i="21"/>
  <c r="J407" i="21"/>
  <c r="R407" i="21" s="1"/>
  <c r="H515" i="21"/>
  <c r="E9" i="15"/>
  <c r="J295" i="21"/>
  <c r="R295" i="21" s="1"/>
  <c r="E14" i="15"/>
  <c r="Q1200" i="21"/>
  <c r="J741" i="21"/>
  <c r="R741" i="21" s="1"/>
  <c r="J444" i="21"/>
  <c r="R444" i="21" s="1"/>
  <c r="G14" i="15"/>
  <c r="I14" i="15" s="1"/>
  <c r="N1200" i="21"/>
  <c r="P378" i="21"/>
  <c r="J378" i="21"/>
  <c r="R378" i="21" s="1"/>
  <c r="N265" i="21"/>
  <c r="R265" i="21" s="1"/>
  <c r="J1076" i="21"/>
  <c r="R1076" i="21" s="1"/>
  <c r="P1047" i="21"/>
  <c r="J1047" i="21"/>
  <c r="R1047" i="21" s="1"/>
  <c r="P540" i="21"/>
  <c r="J540" i="21"/>
  <c r="R540" i="21" s="1"/>
  <c r="N113" i="21"/>
  <c r="P877" i="21"/>
  <c r="J877" i="21"/>
  <c r="R877" i="21" s="1"/>
  <c r="P829" i="21"/>
  <c r="J829" i="21"/>
  <c r="R829" i="21" s="1"/>
  <c r="P725" i="21"/>
  <c r="J725" i="21"/>
  <c r="R725" i="21" s="1"/>
  <c r="P635" i="21"/>
  <c r="J635" i="21"/>
  <c r="R635" i="21" s="1"/>
  <c r="P628" i="21"/>
  <c r="J628" i="21"/>
  <c r="R628" i="21" s="1"/>
  <c r="P909" i="21"/>
  <c r="J909" i="21"/>
  <c r="P868" i="21"/>
  <c r="J868" i="21"/>
  <c r="R868" i="21" s="1"/>
  <c r="P1059" i="21"/>
  <c r="J1059" i="21"/>
  <c r="R1059" i="21" s="1"/>
  <c r="L163" i="21"/>
  <c r="N209" i="21"/>
  <c r="R209" i="21" s="1"/>
  <c r="P491" i="21"/>
  <c r="J491" i="21"/>
  <c r="R491" i="21" s="1"/>
  <c r="P152" i="21"/>
  <c r="J152" i="21"/>
  <c r="P209" i="21"/>
  <c r="I5" i="21"/>
  <c r="Q6" i="21"/>
  <c r="I1015" i="21"/>
  <c r="Q1015" i="21" s="1"/>
  <c r="Q1025" i="21"/>
  <c r="R909" i="21"/>
  <c r="J965" i="21"/>
  <c r="R965" i="21" s="1"/>
  <c r="R152" i="21"/>
  <c r="P975" i="21"/>
  <c r="J975" i="21"/>
  <c r="R975" i="21" s="1"/>
  <c r="P463" i="21"/>
  <c r="J463" i="21"/>
  <c r="R463" i="21" s="1"/>
  <c r="P437" i="21"/>
  <c r="J437" i="21"/>
  <c r="R437" i="21" s="1"/>
  <c r="E17" i="15"/>
  <c r="Q1476" i="21"/>
  <c r="H11" i="15"/>
  <c r="H8" i="15"/>
  <c r="Q93" i="21"/>
  <c r="M514" i="21"/>
  <c r="Q572" i="21"/>
  <c r="N1034" i="21"/>
  <c r="Q1089" i="21"/>
  <c r="J1089" i="21"/>
  <c r="R1089" i="21" s="1"/>
  <c r="Q955" i="21"/>
  <c r="I1034" i="21"/>
  <c r="J1044" i="21"/>
  <c r="R1044" i="21" s="1"/>
  <c r="Q1044" i="21"/>
  <c r="Q693" i="21"/>
  <c r="Q820" i="21"/>
  <c r="P1466" i="21"/>
  <c r="P1321" i="21"/>
  <c r="M358" i="21"/>
  <c r="I996" i="21"/>
  <c r="Q996" i="21" s="1"/>
  <c r="I359" i="21"/>
  <c r="J254" i="21"/>
  <c r="R254" i="21" s="1"/>
  <c r="I250" i="21"/>
  <c r="P265" i="21"/>
  <c r="H625" i="21"/>
  <c r="P625" i="21" s="1"/>
  <c r="H488" i="21"/>
  <c r="H290" i="21"/>
  <c r="P290" i="21" s="1"/>
  <c r="H757" i="21"/>
  <c r="H560" i="21"/>
  <c r="H516" i="21"/>
  <c r="P553" i="21"/>
  <c r="H550" i="21"/>
  <c r="H600" i="21"/>
  <c r="H1075" i="21"/>
  <c r="P1478" i="21"/>
  <c r="H1449" i="21"/>
  <c r="J1449" i="21" s="1"/>
  <c r="R1449" i="21" s="1"/>
  <c r="H1286" i="21"/>
  <c r="J1286" i="21" s="1"/>
  <c r="R1286" i="21" s="1"/>
  <c r="H1315" i="21"/>
  <c r="J1315" i="21" s="1"/>
  <c r="R1315" i="21" s="1"/>
  <c r="H1307" i="21"/>
  <c r="J1307" i="21" s="1"/>
  <c r="R1307" i="21" s="1"/>
  <c r="H1201" i="21"/>
  <c r="J1201" i="21" s="1"/>
  <c r="R1201" i="21" s="1"/>
  <c r="P1203" i="21"/>
  <c r="P1138" i="21"/>
  <c r="H1181" i="21"/>
  <c r="P1182" i="21"/>
  <c r="H1165" i="21"/>
  <c r="J1165" i="21" s="1"/>
  <c r="R1165" i="21" s="1"/>
  <c r="P1168" i="21"/>
  <c r="P821" i="21"/>
  <c r="P662" i="21"/>
  <c r="H659" i="21"/>
  <c r="P1000" i="21"/>
  <c r="H997" i="21"/>
  <c r="J997" i="21" s="1"/>
  <c r="R997" i="21" s="1"/>
  <c r="P573" i="21"/>
  <c r="H572" i="21"/>
  <c r="P1016" i="21"/>
  <c r="H360" i="21"/>
  <c r="J360" i="21" s="1"/>
  <c r="R360" i="21" s="1"/>
  <c r="P363" i="21"/>
  <c r="H649" i="21"/>
  <c r="J649" i="21" s="1"/>
  <c r="R649" i="21" s="1"/>
  <c r="H794" i="21"/>
  <c r="H672" i="21"/>
  <c r="J672" i="21" s="1"/>
  <c r="R672" i="21" s="1"/>
  <c r="H974" i="21"/>
  <c r="H885" i="21"/>
  <c r="H772" i="21"/>
  <c r="H1006" i="21"/>
  <c r="H525" i="21"/>
  <c r="J525" i="21" s="1"/>
  <c r="R525" i="21" s="1"/>
  <c r="P526" i="21"/>
  <c r="H1034" i="21"/>
  <c r="P1034" i="21" s="1"/>
  <c r="P1035" i="21"/>
  <c r="P718" i="21"/>
  <c r="P1056" i="21"/>
  <c r="P694" i="21"/>
  <c r="H693" i="21"/>
  <c r="P693" i="21" s="1"/>
  <c r="H478" i="21"/>
  <c r="P481" i="21"/>
  <c r="H955" i="21"/>
  <c r="P955" i="21" s="1"/>
  <c r="H1066" i="21"/>
  <c r="P286" i="21"/>
  <c r="P306" i="21"/>
  <c r="L285" i="21"/>
  <c r="G11" i="15" s="1"/>
  <c r="P254" i="21"/>
  <c r="H238" i="21"/>
  <c r="J238" i="21" s="1"/>
  <c r="R238" i="21" s="1"/>
  <c r="P241" i="21"/>
  <c r="H220" i="21"/>
  <c r="P221" i="21"/>
  <c r="P192" i="21"/>
  <c r="H189" i="21"/>
  <c r="J189" i="21" s="1"/>
  <c r="R189" i="21" s="1"/>
  <c r="P168" i="21"/>
  <c r="H78" i="21"/>
  <c r="P79" i="21"/>
  <c r="I150" i="7"/>
  <c r="I24" i="7" s="1"/>
  <c r="I252" i="7" s="1"/>
  <c r="L93" i="21" l="1"/>
  <c r="G8" i="15" s="1"/>
  <c r="H198" i="21"/>
  <c r="P198" i="21" s="1"/>
  <c r="I285" i="21"/>
  <c r="N237" i="21"/>
  <c r="H1476" i="21"/>
  <c r="J1476" i="21" s="1"/>
  <c r="R1476" i="21" s="1"/>
  <c r="N514" i="21"/>
  <c r="R98" i="21"/>
  <c r="P422" i="21"/>
  <c r="H1252" i="21"/>
  <c r="J1252" i="21" s="1"/>
  <c r="R1252" i="21" s="1"/>
  <c r="I514" i="21"/>
  <c r="Q514" i="21" s="1"/>
  <c r="J693" i="21"/>
  <c r="R693" i="21" s="1"/>
  <c r="B707" i="21"/>
  <c r="B708" i="21" s="1"/>
  <c r="B709" i="21" s="1"/>
  <c r="B710" i="21" s="1"/>
  <c r="B711" i="21" s="1"/>
  <c r="B712" i="21" s="1"/>
  <c r="B713" i="21" s="1"/>
  <c r="B714" i="21" s="1"/>
  <c r="B715" i="21" s="1"/>
  <c r="B716" i="21" s="1"/>
  <c r="B717" i="21" s="1"/>
  <c r="B718" i="21" s="1"/>
  <c r="B719" i="21" s="1"/>
  <c r="B720" i="21" s="1"/>
  <c r="B721" i="21" s="1"/>
  <c r="B722" i="21" s="1"/>
  <c r="B723" i="21" s="1"/>
  <c r="B724" i="21" s="1"/>
  <c r="B725" i="21" s="1"/>
  <c r="B726" i="21" s="1"/>
  <c r="B727" i="21" s="1"/>
  <c r="B728" i="21" s="1"/>
  <c r="B729" i="21" s="1"/>
  <c r="B730" i="21" s="1"/>
  <c r="B731" i="21" s="1"/>
  <c r="B732" i="21" s="1"/>
  <c r="B733" i="21" s="1"/>
  <c r="B734" i="21" s="1"/>
  <c r="B735" i="21" s="1"/>
  <c r="B736" i="21" s="1"/>
  <c r="B737" i="21" s="1"/>
  <c r="B738" i="21" s="1"/>
  <c r="B739" i="21" s="1"/>
  <c r="B740" i="21" s="1"/>
  <c r="B741" i="21" s="1"/>
  <c r="B742" i="21" s="1"/>
  <c r="B743" i="21" s="1"/>
  <c r="B744" i="21" s="1"/>
  <c r="B745" i="21" s="1"/>
  <c r="B746" i="21" s="1"/>
  <c r="B747" i="21" s="1"/>
  <c r="B748" i="21" s="1"/>
  <c r="B749" i="21" s="1"/>
  <c r="B750" i="21" s="1"/>
  <c r="B751" i="21" s="1"/>
  <c r="B752" i="21" s="1"/>
  <c r="B753" i="21" s="1"/>
  <c r="B754" i="21" s="1"/>
  <c r="B755" i="21" s="1"/>
  <c r="B756" i="21" s="1"/>
  <c r="B757" i="21" s="1"/>
  <c r="B758" i="21" s="1"/>
  <c r="B759" i="21" s="1"/>
  <c r="B760" i="21" s="1"/>
  <c r="B761" i="21" s="1"/>
  <c r="B762" i="21" s="1"/>
  <c r="B763" i="21" s="1"/>
  <c r="B764" i="21" s="1"/>
  <c r="B765" i="21" s="1"/>
  <c r="B766" i="21" s="1"/>
  <c r="B767" i="21" s="1"/>
  <c r="B768" i="21" s="1"/>
  <c r="B769" i="21" s="1"/>
  <c r="B770" i="21" s="1"/>
  <c r="B771" i="21" s="1"/>
  <c r="B772" i="21" s="1"/>
  <c r="B773" i="21" s="1"/>
  <c r="B774" i="21" s="1"/>
  <c r="B775" i="21" s="1"/>
  <c r="B776" i="21" s="1"/>
  <c r="B777" i="21" s="1"/>
  <c r="B778" i="21" s="1"/>
  <c r="B779" i="21" s="1"/>
  <c r="B780" i="21" s="1"/>
  <c r="B781" i="21" s="1"/>
  <c r="B782" i="21" s="1"/>
  <c r="B783" i="21" s="1"/>
  <c r="B784" i="21" s="1"/>
  <c r="B785" i="21" s="1"/>
  <c r="B786" i="21" s="1"/>
  <c r="B787" i="21" s="1"/>
  <c r="B788" i="21" s="1"/>
  <c r="B789" i="21" s="1"/>
  <c r="B790" i="21" s="1"/>
  <c r="B791" i="21" s="1"/>
  <c r="B792" i="21" s="1"/>
  <c r="B793" i="21" s="1"/>
  <c r="B794" i="21" s="1"/>
  <c r="B795" i="21" s="1"/>
  <c r="B796" i="21" s="1"/>
  <c r="B797" i="21" s="1"/>
  <c r="B798" i="21" s="1"/>
  <c r="B799" i="21" s="1"/>
  <c r="B800" i="21" s="1"/>
  <c r="B801" i="21" s="1"/>
  <c r="B802" i="21" s="1"/>
  <c r="B803" i="21" s="1"/>
  <c r="B804" i="21" s="1"/>
  <c r="B805" i="21" s="1"/>
  <c r="B806" i="21" s="1"/>
  <c r="B807" i="21" s="1"/>
  <c r="B808" i="21" s="1"/>
  <c r="B809" i="21" s="1"/>
  <c r="B810" i="21" s="1"/>
  <c r="B811" i="21" s="1"/>
  <c r="B812" i="21" s="1"/>
  <c r="B813" i="21" s="1"/>
  <c r="B814" i="21" s="1"/>
  <c r="B815" i="21" s="1"/>
  <c r="B816" i="21" s="1"/>
  <c r="B817" i="21" s="1"/>
  <c r="B818" i="21" s="1"/>
  <c r="B819" i="21" s="1"/>
  <c r="B820" i="21" s="1"/>
  <c r="B821" i="21" s="1"/>
  <c r="B822" i="21" s="1"/>
  <c r="B823" i="21" s="1"/>
  <c r="B824" i="21" s="1"/>
  <c r="B825" i="21" s="1"/>
  <c r="B826" i="21" s="1"/>
  <c r="B827" i="21" s="1"/>
  <c r="B828" i="21" s="1"/>
  <c r="B829" i="21" s="1"/>
  <c r="B830" i="21" s="1"/>
  <c r="B831" i="21" s="1"/>
  <c r="B832" i="21" s="1"/>
  <c r="B833" i="21" s="1"/>
  <c r="B834" i="21" s="1"/>
  <c r="B835" i="21" s="1"/>
  <c r="B836" i="21" s="1"/>
  <c r="B837" i="21" s="1"/>
  <c r="B838" i="21" s="1"/>
  <c r="B839" i="21" s="1"/>
  <c r="B840" i="21" s="1"/>
  <c r="B841" i="21" s="1"/>
  <c r="B842" i="21" s="1"/>
  <c r="B843" i="21" s="1"/>
  <c r="B844" i="21" s="1"/>
  <c r="B845" i="21" s="1"/>
  <c r="B846" i="21" s="1"/>
  <c r="B847" i="21" s="1"/>
  <c r="B848" i="21" s="1"/>
  <c r="B849" i="21" s="1"/>
  <c r="B850" i="21" s="1"/>
  <c r="B851" i="21" s="1"/>
  <c r="B852" i="21" s="1"/>
  <c r="B853" i="21" s="1"/>
  <c r="B854" i="21" s="1"/>
  <c r="B855" i="21" s="1"/>
  <c r="B856" i="21" s="1"/>
  <c r="B857" i="21" s="1"/>
  <c r="B858" i="21" s="1"/>
  <c r="B859" i="21" s="1"/>
  <c r="B860" i="21" s="1"/>
  <c r="B861" i="21" s="1"/>
  <c r="B862" i="21" s="1"/>
  <c r="B863" i="21" s="1"/>
  <c r="B864" i="21" s="1"/>
  <c r="B865" i="21" s="1"/>
  <c r="B866" i="21" s="1"/>
  <c r="B867" i="21" s="1"/>
  <c r="B868" i="21" s="1"/>
  <c r="B869" i="21" s="1"/>
  <c r="B870" i="21" s="1"/>
  <c r="B871" i="21" s="1"/>
  <c r="B872" i="21" s="1"/>
  <c r="B873" i="21" s="1"/>
  <c r="B874" i="21" s="1"/>
  <c r="B875" i="21" s="1"/>
  <c r="B876" i="21" s="1"/>
  <c r="B877" i="21" s="1"/>
  <c r="B878" i="21" s="1"/>
  <c r="B879" i="21" s="1"/>
  <c r="B880" i="21" s="1"/>
  <c r="B881" i="21" s="1"/>
  <c r="B882" i="21" s="1"/>
  <c r="B883" i="21" s="1"/>
  <c r="B884" i="21" s="1"/>
  <c r="B885" i="21" s="1"/>
  <c r="B886" i="21" s="1"/>
  <c r="B887" i="21" s="1"/>
  <c r="B888" i="21" s="1"/>
  <c r="B889" i="21" s="1"/>
  <c r="B890" i="21" s="1"/>
  <c r="B891" i="21" s="1"/>
  <c r="B892" i="21" s="1"/>
  <c r="B893" i="21" s="1"/>
  <c r="B894" i="21" s="1"/>
  <c r="B895" i="21" s="1"/>
  <c r="B896" i="21" s="1"/>
  <c r="B897" i="21" s="1"/>
  <c r="B898" i="21" s="1"/>
  <c r="B899" i="21" s="1"/>
  <c r="B900" i="21" s="1"/>
  <c r="B901" i="21" s="1"/>
  <c r="B902" i="21" s="1"/>
  <c r="B903" i="21" s="1"/>
  <c r="B904" i="21" s="1"/>
  <c r="B905" i="21" s="1"/>
  <c r="B906" i="21" s="1"/>
  <c r="B907" i="21" s="1"/>
  <c r="B908" i="21" s="1"/>
  <c r="B909" i="21" s="1"/>
  <c r="B910" i="21" s="1"/>
  <c r="B911" i="21" s="1"/>
  <c r="B912" i="21" s="1"/>
  <c r="B913" i="21" s="1"/>
  <c r="B914" i="21" s="1"/>
  <c r="B915" i="21" s="1"/>
  <c r="B916" i="21" s="1"/>
  <c r="B917" i="21" s="1"/>
  <c r="B918" i="21" s="1"/>
  <c r="B919" i="21" s="1"/>
  <c r="B920" i="21" s="1"/>
  <c r="B921" i="21" s="1"/>
  <c r="B922" i="21" s="1"/>
  <c r="B923" i="21" s="1"/>
  <c r="B924" i="21" s="1"/>
  <c r="B925" i="21" s="1"/>
  <c r="B926" i="21" s="1"/>
  <c r="B927" i="21" s="1"/>
  <c r="B928" i="21" s="1"/>
  <c r="B929" i="21" s="1"/>
  <c r="B930" i="21" s="1"/>
  <c r="B931" i="21" s="1"/>
  <c r="B932" i="21" s="1"/>
  <c r="B933" i="21" s="1"/>
  <c r="B934" i="21" s="1"/>
  <c r="B935" i="21" s="1"/>
  <c r="B936" i="21" s="1"/>
  <c r="B937" i="21" s="1"/>
  <c r="B938" i="21" s="1"/>
  <c r="B939" i="21" s="1"/>
  <c r="B940" i="21" s="1"/>
  <c r="B941" i="21" s="1"/>
  <c r="B942" i="21" s="1"/>
  <c r="B943" i="21" s="1"/>
  <c r="B944" i="21" s="1"/>
  <c r="B945" i="21" s="1"/>
  <c r="B946" i="21" s="1"/>
  <c r="B947" i="21" s="1"/>
  <c r="B948" i="21" s="1"/>
  <c r="B949" i="21" s="1"/>
  <c r="B950" i="21" s="1"/>
  <c r="B951" i="21" s="1"/>
  <c r="B952" i="21" s="1"/>
  <c r="B953" i="21" s="1"/>
  <c r="B954" i="21" s="1"/>
  <c r="B955" i="21" s="1"/>
  <c r="B956" i="21" s="1"/>
  <c r="B957" i="21" s="1"/>
  <c r="B958" i="21" s="1"/>
  <c r="B959" i="21" s="1"/>
  <c r="B960" i="21" s="1"/>
  <c r="B961" i="21" s="1"/>
  <c r="B962" i="21" s="1"/>
  <c r="B963" i="21" s="1"/>
  <c r="B964" i="21" s="1"/>
  <c r="B965" i="21" s="1"/>
  <c r="B966" i="21" s="1"/>
  <c r="B967" i="21" s="1"/>
  <c r="B968" i="21" s="1"/>
  <c r="B969" i="21" s="1"/>
  <c r="B970" i="21" s="1"/>
  <c r="B971" i="21" s="1"/>
  <c r="B972" i="21" s="1"/>
  <c r="B973" i="21" s="1"/>
  <c r="B974" i="21" s="1"/>
  <c r="B975" i="21" s="1"/>
  <c r="B976" i="21" s="1"/>
  <c r="B977" i="21" s="1"/>
  <c r="B978" i="21" s="1"/>
  <c r="B979" i="21" s="1"/>
  <c r="B980" i="21" s="1"/>
  <c r="B981" i="21" s="1"/>
  <c r="B982" i="21" s="1"/>
  <c r="B983" i="21" s="1"/>
  <c r="B984" i="21" s="1"/>
  <c r="B985" i="21" s="1"/>
  <c r="B986" i="21" s="1"/>
  <c r="B987" i="21" s="1"/>
  <c r="B988" i="21" s="1"/>
  <c r="B989" i="21" s="1"/>
  <c r="B990" i="21" s="1"/>
  <c r="B991" i="21" s="1"/>
  <c r="B992" i="21" s="1"/>
  <c r="B993" i="21" s="1"/>
  <c r="B994" i="21" s="1"/>
  <c r="B995" i="21" s="1"/>
  <c r="B996" i="21" s="1"/>
  <c r="B997" i="21" s="1"/>
  <c r="B998" i="21" s="1"/>
  <c r="B999" i="21" s="1"/>
  <c r="B1000" i="21" s="1"/>
  <c r="B1001" i="21" s="1"/>
  <c r="B1002" i="21" s="1"/>
  <c r="B1003" i="21" s="1"/>
  <c r="B1004" i="21" s="1"/>
  <c r="B1006" i="21" s="1"/>
  <c r="B1007" i="21" s="1"/>
  <c r="B1008" i="21" s="1"/>
  <c r="B1009" i="21" s="1"/>
  <c r="B1010" i="21" s="1"/>
  <c r="B1011" i="21" s="1"/>
  <c r="B1012" i="21" s="1"/>
  <c r="B1013" i="21" s="1"/>
  <c r="B1015" i="21" s="1"/>
  <c r="B1016" i="21" s="1"/>
  <c r="B1017" i="21" s="1"/>
  <c r="B1018" i="21" s="1"/>
  <c r="B1019" i="21" s="1"/>
  <c r="B1020" i="21" s="1"/>
  <c r="B1021" i="21" s="1"/>
  <c r="B1022" i="21" s="1"/>
  <c r="B1023" i="21" s="1"/>
  <c r="B1024" i="21" s="1"/>
  <c r="B1025" i="21" s="1"/>
  <c r="B1026" i="21" s="1"/>
  <c r="B1027" i="21" s="1"/>
  <c r="B1028" i="21" s="1"/>
  <c r="B1029" i="21" s="1"/>
  <c r="B1030" i="21" s="1"/>
  <c r="B1031" i="21" s="1"/>
  <c r="B1032" i="21" s="1"/>
  <c r="B1033" i="21" s="1"/>
  <c r="B1034" i="21" s="1"/>
  <c r="B1035" i="21" s="1"/>
  <c r="B1036" i="21" s="1"/>
  <c r="B1037" i="21" s="1"/>
  <c r="B1038" i="21" s="1"/>
  <c r="B1039" i="21" s="1"/>
  <c r="B1040" i="21" s="1"/>
  <c r="B1041" i="21" s="1"/>
  <c r="B1042" i="21" s="1"/>
  <c r="B1043" i="21" s="1"/>
  <c r="B1044" i="21" s="1"/>
  <c r="B1045" i="21" s="1"/>
  <c r="B1046" i="21" s="1"/>
  <c r="B1047" i="21" s="1"/>
  <c r="B1048" i="21" s="1"/>
  <c r="B1049" i="21" s="1"/>
  <c r="B1050" i="21" s="1"/>
  <c r="B1051" i="21" s="1"/>
  <c r="B1052" i="21" s="1"/>
  <c r="B1053" i="21" s="1"/>
  <c r="B1054" i="21" s="1"/>
  <c r="B1055" i="21" s="1"/>
  <c r="B1056" i="21" s="1"/>
  <c r="B1057" i="21" s="1"/>
  <c r="B1058" i="21" s="1"/>
  <c r="B1059" i="21" s="1"/>
  <c r="B1060" i="21" s="1"/>
  <c r="B1061" i="21" s="1"/>
  <c r="B1062" i="21" s="1"/>
  <c r="B1063" i="21" s="1"/>
  <c r="B1064" i="21" s="1"/>
  <c r="B1065" i="21" s="1"/>
  <c r="B1066" i="21" s="1"/>
  <c r="B1067" i="21" s="1"/>
  <c r="B1068" i="21" s="1"/>
  <c r="B1069" i="21" s="1"/>
  <c r="B1070" i="21" s="1"/>
  <c r="B1071" i="21" s="1"/>
  <c r="B1072" i="21" s="1"/>
  <c r="B1073" i="21" s="1"/>
  <c r="B1074" i="21" s="1"/>
  <c r="B1075" i="21" s="1"/>
  <c r="B1076" i="21" s="1"/>
  <c r="B1077" i="21" s="1"/>
  <c r="B1078" i="21" s="1"/>
  <c r="B1079" i="21" s="1"/>
  <c r="B1080" i="21" s="1"/>
  <c r="B1081" i="21" s="1"/>
  <c r="B1082" i="21" s="1"/>
  <c r="B1083" i="21" s="1"/>
  <c r="B1084" i="21" s="1"/>
  <c r="B1085" i="21" s="1"/>
  <c r="B1086" i="21" s="1"/>
  <c r="B1087" i="21" s="1"/>
  <c r="B1088" i="21" s="1"/>
  <c r="B1089" i="21" s="1"/>
  <c r="B1090" i="21" s="1"/>
  <c r="B1091" i="21" s="1"/>
  <c r="B1092" i="21" s="1"/>
  <c r="B1093" i="21" s="1"/>
  <c r="B1094" i="21" s="1"/>
  <c r="B1095" i="21" s="1"/>
  <c r="B1096" i="21" s="1"/>
  <c r="B1097" i="21" s="1"/>
  <c r="B1098" i="21" s="1"/>
  <c r="B1099" i="21" s="1"/>
  <c r="B1100" i="21" s="1"/>
  <c r="B1101" i="21" s="1"/>
  <c r="B1102" i="21" s="1"/>
  <c r="B1103" i="21" s="1"/>
  <c r="B1104" i="21" s="1"/>
  <c r="B1105" i="21" s="1"/>
  <c r="B1106" i="21" s="1"/>
  <c r="B1107" i="21" s="1"/>
  <c r="B1108" i="21" s="1"/>
  <c r="B1109" i="21" s="1"/>
  <c r="B1110" i="21" s="1"/>
  <c r="B1111" i="21" s="1"/>
  <c r="B1112" i="21" s="1"/>
  <c r="B1113" i="21" s="1"/>
  <c r="B1114" i="21" s="1"/>
  <c r="B1115" i="21" s="1"/>
  <c r="L819" i="21"/>
  <c r="L357" i="21" s="1"/>
  <c r="G12" i="15" s="1"/>
  <c r="H549" i="21"/>
  <c r="J1412" i="21"/>
  <c r="R1412" i="21" s="1"/>
  <c r="H1411" i="21"/>
  <c r="J1411" i="21" s="1"/>
  <c r="R1411" i="21" s="1"/>
  <c r="H1367" i="21"/>
  <c r="J1367" i="21" s="1"/>
  <c r="R1367" i="21" s="1"/>
  <c r="N358" i="21"/>
  <c r="N572" i="21"/>
  <c r="N359" i="21"/>
  <c r="P934" i="21"/>
  <c r="H93" i="21"/>
  <c r="J93" i="21" s="1"/>
  <c r="P199" i="21"/>
  <c r="H717" i="21"/>
  <c r="P717" i="21" s="1"/>
  <c r="I1251" i="21"/>
  <c r="E15" i="15" s="1"/>
  <c r="K15" i="15" s="1"/>
  <c r="I281" i="7"/>
  <c r="E3" i="15" s="1"/>
  <c r="E11" i="15"/>
  <c r="K11" i="15" s="1"/>
  <c r="N93" i="21"/>
  <c r="N285" i="21"/>
  <c r="R113" i="21"/>
  <c r="Q1332" i="21"/>
  <c r="E16" i="15"/>
  <c r="P1025" i="21"/>
  <c r="J1025" i="21"/>
  <c r="R1025" i="21" s="1"/>
  <c r="J198" i="21"/>
  <c r="R198" i="21" s="1"/>
  <c r="P1066" i="21"/>
  <c r="J1066" i="21"/>
  <c r="R1066" i="21" s="1"/>
  <c r="P1006" i="21"/>
  <c r="J1006" i="21"/>
  <c r="R1006" i="21" s="1"/>
  <c r="P974" i="21"/>
  <c r="J974" i="21"/>
  <c r="R974" i="21" s="1"/>
  <c r="P572" i="21"/>
  <c r="J572" i="21"/>
  <c r="P659" i="21"/>
  <c r="J659" i="21"/>
  <c r="R659" i="21" s="1"/>
  <c r="P1075" i="21"/>
  <c r="J1075" i="21"/>
  <c r="R1075" i="21" s="1"/>
  <c r="P516" i="21"/>
  <c r="J516" i="21"/>
  <c r="R516" i="21" s="1"/>
  <c r="P488" i="21"/>
  <c r="J488" i="21"/>
  <c r="R488" i="21" s="1"/>
  <c r="J290" i="21"/>
  <c r="R290" i="21" s="1"/>
  <c r="I933" i="21"/>
  <c r="I819" i="21" s="1"/>
  <c r="I8" i="15"/>
  <c r="P113" i="21"/>
  <c r="P515" i="21"/>
  <c r="J515" i="21"/>
  <c r="R515" i="21" s="1"/>
  <c r="E13" i="15"/>
  <c r="Q1122" i="21"/>
  <c r="K9" i="15"/>
  <c r="P78" i="21"/>
  <c r="D7" i="15"/>
  <c r="F7" i="15" s="1"/>
  <c r="J78" i="21"/>
  <c r="R78" i="21" s="1"/>
  <c r="H599" i="21"/>
  <c r="J600" i="21"/>
  <c r="R600" i="21" s="1"/>
  <c r="R171" i="21"/>
  <c r="J168" i="21"/>
  <c r="R168" i="21" s="1"/>
  <c r="P478" i="21"/>
  <c r="J478" i="21"/>
  <c r="R478" i="21" s="1"/>
  <c r="P549" i="21"/>
  <c r="J549" i="21"/>
  <c r="R549" i="21" s="1"/>
  <c r="E6" i="15"/>
  <c r="K6" i="15" s="1"/>
  <c r="Q5" i="21"/>
  <c r="K14" i="15"/>
  <c r="P772" i="21"/>
  <c r="J772" i="21"/>
  <c r="R772" i="21" s="1"/>
  <c r="P560" i="21"/>
  <c r="J560" i="21"/>
  <c r="R560" i="21" s="1"/>
  <c r="H624" i="21"/>
  <c r="J625" i="21"/>
  <c r="R625" i="21" s="1"/>
  <c r="J250" i="21"/>
  <c r="R250" i="21" s="1"/>
  <c r="Q250" i="21"/>
  <c r="Q1251" i="21"/>
  <c r="J955" i="21"/>
  <c r="R955" i="21" s="1"/>
  <c r="Q285" i="21"/>
  <c r="P220" i="21"/>
  <c r="J220" i="21"/>
  <c r="R220" i="21" s="1"/>
  <c r="H285" i="21"/>
  <c r="D11" i="15" s="1"/>
  <c r="P885" i="21"/>
  <c r="J885" i="21"/>
  <c r="R885" i="21" s="1"/>
  <c r="P794" i="21"/>
  <c r="J794" i="21"/>
  <c r="R794" i="21" s="1"/>
  <c r="H1015" i="21"/>
  <c r="P1181" i="21"/>
  <c r="J1181" i="21"/>
  <c r="R1181" i="21" s="1"/>
  <c r="P550" i="21"/>
  <c r="J550" i="21"/>
  <c r="R550" i="21" s="1"/>
  <c r="P757" i="21"/>
  <c r="J757" i="21"/>
  <c r="R757" i="21" s="1"/>
  <c r="G9" i="15"/>
  <c r="I9" i="15" s="1"/>
  <c r="N163" i="21"/>
  <c r="J1386" i="21"/>
  <c r="R1386" i="21" s="1"/>
  <c r="K7" i="15"/>
  <c r="L1122" i="21"/>
  <c r="N1134" i="21"/>
  <c r="P805" i="21"/>
  <c r="J805" i="21"/>
  <c r="R805" i="21" s="1"/>
  <c r="K17" i="15"/>
  <c r="I11" i="15"/>
  <c r="K8" i="15"/>
  <c r="Q358" i="21"/>
  <c r="Q359" i="21"/>
  <c r="J1034" i="21"/>
  <c r="R1034" i="21" s="1"/>
  <c r="Q1034" i="21"/>
  <c r="P1465" i="21"/>
  <c r="P1320" i="21"/>
  <c r="I237" i="21"/>
  <c r="P600" i="21"/>
  <c r="H1314" i="21"/>
  <c r="J1314" i="21" s="1"/>
  <c r="R1314" i="21" s="1"/>
  <c r="H1306" i="21"/>
  <c r="J1306" i="21" s="1"/>
  <c r="R1306" i="21" s="1"/>
  <c r="H1200" i="21"/>
  <c r="P1201" i="21"/>
  <c r="P1165" i="21"/>
  <c r="H1163" i="21"/>
  <c r="J1163" i="21" s="1"/>
  <c r="R1163" i="21" s="1"/>
  <c r="P525" i="21"/>
  <c r="P997" i="21"/>
  <c r="H996" i="21"/>
  <c r="P672" i="21"/>
  <c r="H671" i="21"/>
  <c r="P360" i="21"/>
  <c r="H359" i="21"/>
  <c r="J359" i="21" s="1"/>
  <c r="P649" i="21"/>
  <c r="H648" i="21"/>
  <c r="H1055" i="21"/>
  <c r="H820" i="21"/>
  <c r="J820" i="21" s="1"/>
  <c r="R820" i="21" s="1"/>
  <c r="H237" i="21"/>
  <c r="P238" i="21"/>
  <c r="H188" i="21"/>
  <c r="J188" i="21" s="1"/>
  <c r="R188" i="21" s="1"/>
  <c r="P189" i="21"/>
  <c r="D17" i="15" l="1"/>
  <c r="F17" i="15" s="1"/>
  <c r="P285" i="21"/>
  <c r="N819" i="21"/>
  <c r="P1476" i="21"/>
  <c r="H1332" i="21"/>
  <c r="D16" i="15" s="1"/>
  <c r="F16" i="15" s="1"/>
  <c r="R93" i="21"/>
  <c r="R359" i="21"/>
  <c r="Q933" i="21"/>
  <c r="R572" i="21"/>
  <c r="I283" i="7"/>
  <c r="D8" i="15"/>
  <c r="F8" i="15" s="1"/>
  <c r="P93" i="21"/>
  <c r="J717" i="21"/>
  <c r="R717" i="21" s="1"/>
  <c r="P1055" i="21"/>
  <c r="J1055" i="21"/>
  <c r="R1055" i="21" s="1"/>
  <c r="J237" i="21"/>
  <c r="R237" i="21" s="1"/>
  <c r="E10" i="15"/>
  <c r="Q237" i="21"/>
  <c r="P237" i="21"/>
  <c r="D10" i="15"/>
  <c r="P648" i="21"/>
  <c r="J648" i="21"/>
  <c r="R648" i="21" s="1"/>
  <c r="P671" i="21"/>
  <c r="J671" i="21"/>
  <c r="R671" i="21" s="1"/>
  <c r="P1200" i="21"/>
  <c r="D14" i="15"/>
  <c r="F14" i="15" s="1"/>
  <c r="J1200" i="21"/>
  <c r="R1200" i="21" s="1"/>
  <c r="K13" i="15"/>
  <c r="K16" i="15"/>
  <c r="P599" i="21"/>
  <c r="J599" i="21"/>
  <c r="R599" i="21" s="1"/>
  <c r="H933" i="21"/>
  <c r="H819" i="21" s="1"/>
  <c r="P819" i="21" s="1"/>
  <c r="P996" i="21"/>
  <c r="J996" i="21"/>
  <c r="R996" i="21" s="1"/>
  <c r="G13" i="15"/>
  <c r="I13" i="15" s="1"/>
  <c r="N1122" i="21"/>
  <c r="P624" i="21"/>
  <c r="J624" i="21"/>
  <c r="R624" i="21" s="1"/>
  <c r="F11" i="15"/>
  <c r="P1015" i="21"/>
  <c r="J1015" i="21"/>
  <c r="R1015" i="21" s="1"/>
  <c r="J285" i="21"/>
  <c r="R285" i="21" s="1"/>
  <c r="K3" i="15"/>
  <c r="M357" i="21"/>
  <c r="H12" i="15" s="1"/>
  <c r="I357" i="21"/>
  <c r="E12" i="15" s="1"/>
  <c r="Q819" i="21"/>
  <c r="P1464" i="21"/>
  <c r="P1319" i="21"/>
  <c r="H1251" i="21"/>
  <c r="P1163" i="21"/>
  <c r="H1134" i="21"/>
  <c r="J1134" i="21" s="1"/>
  <c r="R1134" i="21" s="1"/>
  <c r="P359" i="21"/>
  <c r="H358" i="21"/>
  <c r="J358" i="21" s="1"/>
  <c r="R358" i="21" s="1"/>
  <c r="P820" i="21"/>
  <c r="H514" i="21"/>
  <c r="P188" i="21"/>
  <c r="H163" i="21"/>
  <c r="J1332" i="21" l="1"/>
  <c r="P163" i="21"/>
  <c r="D9" i="15"/>
  <c r="F9" i="15" s="1"/>
  <c r="J163" i="21"/>
  <c r="R163" i="21" s="1"/>
  <c r="F10" i="15"/>
  <c r="K10" i="15"/>
  <c r="P933" i="21"/>
  <c r="J933" i="21"/>
  <c r="R933" i="21" s="1"/>
  <c r="J819" i="21"/>
  <c r="R819" i="21" s="1"/>
  <c r="D15" i="15"/>
  <c r="F15" i="15" s="1"/>
  <c r="J1251" i="21"/>
  <c r="P514" i="21"/>
  <c r="J514" i="21"/>
  <c r="R514" i="21" s="1"/>
  <c r="N357" i="21"/>
  <c r="Q357" i="21"/>
  <c r="E4" i="15"/>
  <c r="E18" i="15" s="1"/>
  <c r="K12" i="15"/>
  <c r="H4" i="15"/>
  <c r="I12" i="15"/>
  <c r="P1463" i="21"/>
  <c r="P1318" i="21"/>
  <c r="H1122" i="21"/>
  <c r="P1134" i="21"/>
  <c r="P358" i="21"/>
  <c r="H357" i="21"/>
  <c r="J357" i="21" s="1"/>
  <c r="P1122" i="21" l="1"/>
  <c r="D13" i="15"/>
  <c r="F13" i="15" s="1"/>
  <c r="J1122" i="21"/>
  <c r="R1122" i="21" s="1"/>
  <c r="R357" i="21"/>
  <c r="P357" i="21"/>
  <c r="D12" i="15"/>
  <c r="F12" i="15" s="1"/>
  <c r="H20" i="15"/>
  <c r="K4" i="15"/>
  <c r="K22" i="15" s="1"/>
  <c r="K43" i="15" s="1"/>
  <c r="P1462" i="21"/>
  <c r="P1317" i="21"/>
  <c r="P1461" i="21" l="1"/>
  <c r="P1316" i="21"/>
  <c r="P1460" i="21" l="1"/>
  <c r="P1315" i="21"/>
  <c r="P1459" i="21" l="1"/>
  <c r="P1314" i="21"/>
  <c r="P1458" i="21" l="1"/>
  <c r="P1313" i="21"/>
  <c r="P1457" i="21" l="1"/>
  <c r="P1312" i="21"/>
  <c r="P1456" i="21" l="1"/>
  <c r="P1311" i="21"/>
  <c r="P1455" i="21" l="1"/>
  <c r="P1310" i="21"/>
  <c r="P1454" i="21" l="1"/>
  <c r="P1309" i="21"/>
  <c r="P1453" i="21" l="1"/>
  <c r="P1308" i="21"/>
  <c r="P1452" i="21" l="1"/>
  <c r="P1307" i="21"/>
  <c r="P1451" i="21" l="1"/>
  <c r="P1306" i="21"/>
  <c r="P1450" i="21" l="1"/>
  <c r="P1305" i="21"/>
  <c r="P1449" i="21" l="1"/>
  <c r="P1304" i="21"/>
  <c r="P1448" i="21" l="1"/>
  <c r="P1303" i="21"/>
  <c r="P1447" i="21" l="1"/>
  <c r="P1302" i="21"/>
  <c r="P1446" i="21" l="1"/>
  <c r="P1301" i="21"/>
  <c r="P1445" i="21" l="1"/>
  <c r="P1300" i="21"/>
  <c r="P1444" i="21" l="1"/>
  <c r="P1299" i="21"/>
  <c r="P1443" i="21" l="1"/>
  <c r="P1298" i="21"/>
  <c r="P1442" i="21" l="1"/>
  <c r="P1297" i="21"/>
  <c r="P1441" i="21" l="1"/>
  <c r="P1296" i="21"/>
  <c r="P1439" i="21" l="1"/>
  <c r="P1295" i="21"/>
  <c r="P1438" i="21" l="1"/>
  <c r="P1294" i="21"/>
  <c r="P1437" i="21" l="1"/>
  <c r="P1293" i="21"/>
  <c r="P1436" i="21" l="1"/>
  <c r="P1291" i="21"/>
  <c r="P1435" i="21" l="1"/>
  <c r="P1290" i="21"/>
  <c r="P1434" i="21" l="1"/>
  <c r="P1289" i="21"/>
  <c r="P1433" i="21" l="1"/>
  <c r="P1288" i="21"/>
  <c r="P1432" i="21" l="1"/>
  <c r="P1287" i="21"/>
  <c r="P1431" i="21" l="1"/>
  <c r="P1286" i="21"/>
  <c r="H232" i="7"/>
  <c r="J232" i="7" s="1"/>
  <c r="P1430" i="21" l="1"/>
  <c r="P1284" i="21"/>
  <c r="H8" i="21"/>
  <c r="J8" i="21" s="1"/>
  <c r="R8" i="21" s="1"/>
  <c r="H39" i="21"/>
  <c r="J39" i="21" s="1"/>
  <c r="R39" i="21" s="1"/>
  <c r="H36" i="21"/>
  <c r="J36" i="21" s="1"/>
  <c r="R36" i="21" s="1"/>
  <c r="H26" i="21"/>
  <c r="J26" i="21" s="1"/>
  <c r="R26" i="21" s="1"/>
  <c r="H11" i="21"/>
  <c r="J11" i="21" s="1"/>
  <c r="R11" i="21" s="1"/>
  <c r="H264" i="7"/>
  <c r="J264" i="7" s="1"/>
  <c r="H240" i="7"/>
  <c r="J240" i="7" s="1"/>
  <c r="H203" i="7"/>
  <c r="J203" i="7" s="1"/>
  <c r="H202" i="7"/>
  <c r="J202" i="7" s="1"/>
  <c r="H196" i="7"/>
  <c r="J196" i="7" s="1"/>
  <c r="H195" i="7"/>
  <c r="J195" i="7" s="1"/>
  <c r="H81" i="7"/>
  <c r="J81" i="7" s="1"/>
  <c r="H79" i="7"/>
  <c r="J79" i="7" s="1"/>
  <c r="H76" i="7"/>
  <c r="J76" i="7" s="1"/>
  <c r="H55" i="7"/>
  <c r="J55" i="7" s="1"/>
  <c r="H54" i="7"/>
  <c r="J54" i="7" s="1"/>
  <c r="H53" i="7"/>
  <c r="J53" i="7" s="1"/>
  <c r="H31" i="7"/>
  <c r="J31" i="7" s="1"/>
  <c r="H269" i="7"/>
  <c r="J269" i="7" s="1"/>
  <c r="P1428" i="21" l="1"/>
  <c r="P1281" i="21"/>
  <c r="L46" i="21"/>
  <c r="N46" i="21" s="1"/>
  <c r="R46" i="21" s="1"/>
  <c r="H245" i="7"/>
  <c r="J245" i="7" s="1"/>
  <c r="P1427" i="21" l="1"/>
  <c r="P1280" i="21"/>
  <c r="P45" i="21"/>
  <c r="H37" i="21"/>
  <c r="J37" i="21" s="1"/>
  <c r="R37" i="21" s="1"/>
  <c r="P1425" i="21" l="1"/>
  <c r="P1279" i="21"/>
  <c r="J27" i="15"/>
  <c r="L27" i="15" s="1"/>
  <c r="J26" i="15"/>
  <c r="L26" i="15" s="1"/>
  <c r="P1424" i="21" l="1"/>
  <c r="P1278" i="21"/>
  <c r="J25" i="15"/>
  <c r="L25" i="15" s="1"/>
  <c r="P32" i="21"/>
  <c r="H265" i="7"/>
  <c r="J265" i="7" s="1"/>
  <c r="H263" i="7"/>
  <c r="P1422" i="21" l="1"/>
  <c r="P1277" i="21"/>
  <c r="H262" i="7"/>
  <c r="J263" i="7"/>
  <c r="P1421" i="21" l="1"/>
  <c r="P1276" i="21"/>
  <c r="H261" i="7"/>
  <c r="H259" i="7" s="1"/>
  <c r="J259" i="7" s="1"/>
  <c r="J262" i="7"/>
  <c r="J261" i="7" s="1"/>
  <c r="P1420" i="21" l="1"/>
  <c r="P1275" i="21"/>
  <c r="H272" i="7"/>
  <c r="J272" i="7" s="1"/>
  <c r="H237" i="7"/>
  <c r="J237" i="7" s="1"/>
  <c r="H197" i="7"/>
  <c r="J197" i="7" s="1"/>
  <c r="H194" i="7"/>
  <c r="J194" i="7" s="1"/>
  <c r="P1419" i="21" l="1"/>
  <c r="P1274" i="21"/>
  <c r="J37" i="15"/>
  <c r="L37" i="15" s="1"/>
  <c r="P1418" i="21" l="1"/>
  <c r="P1273" i="21"/>
  <c r="J36" i="15"/>
  <c r="L36" i="15" s="1"/>
  <c r="P1417" i="21" l="1"/>
  <c r="P1272" i="21"/>
  <c r="H236" i="7"/>
  <c r="J236" i="7" s="1"/>
  <c r="H56" i="7"/>
  <c r="J56" i="7" s="1"/>
  <c r="P1416" i="21" l="1"/>
  <c r="P1271" i="21"/>
  <c r="H52" i="7"/>
  <c r="J52" i="7" s="1"/>
  <c r="P44" i="21"/>
  <c r="P31" i="21"/>
  <c r="H25" i="21"/>
  <c r="J25" i="21" s="1"/>
  <c r="P70" i="21"/>
  <c r="P69" i="21"/>
  <c r="P68" i="21"/>
  <c r="P67" i="21"/>
  <c r="P66" i="21"/>
  <c r="P65" i="21"/>
  <c r="P64" i="21"/>
  <c r="P63" i="21"/>
  <c r="P62" i="21"/>
  <c r="P61" i="21"/>
  <c r="H60" i="21"/>
  <c r="P58" i="21"/>
  <c r="P57" i="21"/>
  <c r="P56" i="21"/>
  <c r="P55" i="21"/>
  <c r="P54" i="21"/>
  <c r="P53" i="21"/>
  <c r="H52" i="21"/>
  <c r="P51" i="21"/>
  <c r="P50" i="21"/>
  <c r="P49" i="21"/>
  <c r="P48" i="21"/>
  <c r="P47" i="21"/>
  <c r="P46" i="21"/>
  <c r="P43" i="21"/>
  <c r="P42" i="21"/>
  <c r="P41" i="21"/>
  <c r="P40" i="21"/>
  <c r="P39" i="21"/>
  <c r="P38" i="21"/>
  <c r="P37" i="21"/>
  <c r="L35" i="21"/>
  <c r="N35" i="21" s="1"/>
  <c r="P34" i="21"/>
  <c r="P33" i="21"/>
  <c r="P30" i="21"/>
  <c r="P29" i="21"/>
  <c r="P28" i="21"/>
  <c r="P27" i="21"/>
  <c r="P26" i="21"/>
  <c r="L25" i="21"/>
  <c r="N25" i="21" s="1"/>
  <c r="P24" i="21"/>
  <c r="P23" i="21"/>
  <c r="H22" i="21"/>
  <c r="P21" i="21"/>
  <c r="P20" i="21"/>
  <c r="P18" i="21"/>
  <c r="H17" i="21"/>
  <c r="P16" i="21"/>
  <c r="H15" i="21"/>
  <c r="P14" i="21"/>
  <c r="H13" i="21"/>
  <c r="P12" i="21"/>
  <c r="P11" i="21"/>
  <c r="P10" i="21"/>
  <c r="P9" i="21"/>
  <c r="P8" i="21"/>
  <c r="H7" i="21"/>
  <c r="J7" i="21" s="1"/>
  <c r="R7" i="21" s="1"/>
  <c r="L6" i="21"/>
  <c r="N6" i="21" s="1"/>
  <c r="B6" i="21"/>
  <c r="B7" i="21" s="1"/>
  <c r="B8" i="21" s="1"/>
  <c r="B9" i="21" s="1"/>
  <c r="B10" i="21" s="1"/>
  <c r="B11" i="21" s="1"/>
  <c r="B12" i="21" s="1"/>
  <c r="B13" i="21" s="1"/>
  <c r="B14" i="21" s="1"/>
  <c r="B15" i="21" s="1"/>
  <c r="B16" i="21" s="1"/>
  <c r="B17" i="21" s="1"/>
  <c r="B18" i="21" s="1"/>
  <c r="B19" i="21" s="1"/>
  <c r="B20" i="21" s="1"/>
  <c r="B21" i="21" s="1"/>
  <c r="B22" i="21" s="1"/>
  <c r="B23" i="21" s="1"/>
  <c r="B24" i="21" s="1"/>
  <c r="B25" i="21" s="1"/>
  <c r="B26" i="21" s="1"/>
  <c r="B27" i="21" s="1"/>
  <c r="B28" i="21" s="1"/>
  <c r="B29" i="21" s="1"/>
  <c r="B30" i="21" s="1"/>
  <c r="B31" i="21" s="1"/>
  <c r="B32" i="21" s="1"/>
  <c r="B33" i="21" s="1"/>
  <c r="B34" i="21" s="1"/>
  <c r="B35" i="21" s="1"/>
  <c r="B36" i="21" s="1"/>
  <c r="B37" i="21" s="1"/>
  <c r="B38" i="21" s="1"/>
  <c r="B39" i="21" s="1"/>
  <c r="B40" i="21" s="1"/>
  <c r="B41" i="21" s="1"/>
  <c r="B42" i="21" s="1"/>
  <c r="B43" i="21" s="1"/>
  <c r="B44" i="21" s="1"/>
  <c r="B45" i="21" s="1"/>
  <c r="B46" i="21" s="1"/>
  <c r="B47" i="21" s="1"/>
  <c r="B48" i="21" s="1"/>
  <c r="B49" i="21" s="1"/>
  <c r="B50" i="21" s="1"/>
  <c r="B51" i="21" s="1"/>
  <c r="B52" i="21" s="1"/>
  <c r="B53" i="21" s="1"/>
  <c r="B54" i="21" s="1"/>
  <c r="B55" i="21" s="1"/>
  <c r="B56" i="21" s="1"/>
  <c r="B8" i="7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H10" i="7"/>
  <c r="J31" i="15"/>
  <c r="L31" i="15" s="1"/>
  <c r="H185" i="7"/>
  <c r="H235" i="7"/>
  <c r="H119" i="7"/>
  <c r="J119" i="7" s="1"/>
  <c r="H29" i="7"/>
  <c r="H13" i="7"/>
  <c r="H152" i="7"/>
  <c r="H163" i="7"/>
  <c r="H174" i="7"/>
  <c r="H121" i="7"/>
  <c r="J121" i="7" s="1"/>
  <c r="H124" i="7"/>
  <c r="H88" i="7"/>
  <c r="J88" i="7" s="1"/>
  <c r="H94" i="7"/>
  <c r="J94" i="7" s="1"/>
  <c r="H102" i="7"/>
  <c r="J102" i="7" s="1"/>
  <c r="H107" i="7"/>
  <c r="J107" i="7" s="1"/>
  <c r="H73" i="7"/>
  <c r="H37" i="7"/>
  <c r="H46" i="7"/>
  <c r="J46" i="7" s="1"/>
  <c r="H18" i="7"/>
  <c r="J18" i="7" s="1"/>
  <c r="B4" i="15"/>
  <c r="B5" i="15" s="1"/>
  <c r="B6" i="15" s="1"/>
  <c r="B7" i="15" s="1"/>
  <c r="B8" i="15" s="1"/>
  <c r="B9" i="15" s="1"/>
  <c r="B10" i="15" s="1"/>
  <c r="B11" i="15" s="1"/>
  <c r="B12" i="15" s="1"/>
  <c r="B13" i="15" s="1"/>
  <c r="B14" i="15" s="1"/>
  <c r="B15" i="15" s="1"/>
  <c r="B16" i="15" s="1"/>
  <c r="B17" i="15" s="1"/>
  <c r="B18" i="15" s="1"/>
  <c r="B19" i="15" s="1"/>
  <c r="B20" i="15" s="1"/>
  <c r="B21" i="15" s="1"/>
  <c r="B22" i="15" s="1"/>
  <c r="B25" i="15" s="1"/>
  <c r="B26" i="15" s="1"/>
  <c r="B27" i="15" s="1"/>
  <c r="B260" i="7"/>
  <c r="B282" i="7"/>
  <c r="B283" i="7" s="1"/>
  <c r="P52" i="21" l="1"/>
  <c r="J52" i="21"/>
  <c r="R52" i="21" s="1"/>
  <c r="P15" i="21"/>
  <c r="J15" i="21"/>
  <c r="R15" i="21" s="1"/>
  <c r="R25" i="21"/>
  <c r="P13" i="21"/>
  <c r="J13" i="21"/>
  <c r="R13" i="21" s="1"/>
  <c r="P17" i="21"/>
  <c r="J17" i="21"/>
  <c r="R17" i="21" s="1"/>
  <c r="P22" i="21"/>
  <c r="J22" i="21"/>
  <c r="R22" i="21" s="1"/>
  <c r="H59" i="21"/>
  <c r="J60" i="21"/>
  <c r="R60" i="21" s="1"/>
  <c r="P1415" i="21"/>
  <c r="P1270" i="21"/>
  <c r="H184" i="7"/>
  <c r="J184" i="7" s="1"/>
  <c r="J185" i="7"/>
  <c r="H123" i="7"/>
  <c r="J123" i="7" s="1"/>
  <c r="J124" i="7"/>
  <c r="H151" i="7"/>
  <c r="J151" i="7" s="1"/>
  <c r="J152" i="7"/>
  <c r="J235" i="7"/>
  <c r="J234" i="7" s="1"/>
  <c r="H230" i="7"/>
  <c r="J230" i="7" s="1"/>
  <c r="H12" i="7"/>
  <c r="J12" i="7" s="1"/>
  <c r="J13" i="7"/>
  <c r="H72" i="7"/>
  <c r="J72" i="7" s="1"/>
  <c r="J73" i="7"/>
  <c r="H162" i="7"/>
  <c r="J162" i="7" s="1"/>
  <c r="J163" i="7"/>
  <c r="H9" i="7"/>
  <c r="J9" i="7" s="1"/>
  <c r="J10" i="7"/>
  <c r="H36" i="7"/>
  <c r="J36" i="7" s="1"/>
  <c r="J37" i="7"/>
  <c r="H173" i="7"/>
  <c r="J173" i="7" s="1"/>
  <c r="J174" i="7"/>
  <c r="H27" i="7"/>
  <c r="J29" i="7"/>
  <c r="H86" i="7"/>
  <c r="J86" i="7" s="1"/>
  <c r="P60" i="21"/>
  <c r="P36" i="21"/>
  <c r="H35" i="21"/>
  <c r="B261" i="7"/>
  <c r="B262" i="7" s="1"/>
  <c r="B263" i="7" s="1"/>
  <c r="B264" i="7" s="1"/>
  <c r="B265" i="7" s="1"/>
  <c r="B266" i="7" s="1"/>
  <c r="B267" i="7" s="1"/>
  <c r="B268" i="7" s="1"/>
  <c r="B269" i="7" s="1"/>
  <c r="B270" i="7" s="1"/>
  <c r="B271" i="7" s="1"/>
  <c r="B272" i="7" s="1"/>
  <c r="B20" i="7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1" i="15"/>
  <c r="B32" i="15" s="1"/>
  <c r="B33" i="15" s="1"/>
  <c r="B28" i="15"/>
  <c r="B29" i="15" s="1"/>
  <c r="P25" i="21"/>
  <c r="H19" i="21"/>
  <c r="P7" i="21"/>
  <c r="J30" i="15"/>
  <c r="L30" i="15" s="1"/>
  <c r="H117" i="7"/>
  <c r="L5" i="21"/>
  <c r="G6" i="15" l="1"/>
  <c r="I6" i="15" s="1"/>
  <c r="N5" i="21"/>
  <c r="P19" i="21"/>
  <c r="J19" i="21"/>
  <c r="R19" i="21" s="1"/>
  <c r="P59" i="21"/>
  <c r="J59" i="21"/>
  <c r="R59" i="21" s="1"/>
  <c r="P35" i="21"/>
  <c r="J35" i="21"/>
  <c r="R35" i="21" s="1"/>
  <c r="P1414" i="21"/>
  <c r="P1269" i="21"/>
  <c r="H150" i="7"/>
  <c r="J150" i="7" s="1"/>
  <c r="H7" i="7"/>
  <c r="J7" i="7" s="1"/>
  <c r="H26" i="7"/>
  <c r="J27" i="7"/>
  <c r="H50" i="7"/>
  <c r="J117" i="7"/>
  <c r="B38" i="7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B52" i="7" s="1"/>
  <c r="B53" i="7" s="1"/>
  <c r="B54" i="7" s="1"/>
  <c r="B55" i="7" s="1"/>
  <c r="B56" i="7" s="1"/>
  <c r="B72" i="7" s="1"/>
  <c r="B73" i="7" s="1"/>
  <c r="B74" i="7" s="1"/>
  <c r="B75" i="7" s="1"/>
  <c r="B76" i="7" s="1"/>
  <c r="B77" i="7" s="1"/>
  <c r="B78" i="7" s="1"/>
  <c r="B79" i="7" s="1"/>
  <c r="B80" i="7" s="1"/>
  <c r="B81" i="7" s="1"/>
  <c r="B82" i="7" s="1"/>
  <c r="B83" i="7" s="1"/>
  <c r="B84" i="7" s="1"/>
  <c r="B85" i="7" s="1"/>
  <c r="B86" i="7" s="1"/>
  <c r="B87" i="7" s="1"/>
  <c r="B88" i="7" s="1"/>
  <c r="B89" i="7" s="1"/>
  <c r="B90" i="7" s="1"/>
  <c r="B91" i="7" s="1"/>
  <c r="H282" i="7"/>
  <c r="J282" i="7" s="1"/>
  <c r="B34" i="15"/>
  <c r="B35" i="15" s="1"/>
  <c r="B36" i="15" s="1"/>
  <c r="H6" i="21"/>
  <c r="J7" i="15"/>
  <c r="L7" i="15" s="1"/>
  <c r="B57" i="21"/>
  <c r="B58" i="21" s="1"/>
  <c r="B59" i="21" s="1"/>
  <c r="B60" i="21" s="1"/>
  <c r="B61" i="21" s="1"/>
  <c r="B62" i="21" s="1"/>
  <c r="B63" i="21" s="1"/>
  <c r="B64" i="21" s="1"/>
  <c r="B65" i="21" s="1"/>
  <c r="B66" i="21" s="1"/>
  <c r="B67" i="21" s="1"/>
  <c r="B68" i="21" s="1"/>
  <c r="B69" i="21" s="1"/>
  <c r="B70" i="21" s="1"/>
  <c r="P6" i="21" l="1"/>
  <c r="J6" i="21"/>
  <c r="R6" i="21" s="1"/>
  <c r="J26" i="7"/>
  <c r="H24" i="7"/>
  <c r="H252" i="7" s="1"/>
  <c r="J252" i="7" s="1"/>
  <c r="P1413" i="21"/>
  <c r="P1268" i="21"/>
  <c r="J50" i="7"/>
  <c r="B92" i="7"/>
  <c r="B93" i="7" s="1"/>
  <c r="B94" i="7" s="1"/>
  <c r="B95" i="7" s="1"/>
  <c r="B96" i="7" s="1"/>
  <c r="B97" i="7" s="1"/>
  <c r="B98" i="7" s="1"/>
  <c r="B99" i="7" s="1"/>
  <c r="B100" i="7" s="1"/>
  <c r="B101" i="7" s="1"/>
  <c r="B102" i="7" s="1"/>
  <c r="B103" i="7" s="1"/>
  <c r="B104" i="7" s="1"/>
  <c r="B105" i="7" s="1"/>
  <c r="B106" i="7" s="1"/>
  <c r="B107" i="7" s="1"/>
  <c r="B108" i="7" s="1"/>
  <c r="B109" i="7" s="1"/>
  <c r="B110" i="7" s="1"/>
  <c r="B111" i="7" s="1"/>
  <c r="G3" i="15"/>
  <c r="I3" i="15" s="1"/>
  <c r="H5" i="21"/>
  <c r="B43" i="15"/>
  <c r="B37" i="15"/>
  <c r="B38" i="15" s="1"/>
  <c r="B39" i="15" s="1"/>
  <c r="B40" i="15" s="1"/>
  <c r="B41" i="15" s="1"/>
  <c r="B42" i="15" s="1"/>
  <c r="J17" i="15"/>
  <c r="L17" i="15" s="1"/>
  <c r="P5" i="21" l="1"/>
  <c r="J5" i="21"/>
  <c r="R5" i="21" s="1"/>
  <c r="P1412" i="21"/>
  <c r="P1267" i="21"/>
  <c r="H281" i="7"/>
  <c r="D3" i="15"/>
  <c r="F3" i="15" s="1"/>
  <c r="J24" i="7"/>
  <c r="B112" i="7"/>
  <c r="B113" i="7" s="1"/>
  <c r="B114" i="7" s="1"/>
  <c r="B115" i="7" s="1"/>
  <c r="B116" i="7" s="1"/>
  <c r="B117" i="7" s="1"/>
  <c r="B118" i="7" s="1"/>
  <c r="B119" i="7" s="1"/>
  <c r="B120" i="7" s="1"/>
  <c r="B121" i="7" s="1"/>
  <c r="B122" i="7" s="1"/>
  <c r="B123" i="7" s="1"/>
  <c r="B124" i="7" s="1"/>
  <c r="B125" i="7" s="1"/>
  <c r="B126" i="7" s="1"/>
  <c r="B127" i="7" s="1"/>
  <c r="B128" i="7" s="1"/>
  <c r="B129" i="7" s="1"/>
  <c r="B130" i="7" s="1"/>
  <c r="B131" i="7" s="1"/>
  <c r="B132" i="7" s="1"/>
  <c r="B133" i="7" s="1"/>
  <c r="B134" i="7" s="1"/>
  <c r="B135" i="7" s="1"/>
  <c r="B136" i="7" s="1"/>
  <c r="B137" i="7" s="1"/>
  <c r="B138" i="7" s="1"/>
  <c r="B139" i="7" s="1"/>
  <c r="B140" i="7" s="1"/>
  <c r="B141" i="7" s="1"/>
  <c r="B142" i="7" s="1"/>
  <c r="B149" i="7" s="1"/>
  <c r="B150" i="7" s="1"/>
  <c r="B151" i="7" s="1"/>
  <c r="B152" i="7" s="1"/>
  <c r="B153" i="7" s="1"/>
  <c r="B154" i="7" s="1"/>
  <c r="B155" i="7" s="1"/>
  <c r="B156" i="7" s="1"/>
  <c r="B157" i="7" s="1"/>
  <c r="B158" i="7" s="1"/>
  <c r="B159" i="7" s="1"/>
  <c r="B160" i="7" s="1"/>
  <c r="B161" i="7" s="1"/>
  <c r="B162" i="7" s="1"/>
  <c r="B163" i="7" s="1"/>
  <c r="B164" i="7" s="1"/>
  <c r="B165" i="7" s="1"/>
  <c r="B166" i="7" s="1"/>
  <c r="B167" i="7" s="1"/>
  <c r="B168" i="7" s="1"/>
  <c r="B169" i="7" s="1"/>
  <c r="B170" i="7" s="1"/>
  <c r="B171" i="7" s="1"/>
  <c r="B172" i="7" s="1"/>
  <c r="B173" i="7" s="1"/>
  <c r="B174" i="7" s="1"/>
  <c r="B175" i="7" s="1"/>
  <c r="B176" i="7" s="1"/>
  <c r="B177" i="7" s="1"/>
  <c r="B178" i="7" s="1"/>
  <c r="B179" i="7" s="1"/>
  <c r="B180" i="7" s="1"/>
  <c r="B181" i="7" s="1"/>
  <c r="B182" i="7" s="1"/>
  <c r="B183" i="7" s="1"/>
  <c r="B184" i="7" s="1"/>
  <c r="B185" i="7" s="1"/>
  <c r="B186" i="7" s="1"/>
  <c r="B187" i="7" s="1"/>
  <c r="B188" i="7" s="1"/>
  <c r="B189" i="7" s="1"/>
  <c r="B190" i="7" s="1"/>
  <c r="J9" i="15"/>
  <c r="L9" i="15" s="1"/>
  <c r="D6" i="15"/>
  <c r="F6" i="15" s="1"/>
  <c r="J8" i="15"/>
  <c r="L8" i="15" s="1"/>
  <c r="J14" i="15"/>
  <c r="L14" i="15" s="1"/>
  <c r="B191" i="7" l="1"/>
  <c r="B192" i="7" s="1"/>
  <c r="B193" i="7" s="1"/>
  <c r="B194" i="7" s="1"/>
  <c r="B195" i="7" s="1"/>
  <c r="B196" i="7" s="1"/>
  <c r="B197" i="7" s="1"/>
  <c r="B198" i="7" s="1"/>
  <c r="B199" i="7" s="1"/>
  <c r="B200" i="7" s="1"/>
  <c r="B201" i="7" s="1"/>
  <c r="B202" i="7" s="1"/>
  <c r="B203" i="7" s="1"/>
  <c r="B204" i="7" s="1"/>
  <c r="B230" i="7" s="1"/>
  <c r="B231" i="7" s="1"/>
  <c r="B232" i="7" s="1"/>
  <c r="B233" i="7" s="1"/>
  <c r="B234" i="7" s="1"/>
  <c r="B235" i="7" s="1"/>
  <c r="B236" i="7" s="1"/>
  <c r="B237" i="7" s="1"/>
  <c r="B238" i="7" s="1"/>
  <c r="B239" i="7" s="1"/>
  <c r="B240" i="7" s="1"/>
  <c r="B241" i="7" s="1"/>
  <c r="B242" i="7" s="1"/>
  <c r="B243" i="7" s="1"/>
  <c r="B244" i="7" s="1"/>
  <c r="B245" i="7" s="1"/>
  <c r="B246" i="7" s="1"/>
  <c r="B247" i="7" s="1"/>
  <c r="B248" i="7" s="1"/>
  <c r="B249" i="7" s="1"/>
  <c r="B250" i="7" s="1"/>
  <c r="B251" i="7" s="1"/>
  <c r="B252" i="7" s="1"/>
  <c r="J3" i="15"/>
  <c r="L3" i="15" s="1"/>
  <c r="P1411" i="21"/>
  <c r="P1266" i="21"/>
  <c r="H283" i="7"/>
  <c r="J281" i="7"/>
  <c r="J283" i="7" s="1"/>
  <c r="J6" i="15"/>
  <c r="L6" i="15" s="1"/>
  <c r="J13" i="15"/>
  <c r="L13" i="15" s="1"/>
  <c r="J11" i="15"/>
  <c r="L11" i="15" s="1"/>
  <c r="P1410" i="21" l="1"/>
  <c r="P1265" i="21"/>
  <c r="J10" i="15"/>
  <c r="L10" i="15" s="1"/>
  <c r="D4" i="15"/>
  <c r="F4" i="15" s="1"/>
  <c r="P1409" i="21" l="1"/>
  <c r="P1264" i="21"/>
  <c r="J12" i="15"/>
  <c r="L12" i="15" s="1"/>
  <c r="D18" i="15"/>
  <c r="F18" i="15" s="1"/>
  <c r="P1408" i="21" l="1"/>
  <c r="P1263" i="21"/>
  <c r="P1407" i="21" l="1"/>
  <c r="P1262" i="21"/>
  <c r="P1405" i="21" l="1"/>
  <c r="P1261" i="21"/>
  <c r="P1404" i="21" l="1"/>
  <c r="P1260" i="21"/>
  <c r="P1403" i="21" l="1"/>
  <c r="P1259" i="21"/>
  <c r="P1402" i="21" l="1"/>
  <c r="P1258" i="21"/>
  <c r="P1401" i="21" l="1"/>
  <c r="P1257" i="21"/>
  <c r="P1400" i="21" l="1"/>
  <c r="P1256" i="21"/>
  <c r="P1399" i="21" l="1"/>
  <c r="P1255" i="21"/>
  <c r="P1397" i="21" l="1"/>
  <c r="P1254" i="21"/>
  <c r="P1396" i="21" l="1"/>
  <c r="P1253" i="21"/>
  <c r="P1395" i="21" l="1"/>
  <c r="L1251" i="21"/>
  <c r="P1252" i="21"/>
  <c r="P1251" i="21" l="1"/>
  <c r="G15" i="15"/>
  <c r="N1251" i="21"/>
  <c r="R1251" i="21" s="1"/>
  <c r="P1394" i="21"/>
  <c r="I15" i="15" l="1"/>
  <c r="J15" i="15"/>
  <c r="L15" i="15" s="1"/>
  <c r="P1393" i="21"/>
  <c r="P1392" i="21" l="1"/>
  <c r="P1391" i="21" l="1"/>
  <c r="P1390" i="21" l="1"/>
  <c r="P1389" i="21" l="1"/>
  <c r="P1388" i="21" l="1"/>
  <c r="P1387" i="21" l="1"/>
  <c r="P1386" i="21" l="1"/>
  <c r="P1385" i="21" l="1"/>
  <c r="P1384" i="21" l="1"/>
  <c r="P1383" i="21" l="1"/>
  <c r="P1381" i="21" l="1"/>
  <c r="P1380" i="21" l="1"/>
  <c r="P1379" i="21" l="1"/>
  <c r="P1377" i="21" l="1"/>
  <c r="P1376" i="21" l="1"/>
  <c r="P1375" i="21" l="1"/>
  <c r="P1374" i="21" l="1"/>
  <c r="P1373" i="21" l="1"/>
  <c r="P1372" i="21" l="1"/>
  <c r="P1371" i="21" l="1"/>
  <c r="P1370" i="21" l="1"/>
  <c r="P1369" i="21" l="1"/>
  <c r="P1368" i="21" l="1"/>
  <c r="P1367" i="21" l="1"/>
  <c r="P1366" i="21" l="1"/>
  <c r="P1365" i="21" l="1"/>
  <c r="P1364" i="21" l="1"/>
  <c r="P1363" i="21" l="1"/>
  <c r="P1362" i="21" l="1"/>
  <c r="P1361" i="21" l="1"/>
  <c r="P1360" i="21" l="1"/>
  <c r="P1359" i="21" l="1"/>
  <c r="P1358" i="21" l="1"/>
  <c r="P1357" i="21" l="1"/>
  <c r="P1356" i="21" l="1"/>
  <c r="P1355" i="21" l="1"/>
  <c r="P1354" i="21" l="1"/>
  <c r="P1353" i="21" l="1"/>
  <c r="P1352" i="21" l="1"/>
  <c r="P1351" i="21" l="1"/>
  <c r="P1350" i="21" l="1"/>
  <c r="P1349" i="21" l="1"/>
  <c r="P1348" i="21" l="1"/>
  <c r="P1347" i="21" l="1"/>
  <c r="P1346" i="21" l="1"/>
  <c r="P1345" i="21" l="1"/>
  <c r="P1344" i="21" l="1"/>
  <c r="P1343" i="21" l="1"/>
  <c r="P1342" i="21" l="1"/>
  <c r="P1341" i="21" l="1"/>
  <c r="P1340" i="21" l="1"/>
  <c r="P1339" i="21" l="1"/>
  <c r="P1338" i="21" l="1"/>
  <c r="P1337" i="21" l="1"/>
  <c r="P1336" i="21" l="1"/>
  <c r="P1335" i="21" l="1"/>
  <c r="P1334" i="21" l="1"/>
  <c r="L1332" i="21" l="1"/>
  <c r="P1333" i="21"/>
  <c r="P1332" i="21" l="1"/>
  <c r="N1332" i="21"/>
  <c r="R1332" i="21" s="1"/>
  <c r="G16" i="15"/>
  <c r="I16" i="15" l="1"/>
  <c r="J16" i="15"/>
  <c r="L16" i="15" s="1"/>
  <c r="G4" i="15"/>
  <c r="G20" i="15" l="1"/>
  <c r="I20" i="15" s="1"/>
  <c r="I4" i="15"/>
  <c r="J4" i="15"/>
  <c r="J22" i="15" l="1"/>
  <c r="L4" i="15"/>
  <c r="J43" i="15" l="1"/>
  <c r="L43" i="15" s="1"/>
  <c r="L22" i="15"/>
</calcChain>
</file>

<file path=xl/sharedStrings.xml><?xml version="1.0" encoding="utf-8"?>
<sst xmlns="http://schemas.openxmlformats.org/spreadsheetml/2006/main" count="3094" uniqueCount="868">
  <si>
    <t>Verejná zeleň</t>
  </si>
  <si>
    <t>Hlásenie pobytu občanov a register obyvateľov</t>
  </si>
  <si>
    <t>Príspevky neštátnym subjektom</t>
  </si>
  <si>
    <t>ukazovateľ</t>
  </si>
  <si>
    <t>1</t>
  </si>
  <si>
    <t>2</t>
  </si>
  <si>
    <t>3</t>
  </si>
  <si>
    <t>4</t>
  </si>
  <si>
    <t>5</t>
  </si>
  <si>
    <t>Bežné príjmy</t>
  </si>
  <si>
    <t>kategória</t>
  </si>
  <si>
    <t>položka</t>
  </si>
  <si>
    <t>podpo-</t>
  </si>
  <si>
    <t>ložka</t>
  </si>
  <si>
    <t>príjem</t>
  </si>
  <si>
    <t>100</t>
  </si>
  <si>
    <t>DAŇOVÉ  PRÍJMY</t>
  </si>
  <si>
    <t>110</t>
  </si>
  <si>
    <t>Dane z príjmov a kapitálového majetku</t>
  </si>
  <si>
    <t>111</t>
  </si>
  <si>
    <t>003</t>
  </si>
  <si>
    <t>Výnos dane z príjmov poukázaný územnej samospráve</t>
  </si>
  <si>
    <t>120</t>
  </si>
  <si>
    <t>Dane z majetku</t>
  </si>
  <si>
    <t>121</t>
  </si>
  <si>
    <t>daň z nehnuteľností</t>
  </si>
  <si>
    <t>001</t>
  </si>
  <si>
    <t xml:space="preserve">    - z pozemkov</t>
  </si>
  <si>
    <t>002</t>
  </si>
  <si>
    <t xml:space="preserve">    - zo stavieb</t>
  </si>
  <si>
    <t xml:space="preserve">    - z bytov</t>
  </si>
  <si>
    <t>130</t>
  </si>
  <si>
    <t>Domáce dane na tovary a služby</t>
  </si>
  <si>
    <t>133</t>
  </si>
  <si>
    <t>012</t>
  </si>
  <si>
    <t>daň za užívanie verejného priestranstva</t>
  </si>
  <si>
    <t>013</t>
  </si>
  <si>
    <t>200</t>
  </si>
  <si>
    <t>NEDAŇOVÉ  PRÍJMY</t>
  </si>
  <si>
    <t>210</t>
  </si>
  <si>
    <t>Príjmy z podnikania a z vlastníctva majetku</t>
  </si>
  <si>
    <t>212</t>
  </si>
  <si>
    <t>z prenajatých pozemkov</t>
  </si>
  <si>
    <t>z prenajatých budov, priestorov a objektov</t>
  </si>
  <si>
    <t xml:space="preserve"> - prenájom budov</t>
  </si>
  <si>
    <t xml:space="preserve"> - prenájom bytových a nebytových priestorov</t>
  </si>
  <si>
    <t>220</t>
  </si>
  <si>
    <t>Administratívne a iné poplatky a platby</t>
  </si>
  <si>
    <t>221</t>
  </si>
  <si>
    <t>004</t>
  </si>
  <si>
    <t xml:space="preserve"> - ostatné poplatky</t>
  </si>
  <si>
    <t>222</t>
  </si>
  <si>
    <t>pokuty a penále za porušenie predpisov</t>
  </si>
  <si>
    <t>223</t>
  </si>
  <si>
    <t>poplatky a platby za predaj výrobkov,tovarov a služieb</t>
  </si>
  <si>
    <t>229</t>
  </si>
  <si>
    <t>005</t>
  </si>
  <si>
    <t>240</t>
  </si>
  <si>
    <t>Úroky z domácich úverov,pôžičiek a vkladov</t>
  </si>
  <si>
    <t>290</t>
  </si>
  <si>
    <t>Iné nedaňové príjmy</t>
  </si>
  <si>
    <t>292</t>
  </si>
  <si>
    <t>008</t>
  </si>
  <si>
    <t>z výťažkov z lotérií a iných podobných hier</t>
  </si>
  <si>
    <t>ostatné</t>
  </si>
  <si>
    <t xml:space="preserve">   - za predaj výrobkov, tovarov a služieb </t>
  </si>
  <si>
    <t>iné príjmy z činnosti</t>
  </si>
  <si>
    <t>SOCIÁLNE SLUŽBY MESTA TRENČÍN   m.r.o.</t>
  </si>
  <si>
    <t xml:space="preserve">Detské jasle </t>
  </si>
  <si>
    <t>Zariadenie opatrovateľskej služby</t>
  </si>
  <si>
    <t>Opatrovateľská služba</t>
  </si>
  <si>
    <t>rozvoz stravy</t>
  </si>
  <si>
    <t>príjmy z prenajatých budov, priestorov a objektov</t>
  </si>
  <si>
    <r>
      <t>ŠKOLSKÉ ZARIADENIA MESTA TRENČÍN m.r.o</t>
    </r>
    <r>
      <rPr>
        <b/>
        <i/>
        <sz val="10"/>
        <rFont val="Arial CE"/>
        <family val="2"/>
        <charset val="238"/>
      </rPr>
      <t>.</t>
    </r>
  </si>
  <si>
    <t>Zimný štadión</t>
  </si>
  <si>
    <t>Stavebný poriadok, vyvlastňovacie konanie, doprava</t>
  </si>
  <si>
    <t>z prenajatých budov,garáží a objektov</t>
  </si>
  <si>
    <t>za materské školy a školské družiny</t>
  </si>
  <si>
    <t>poplatky za školské družiny</t>
  </si>
  <si>
    <t>300</t>
  </si>
  <si>
    <t>GRANTY  A  TRANSFERY</t>
  </si>
  <si>
    <t>312</t>
  </si>
  <si>
    <t>Transfery v rámci verejnej správy</t>
  </si>
  <si>
    <t>Zo štátneho rozpočtu</t>
  </si>
  <si>
    <t>Dotácie na základné vzdelanie s bežnou starostlivosťou</t>
  </si>
  <si>
    <t>Dotácia na sociálne zabezpečenie</t>
  </si>
  <si>
    <t>Dotácia na matriku</t>
  </si>
  <si>
    <t>Školský úrad</t>
  </si>
  <si>
    <t>ŠFRB</t>
  </si>
  <si>
    <t>BEŽNÉ PRÍJMY SPOLU:</t>
  </si>
  <si>
    <t>príjmy z vlastníctva</t>
  </si>
  <si>
    <t xml:space="preserve"> - výherné prístroje</t>
  </si>
  <si>
    <t>poplatok za znečisťovanie ovzdušia</t>
  </si>
  <si>
    <t>z trhovísk</t>
  </si>
  <si>
    <t>za vodné, stočné, el.energiu, paru, plyn a teplo</t>
  </si>
  <si>
    <t>Výkon funkcie primátora</t>
  </si>
  <si>
    <t>Zasadnutia orgánov mesta</t>
  </si>
  <si>
    <t>Ochrana pred požiarmi</t>
  </si>
  <si>
    <t>Právne služby</t>
  </si>
  <si>
    <t>Verejné osvetlenie</t>
  </si>
  <si>
    <t>Detské jasle</t>
  </si>
  <si>
    <t>Pochovanie občana</t>
  </si>
  <si>
    <t>Organizácia občianskych obradov</t>
  </si>
  <si>
    <t>Činnosť matriky</t>
  </si>
  <si>
    <t>Verejné toalety</t>
  </si>
  <si>
    <t>Zneškodňovanie odpadu</t>
  </si>
  <si>
    <t>Materské školy</t>
  </si>
  <si>
    <t>Základné školy</t>
  </si>
  <si>
    <t>Školské jedálne</t>
  </si>
  <si>
    <t>Podpora kultúrnych stredísk</t>
  </si>
  <si>
    <t>Podpora športových podujatí</t>
  </si>
  <si>
    <t>Dotácie na šport</t>
  </si>
  <si>
    <t>Športová hala</t>
  </si>
  <si>
    <t>Futbalový štadión</t>
  </si>
  <si>
    <t>Plavárne</t>
  </si>
  <si>
    <t>Karanténna stanica</t>
  </si>
  <si>
    <t>Fontány</t>
  </si>
  <si>
    <t>Výkon funkcie prednostu</t>
  </si>
  <si>
    <t>243</t>
  </si>
  <si>
    <t>Základná umelecká škola m.r.o.</t>
  </si>
  <si>
    <t xml:space="preserve">ZÁKLADNÉ ŠKOLY, ZARIADENIA PRE ZÁUJMOVÉ </t>
  </si>
  <si>
    <t>VZDELÁVANIE A ŠKOLSKÉ JEDÁLNE s p.s.</t>
  </si>
  <si>
    <t>poplatky - cudzí stravníci</t>
  </si>
  <si>
    <t xml:space="preserve"> - ostatné</t>
  </si>
  <si>
    <t>daň za psa</t>
  </si>
  <si>
    <t>Prepravná služba</t>
  </si>
  <si>
    <t>Manažment mesta</t>
  </si>
  <si>
    <t>Normotvorná činnosť mesta</t>
  </si>
  <si>
    <t>Kontrola činnosti samosprávy</t>
  </si>
  <si>
    <t>Zabezpečovanie volieb</t>
  </si>
  <si>
    <t>Hnuteľný majetok mesta</t>
  </si>
  <si>
    <t>Nebytové priestory</t>
  </si>
  <si>
    <t>Pozemky</t>
  </si>
  <si>
    <t>Prevádzka a údržba budov</t>
  </si>
  <si>
    <t>Mestský informačný systém</t>
  </si>
  <si>
    <t>Autodoprava</t>
  </si>
  <si>
    <t>Preventívna ochrana zamestnancov</t>
  </si>
  <si>
    <t>Klientské centrum</t>
  </si>
  <si>
    <t>Prevádzka mestských trhovísk</t>
  </si>
  <si>
    <t>PROGRAM 5:  BEZPEČNOSŤ</t>
  </si>
  <si>
    <t>Zabezpečovanie verejného poriadku</t>
  </si>
  <si>
    <t>Kamerový systém mesta</t>
  </si>
  <si>
    <t>Voľno časové vzdelávanie</t>
  </si>
  <si>
    <t>Športová infraštruktúra</t>
  </si>
  <si>
    <t>Ochrana prostredia pre život</t>
  </si>
  <si>
    <t>Podpora seniorov</t>
  </si>
  <si>
    <t>Terénna opatrovateľská služba</t>
  </si>
  <si>
    <t>Obnova rodinných pomerov</t>
  </si>
  <si>
    <t>poplatok za jasle</t>
  </si>
  <si>
    <t>stravovanie v detských jasliach</t>
  </si>
  <si>
    <t>stravovanie v materskej škole</t>
  </si>
  <si>
    <t>Poradenstvo - bytové problémy</t>
  </si>
  <si>
    <t>ubytovanie, zaopatrenie, stravovanie -  celoročný pobyt</t>
  </si>
  <si>
    <t>ubytovanie, zaopatrenie, stravovanie - denný a týžd.pobyt</t>
  </si>
  <si>
    <t>poplatok za opatrovateľskú službu - invalidita</t>
  </si>
  <si>
    <t>Dotácia - predškolský vek</t>
  </si>
  <si>
    <t>Cestovný ruch</t>
  </si>
  <si>
    <t>Bývanie</t>
  </si>
  <si>
    <t>Správa bytového fondu</t>
  </si>
  <si>
    <t>Štátny fond rozvoja bývania</t>
  </si>
  <si>
    <t>Výstavba RD v súvislosti s MŽT</t>
  </si>
  <si>
    <t>Autobusová doprava</t>
  </si>
  <si>
    <t>Zvoz a odvoz odpadu</t>
  </si>
  <si>
    <t>Cintorínske a pohrebné služby</t>
  </si>
  <si>
    <t>PROGRAM 9:  KULTÚRA</t>
  </si>
  <si>
    <t>PROGRAM 11:  SOCIÁLNE  SLUŽBY</t>
  </si>
  <si>
    <t>Manažérstvo kvality</t>
  </si>
  <si>
    <t>Odpadové a vodné hospodárstvo</t>
  </si>
  <si>
    <t>Rozvoj mesta</t>
  </si>
  <si>
    <t>6</t>
  </si>
  <si>
    <t>Prezentácia mesta</t>
  </si>
  <si>
    <t>Príjmy</t>
  </si>
  <si>
    <t>Výdavky</t>
  </si>
  <si>
    <t>7</t>
  </si>
  <si>
    <t>Územné plánovanie mesta</t>
  </si>
  <si>
    <t>Hosp.správa a evidencia majetku mesta</t>
  </si>
  <si>
    <t>Podporná činnosť MHSL m.r.o.</t>
  </si>
  <si>
    <t>ubytovanie, zaopatrenie, stravovanie - 24 hod.starostlivosť</t>
  </si>
  <si>
    <t>poplatok za komunálne odpady a drobné stavebné odpady</t>
  </si>
  <si>
    <t>Kapitálové príjmy</t>
  </si>
  <si>
    <t>230</t>
  </si>
  <si>
    <t>príjem z predaja kapitálových aktív</t>
  </si>
  <si>
    <t>233</t>
  </si>
  <si>
    <t>Príjem z predaja pozemkov a nehmotných aktív</t>
  </si>
  <si>
    <t xml:space="preserve"> - pozemkov v priemyselnej zóne Zámostie</t>
  </si>
  <si>
    <t>KAPITÁLOVÉ PRÍJMY SPOLU:</t>
  </si>
  <si>
    <t>PRÍJMY SPOLU:</t>
  </si>
  <si>
    <t>Výsledok hospodárenia</t>
  </si>
  <si>
    <t>Zariadenie pre seniorov</t>
  </si>
  <si>
    <t xml:space="preserve">Bežný rozpočet, kapitálový rozpočet, finančné operácie - sumarizácia </t>
  </si>
  <si>
    <t>* - v zmysle § 10 ods. 6 zákona č.583/2004 Z.z. o rozpočtových pravidlách územnej samosprávy sú súčasťou rozpočtu obce aj finančné operácie, ktorými sa vykonávajú prevody z peňažných fondov obce a realizujú sa návratné zdroje financovania a ich splácanie. Finančné operácie nie sú súčasťou príjmov a výdavkov rozpočtu obce.</t>
  </si>
  <si>
    <t>PRÍJMY spolu</t>
  </si>
  <si>
    <t>Prebytok bežného rozpočtu</t>
  </si>
  <si>
    <t>Slovenská sporiteľňa a.s. - istina z poskytnutých úverov</t>
  </si>
  <si>
    <t xml:space="preserve">821 005 - Splácanie istín z bankových úverov dlhodobých,    z toho: </t>
  </si>
  <si>
    <t>821 007 - Splácanie istín z ostatných úverov  dlhodobých - ŠFRB</t>
  </si>
  <si>
    <t>P r í j m y *</t>
  </si>
  <si>
    <t>V ý d a v k y *</t>
  </si>
  <si>
    <t>Tatra banka a.s. - istina z poskytnutých úverov</t>
  </si>
  <si>
    <t>632</t>
  </si>
  <si>
    <t>633</t>
  </si>
  <si>
    <t>634</t>
  </si>
  <si>
    <t>PROGRAM 2:  PROPAGÁCIA A CESTOVNÝ RUCH</t>
  </si>
  <si>
    <t>PROGRAM 2:    Propagácia a cestovný ruch</t>
  </si>
  <si>
    <t>PROGRAM 1: Manažment a plánovanie</t>
  </si>
  <si>
    <t>PROGRAM 3:  INTERNÉ  SLUŽBY</t>
  </si>
  <si>
    <t>PROGRAM 3:    Interné služby</t>
  </si>
  <si>
    <t>Činnosť a prevádzka mestského úradu</t>
  </si>
  <si>
    <t>PROGRAM 4:  SLUŽBY  OBČANOM</t>
  </si>
  <si>
    <t>PROGRAM 4:    Služby občanom</t>
  </si>
  <si>
    <t>PROGRAM 5:   Bezpečnosť</t>
  </si>
  <si>
    <t>610</t>
  </si>
  <si>
    <t>620</t>
  </si>
  <si>
    <t>631</t>
  </si>
  <si>
    <t>635</t>
  </si>
  <si>
    <t>636</t>
  </si>
  <si>
    <t>637</t>
  </si>
  <si>
    <t>640</t>
  </si>
  <si>
    <t>630</t>
  </si>
  <si>
    <t>Správa a údržba pozem.komunikácií</t>
  </si>
  <si>
    <t>Výstavba a rekonštrukcia pozem.kom.</t>
  </si>
  <si>
    <t>PROGRAM 6:  DOPRAVA</t>
  </si>
  <si>
    <t>PROGRAM 6:   Doprava</t>
  </si>
  <si>
    <t>Politika vzdelávania</t>
  </si>
  <si>
    <t>PROGRAM 9:   Kultúra</t>
  </si>
  <si>
    <t>Galéria Bazovského</t>
  </si>
  <si>
    <t>PROGRAM 10:  ŽIVOTNÉ  PROSTREDIE</t>
  </si>
  <si>
    <t>PROGRAM 10:   Životné prostredie</t>
  </si>
  <si>
    <t>PROGRAM 11:   Sociálne služby</t>
  </si>
  <si>
    <t>Jednorazová pomoc občanom v hm.núdzi</t>
  </si>
  <si>
    <t>PROGRAM 12:  ROZVOJ MESTA A BÝVANIE</t>
  </si>
  <si>
    <t>PROGRAM 12:   Rozvoj mesta a bývanie</t>
  </si>
  <si>
    <t>PROGRAM 7:  VZDELÁVANIE</t>
  </si>
  <si>
    <t>PROGRAM 7:   Vzdelávanie</t>
  </si>
  <si>
    <t xml:space="preserve"> - hrobové miesta</t>
  </si>
  <si>
    <t>04.5.1.</t>
  </si>
  <si>
    <t>Tovary a služby</t>
  </si>
  <si>
    <t>Vzdelávanie zamestnancov mesta</t>
  </si>
  <si>
    <t>Elektrická energia</t>
  </si>
  <si>
    <t>06.4.0.</t>
  </si>
  <si>
    <t>Poistné</t>
  </si>
  <si>
    <t>06.2.0.</t>
  </si>
  <si>
    <t>Územno plánovacie podklady a dokumentácie</t>
  </si>
  <si>
    <t>Aktualizácia softvéru</t>
  </si>
  <si>
    <t>04.4.3.</t>
  </si>
  <si>
    <t>ZŠ Potočná - ŠZMT m.r.o.</t>
  </si>
  <si>
    <t>Energie, voda a komunikácie</t>
  </si>
  <si>
    <t>Materiál</t>
  </si>
  <si>
    <t>Služby</t>
  </si>
  <si>
    <t>Tovary a služby, z toho:</t>
  </si>
  <si>
    <t>ŠKD Potočná - ŠZMT m.r.o.</t>
  </si>
  <si>
    <t xml:space="preserve"> - poplatky za školské kluby</t>
  </si>
  <si>
    <t>08.1.0</t>
  </si>
  <si>
    <t>09.8.0.</t>
  </si>
  <si>
    <t>ŠZMT m.r.o. - správa</t>
  </si>
  <si>
    <t>Cestovné - tuzemské</t>
  </si>
  <si>
    <t xml:space="preserve">Materiál </t>
  </si>
  <si>
    <t>Mzdy, platy a OOV</t>
  </si>
  <si>
    <t>06.6.0.</t>
  </si>
  <si>
    <t>Poistné a príspevok do poisťovní</t>
  </si>
  <si>
    <t>Dopravné</t>
  </si>
  <si>
    <t>Rutinná a štandardná údržba</t>
  </si>
  <si>
    <t>Nájomné za prenájom</t>
  </si>
  <si>
    <t>08.1.0.</t>
  </si>
  <si>
    <t>za vstupné: krytá plaváreň</t>
  </si>
  <si>
    <t>za energie: krytá a letná plaváreň</t>
  </si>
  <si>
    <t>04.2.2.</t>
  </si>
  <si>
    <t>Transfery</t>
  </si>
  <si>
    <t>05.1.0.</t>
  </si>
  <si>
    <t>Skládka Zámoste - monitoring</t>
  </si>
  <si>
    <t>05.6.0.</t>
  </si>
  <si>
    <t>Deratizácia verejných plôch zelene</t>
  </si>
  <si>
    <t>01.3.3.</t>
  </si>
  <si>
    <t>03.2.0.</t>
  </si>
  <si>
    <t>Poštové a telekomunikačné služby</t>
  </si>
  <si>
    <t>Údržba budov Mestského úradu</t>
  </si>
  <si>
    <t>08.4.0.</t>
  </si>
  <si>
    <t>02.2.0.</t>
  </si>
  <si>
    <t>zákonné povinnosti na úseku CO</t>
  </si>
  <si>
    <t>daň za ubytovanie</t>
  </si>
  <si>
    <t>01.1.2.</t>
  </si>
  <si>
    <t>Poštovné (právnické osoby,predvolania, ...)</t>
  </si>
  <si>
    <t>Dávka sociálnej pomoci</t>
  </si>
  <si>
    <t>Grantový program</t>
  </si>
  <si>
    <t>Posudková činnosť</t>
  </si>
  <si>
    <t>Pohrebné služby</t>
  </si>
  <si>
    <t>Príspevky na dopravu do detského domova</t>
  </si>
  <si>
    <t>Príspevky na úpravu rodinných pomerov</t>
  </si>
  <si>
    <t>Tvorba úspor na dieťa</t>
  </si>
  <si>
    <t>09.1.1.1.</t>
  </si>
  <si>
    <t>SSMT m.r.o.</t>
  </si>
  <si>
    <t>Cestovné náhrady</t>
  </si>
  <si>
    <t xml:space="preserve"> - Združenie hlavných kontrolórov miest a obcí SR</t>
  </si>
  <si>
    <t xml:space="preserve"> - RZMOSP</t>
  </si>
  <si>
    <t xml:space="preserve"> - Euroregión Biele Karpaty</t>
  </si>
  <si>
    <t>za verejné WC</t>
  </si>
  <si>
    <t>Transfery - náhrada počas PN</t>
  </si>
  <si>
    <t>Energie, voda a komunikácie - telefón,poštovné</t>
  </si>
  <si>
    <t>Transfery - náhrada počas PN, odchodné</t>
  </si>
  <si>
    <t>poplatok za opatrovateľskú službu - seniori</t>
  </si>
  <si>
    <t>Členské príspevky, z toho:</t>
  </si>
  <si>
    <t>Transfery: odstupné, odchodné, PN</t>
  </si>
  <si>
    <t>Transfery - poplatky do fondu opráv</t>
  </si>
  <si>
    <t>Poistenie</t>
  </si>
  <si>
    <r>
      <t xml:space="preserve">Mobilná ľadová plocha </t>
    </r>
    <r>
      <rPr>
        <sz val="9"/>
        <rFont val="Arial CE"/>
        <charset val="238"/>
      </rPr>
      <t xml:space="preserve"> - poistenie</t>
    </r>
  </si>
  <si>
    <t>Poistné a prívpevky do poisťovní</t>
  </si>
  <si>
    <t>Cestovné výdavky</t>
  </si>
  <si>
    <t>03.1.0.</t>
  </si>
  <si>
    <t>Organizácia mestských podujatí</t>
  </si>
  <si>
    <t xml:space="preserve">  - Kultúrne leto</t>
  </si>
  <si>
    <t xml:space="preserve">  - Ora et Ars</t>
  </si>
  <si>
    <t xml:space="preserve">  - Pri Trenčianskej bráne</t>
  </si>
  <si>
    <t xml:space="preserve">  - príležitostné menšie podujatia</t>
  </si>
  <si>
    <t>Organizácia kultúrnych podujatí</t>
  </si>
  <si>
    <t>Podpora kultúrnych podujatí a činností</t>
  </si>
  <si>
    <t>Výkon funkcie zástupcu primátora</t>
  </si>
  <si>
    <t xml:space="preserve">poplatky za ubytovanie a starostlivosť </t>
  </si>
  <si>
    <t>poplatky za stravovanie</t>
  </si>
  <si>
    <t>Energia, voda a komunikácie</t>
  </si>
  <si>
    <t>Nocľaháreň</t>
  </si>
  <si>
    <t xml:space="preserve">Služby </t>
  </si>
  <si>
    <t>717</t>
  </si>
  <si>
    <t>Odmeňovanie učiteľov, žiakov, knihy</t>
  </si>
  <si>
    <t>Dotácia v oblasti školstva a výchovy</t>
  </si>
  <si>
    <t xml:space="preserve"> - MŠ Švermova</t>
  </si>
  <si>
    <t xml:space="preserve"> - MŠ Legionárska</t>
  </si>
  <si>
    <t xml:space="preserve"> - MŠ Považská</t>
  </si>
  <si>
    <t xml:space="preserve"> - MŠ Turkovej</t>
  </si>
  <si>
    <t xml:space="preserve"> - MŠ Soblahovská</t>
  </si>
  <si>
    <t xml:space="preserve"> - MŠ Šmidkeho</t>
  </si>
  <si>
    <t xml:space="preserve"> - MŠ Halašu</t>
  </si>
  <si>
    <t xml:space="preserve"> - MŠ Stromová</t>
  </si>
  <si>
    <t xml:space="preserve"> - MŠ Opatovská</t>
  </si>
  <si>
    <t xml:space="preserve"> - MŠ Kubranská</t>
  </si>
  <si>
    <t xml:space="preserve"> - MŠ Medňanského</t>
  </si>
  <si>
    <t xml:space="preserve"> - MŠ Pri parku</t>
  </si>
  <si>
    <t xml:space="preserve"> - MŠ Niva</t>
  </si>
  <si>
    <t xml:space="preserve"> - MŠ 28. októbra</t>
  </si>
  <si>
    <t xml:space="preserve"> - MŠ Na dolinách</t>
  </si>
  <si>
    <t>MŠ Švermova</t>
  </si>
  <si>
    <r>
      <t xml:space="preserve">Tovary a služby, </t>
    </r>
    <r>
      <rPr>
        <sz val="8"/>
        <rFont val="Arial CE"/>
        <charset val="238"/>
      </rPr>
      <t>z toho:</t>
    </r>
  </si>
  <si>
    <t>MŠ Legionárska</t>
  </si>
  <si>
    <t>MŠ Považská</t>
  </si>
  <si>
    <t>MŠ Turkovej</t>
  </si>
  <si>
    <t>MŠ Soblahovská</t>
  </si>
  <si>
    <t>MŠ Šmidkeho</t>
  </si>
  <si>
    <t>Nájomné</t>
  </si>
  <si>
    <t>8</t>
  </si>
  <si>
    <t>MŠ  J. Halašu</t>
  </si>
  <si>
    <t>9</t>
  </si>
  <si>
    <t>MŠ Stromová</t>
  </si>
  <si>
    <t>10</t>
  </si>
  <si>
    <t>MŠ Opatovská</t>
  </si>
  <si>
    <t>11</t>
  </si>
  <si>
    <t>MŠ Kubranská</t>
  </si>
  <si>
    <t>MŠ Medňanského</t>
  </si>
  <si>
    <t>12</t>
  </si>
  <si>
    <t>MŠ Pri parku</t>
  </si>
  <si>
    <t>13</t>
  </si>
  <si>
    <t>MŠ Niva</t>
  </si>
  <si>
    <t>14</t>
  </si>
  <si>
    <t>MŠ 28. októbra</t>
  </si>
  <si>
    <t>15</t>
  </si>
  <si>
    <t>MŠ Na dolinách</t>
  </si>
  <si>
    <t>16</t>
  </si>
  <si>
    <t>ZŠ Novomeského</t>
  </si>
  <si>
    <t xml:space="preserve">Dopravné </t>
  </si>
  <si>
    <t>ZŠ Hodžova</t>
  </si>
  <si>
    <t>ZŠ Dlhé Hony</t>
  </si>
  <si>
    <t>ZŠ Veľkomoravská</t>
  </si>
  <si>
    <t>Prenájom strojov</t>
  </si>
  <si>
    <t xml:space="preserve">Transfery </t>
  </si>
  <si>
    <t>ZŠ Kubranská</t>
  </si>
  <si>
    <t>ZŠ Na dolinách</t>
  </si>
  <si>
    <t>ZŠ Východná</t>
  </si>
  <si>
    <t xml:space="preserve">ŠJ pri Piaristické gymnázium J.Braneckého </t>
  </si>
  <si>
    <t>ŠJ pri ZŠ sv. Andrea Svorada a Benedikta</t>
  </si>
  <si>
    <t>ŠJ Novomeského</t>
  </si>
  <si>
    <t>ŠJ Dlhé Hony</t>
  </si>
  <si>
    <t>ŠJ Veľkomoravská</t>
  </si>
  <si>
    <t>ŠJ Kubranská</t>
  </si>
  <si>
    <t>ŠJ Bezručova</t>
  </si>
  <si>
    <t>ŠJ Východná</t>
  </si>
  <si>
    <t>ŠKD Novomeského</t>
  </si>
  <si>
    <t>Transfery - náhrada PN</t>
  </si>
  <si>
    <t>ŠKD Hodžova</t>
  </si>
  <si>
    <t>ŠKD Dlhé Hony</t>
  </si>
  <si>
    <t>ŠKD Veľkomoravská</t>
  </si>
  <si>
    <t>ŠKD Kubranská</t>
  </si>
  <si>
    <t>ŠKD Na dolinách</t>
  </si>
  <si>
    <t>ŠKD Bezručova</t>
  </si>
  <si>
    <t>ŠKD Východná</t>
  </si>
  <si>
    <t>ŠKD ZŠ sv. Svorada a Benedikta</t>
  </si>
  <si>
    <t>ŠKD ZŠ Futurum</t>
  </si>
  <si>
    <t>ZUŠ Trenčín</t>
  </si>
  <si>
    <t>CVČ Trenčín</t>
  </si>
  <si>
    <t>Súkromná ZUŠ Berecová - Gagarinova</t>
  </si>
  <si>
    <t>Súkromná ZUŠ Bebjak - Novomeského</t>
  </si>
  <si>
    <t>ŠJ pri MŠ Švermova</t>
  </si>
  <si>
    <t>ŠJ pri MŠ Legionárska</t>
  </si>
  <si>
    <t xml:space="preserve">ŠJ pri MŠ Považská </t>
  </si>
  <si>
    <t>ŠJ pri MŠ M. Turkovej</t>
  </si>
  <si>
    <t>ŠJ pri MŠ Soblahovská</t>
  </si>
  <si>
    <t>ŠJ pri MŠ Šmidkeho</t>
  </si>
  <si>
    <t>09.6.0.1.</t>
  </si>
  <si>
    <t>ŠJ pri MŠ Šafárikova</t>
  </si>
  <si>
    <t>ŠJ pri MŠ Halašu</t>
  </si>
  <si>
    <t>ŠJ pri MŠ Stromová</t>
  </si>
  <si>
    <t xml:space="preserve">ŠJ pri MŠ Opatovská </t>
  </si>
  <si>
    <t>ŠJ pri MŠ Kubranská</t>
  </si>
  <si>
    <t>ŠJ pri MŠ Medňanského</t>
  </si>
  <si>
    <t>ŠJ pri MŠ Pri Parku</t>
  </si>
  <si>
    <t>ŠJ pri MŠ Pri Niva</t>
  </si>
  <si>
    <t>ŠZMT m.r.o. - školské jedálne:</t>
  </si>
  <si>
    <t>ŠJ Na Dolinách</t>
  </si>
  <si>
    <t>ŠJ ZŠ Hodžova</t>
  </si>
  <si>
    <t xml:space="preserve">  - služby - stravovanie - HEES Gastroslužby s.r.o.</t>
  </si>
  <si>
    <t>Rovnošaty</t>
  </si>
  <si>
    <t>Strategické plánovanie mesta</t>
  </si>
  <si>
    <t xml:space="preserve"> - Asociácia prednostov</t>
  </si>
  <si>
    <t>ZŠ Bezručova</t>
  </si>
  <si>
    <t>Poistenie (stará + nová letná)</t>
  </si>
  <si>
    <t>Činnosti na úseku PO</t>
  </si>
  <si>
    <t>zimný štadión</t>
  </si>
  <si>
    <t>Bežné transfery</t>
  </si>
  <si>
    <t>04.7.3.</t>
  </si>
  <si>
    <t>08.3.0.</t>
  </si>
  <si>
    <t>09.5.0.</t>
  </si>
  <si>
    <t>09.1.2.1.</t>
  </si>
  <si>
    <t xml:space="preserve">09.1.2.1. </t>
  </si>
  <si>
    <t>06.1.0.</t>
  </si>
  <si>
    <t>Nová letná plaváreň - energie+stráženie</t>
  </si>
  <si>
    <t>716</t>
  </si>
  <si>
    <t>Rekultivácia skládky Zámostie - splátka</t>
  </si>
  <si>
    <t>Nákup pozemkov</t>
  </si>
  <si>
    <t xml:space="preserve">Kľúčové podujatia </t>
  </si>
  <si>
    <t xml:space="preserve">ZŠ Potočná </t>
  </si>
  <si>
    <t>Telefóny, internet</t>
  </si>
  <si>
    <t xml:space="preserve">Odmeny </t>
  </si>
  <si>
    <t>Medz.spolupráca a zahraničné vzťahy</t>
  </si>
  <si>
    <t xml:space="preserve"> - Asociácia komunálnych ekonómov</t>
  </si>
  <si>
    <t>Komunikácia s verej.inštitúciami v mene mesta</t>
  </si>
  <si>
    <r>
      <t>MHSL m.r.o. - prevádzka budov</t>
    </r>
    <r>
      <rPr>
        <sz val="8"/>
        <rFont val="Arial CE"/>
        <charset val="238"/>
      </rPr>
      <t>, z toho:</t>
    </r>
  </si>
  <si>
    <t>MHSL m.r.o. , z toho:</t>
  </si>
  <si>
    <t>MHSL m.r.o., z toho:</t>
  </si>
  <si>
    <r>
      <t>Tovary a služby,</t>
    </r>
    <r>
      <rPr>
        <sz val="9"/>
        <rFont val="Arial CE"/>
        <charset val="238"/>
      </rPr>
      <t xml:space="preserve"> z toho:</t>
    </r>
  </si>
  <si>
    <t>Oprava a doplnenie nových dopr.zariadení</t>
  </si>
  <si>
    <r>
      <t>Tovary a služby</t>
    </r>
    <r>
      <rPr>
        <sz val="8"/>
        <rFont val="Arial CE"/>
        <charset val="238"/>
      </rPr>
      <t>, z toho:</t>
    </r>
  </si>
  <si>
    <t>Artkino Metro</t>
  </si>
  <si>
    <r>
      <t>MHSL m.r.o. - údržba zelene</t>
    </r>
    <r>
      <rPr>
        <sz val="8"/>
        <rFont val="Arial CE"/>
        <charset val="238"/>
      </rPr>
      <t>, z toho:</t>
    </r>
  </si>
  <si>
    <t>SSMT m.r.o. z toho:</t>
  </si>
  <si>
    <t>SSMT m.r.o., z toho:</t>
  </si>
  <si>
    <r>
      <t>SSMT m.r.o.</t>
    </r>
    <r>
      <rPr>
        <sz val="9"/>
        <rFont val="Arial CE"/>
        <charset val="238"/>
      </rPr>
      <t>, z toho:</t>
    </r>
  </si>
  <si>
    <r>
      <t>SSMT m.r.o.</t>
    </r>
    <r>
      <rPr>
        <sz val="8"/>
        <rFont val="Arial CE"/>
        <charset val="238"/>
      </rPr>
      <t>, z toho:</t>
    </r>
  </si>
  <si>
    <t>Energie, voda a komunikácie: telefón,poštovné</t>
  </si>
  <si>
    <t xml:space="preserve"> - prenájom kultúrnych stredísk</t>
  </si>
  <si>
    <t>Denné centrá pre seniorov</t>
  </si>
  <si>
    <t xml:space="preserve">administratívne poplatky </t>
  </si>
  <si>
    <t xml:space="preserve">  - ZŠ Novomeského</t>
  </si>
  <si>
    <t xml:space="preserve">  - ZŠ Dlhé Hony</t>
  </si>
  <si>
    <t xml:space="preserve">  - ZŠ Veľkomoravská</t>
  </si>
  <si>
    <t xml:space="preserve">  - ZŠ Kubranská</t>
  </si>
  <si>
    <t xml:space="preserve">  - ZŠ Bezruča</t>
  </si>
  <si>
    <t xml:space="preserve">  - ZŠ Východná</t>
  </si>
  <si>
    <t xml:space="preserve">  - ZŠ Na dolinách</t>
  </si>
  <si>
    <t xml:space="preserve">  - ZŠ Hodžova</t>
  </si>
  <si>
    <t>Manažment SSMT m.r.o.</t>
  </si>
  <si>
    <t>Mobiliár mesta a detské ihriská</t>
  </si>
  <si>
    <t>17</t>
  </si>
  <si>
    <t>18</t>
  </si>
  <si>
    <t>19</t>
  </si>
  <si>
    <t xml:space="preserve">Poistné a príspevok do poisťovní </t>
  </si>
  <si>
    <t>MHSL m.r.o.</t>
  </si>
  <si>
    <t>Civilná ochrana</t>
  </si>
  <si>
    <t>FK</t>
  </si>
  <si>
    <t>EK</t>
  </si>
  <si>
    <t>P/P</t>
  </si>
  <si>
    <t>PP</t>
  </si>
  <si>
    <t xml:space="preserve"> - Združenie K8</t>
  </si>
  <si>
    <t>INFO</t>
  </si>
  <si>
    <t>Prezentácia mesta v médiách</t>
  </si>
  <si>
    <t>Internetové systémy, SEO, správa turistických</t>
  </si>
  <si>
    <t>Daňová a rozpočt.agenda mesta a účtovníctvo</t>
  </si>
  <si>
    <t>Členstvo v samospr.organizáciách a združ.</t>
  </si>
  <si>
    <t xml:space="preserve">Tuzemské pracovné cesty </t>
  </si>
  <si>
    <t>Školenia, semináre, zvyš.kvalifikácie a pod.</t>
  </si>
  <si>
    <t>Výpočtová technicka do 1 700 €</t>
  </si>
  <si>
    <t>Údržba výpočtovej techniky</t>
  </si>
  <si>
    <t>Energie</t>
  </si>
  <si>
    <t>Prevádza pohrebísk a cintorínov</t>
  </si>
  <si>
    <t>Prevádzka VO</t>
  </si>
  <si>
    <t xml:space="preserve">Služby: posudky, reklama, dane, kolky a pod. </t>
  </si>
  <si>
    <t>Služby: Právne služby</t>
  </si>
  <si>
    <t xml:space="preserve">Služby: Trovy a odmeny pre exekútorov </t>
  </si>
  <si>
    <t xml:space="preserve">Služby: Súdne poplatky </t>
  </si>
  <si>
    <t>Dary, kvety, pracovné obedy a pod.</t>
  </si>
  <si>
    <t>Materiál: Tlačivá, papier, etikety, obálky a pod.</t>
  </si>
  <si>
    <t>Propagácia kult.podujatí, produktov CR, kultúry</t>
  </si>
  <si>
    <t>Propagácia a prezent.mesta: Tlačoviny, suveníry, web a p.</t>
  </si>
  <si>
    <t>Energie: Elektrická energia, plyn, vodné stočné a p.</t>
  </si>
  <si>
    <t>Materiál: farba, nálepky a p.</t>
  </si>
  <si>
    <t>Služby: zúčtovateľské služby, poplatky za správu a p.</t>
  </si>
  <si>
    <t>242</t>
  </si>
  <si>
    <t>z vkladov</t>
  </si>
  <si>
    <t>Transfery - náhrada PN, odchodné</t>
  </si>
  <si>
    <t>Mzdy, platy, OOV</t>
  </si>
  <si>
    <t>Cestovné žiakom</t>
  </si>
  <si>
    <t>Transfery  - náhrada PN</t>
  </si>
  <si>
    <t>ŠJ Gymázium FUTURUM (zriaď. FUTURE n.o.)</t>
  </si>
  <si>
    <t>ŠJ ZŠ FUTURUM (zriaď. SG FUTURUM)</t>
  </si>
  <si>
    <t>Základné školy - školské jedálne:</t>
  </si>
  <si>
    <t>ŠZMT m.r.o. - materské školy:</t>
  </si>
  <si>
    <t>Súkromná MŠ Janka Kráľa (Mgr.Valachová)</t>
  </si>
  <si>
    <t>Súkromná MŠ Slimáčik (Mgr. Mildeová)</t>
  </si>
  <si>
    <t>Súkromná MŠ Orechovská (Mgr. Masariková)</t>
  </si>
  <si>
    <t xml:space="preserve">Rutinná a štand.údržba </t>
  </si>
  <si>
    <t>Materiál - medaile</t>
  </si>
  <si>
    <t>Materiál - knihy pre prvákov</t>
  </si>
  <si>
    <t>Materiál - kvety pre učiteľov</t>
  </si>
  <si>
    <t>Cestovné</t>
  </si>
  <si>
    <t>Transfery - odchodné, náhrady PN</t>
  </si>
  <si>
    <t>stravovanie zamestnanci</t>
  </si>
  <si>
    <t>Motorové vozidlo</t>
  </si>
  <si>
    <t>Certifikačný audit</t>
  </si>
  <si>
    <t xml:space="preserve"> - Združenie miest a obcí Slovenska</t>
  </si>
  <si>
    <t xml:space="preserve"> - Združenie náčelníkov MsP</t>
  </si>
  <si>
    <t xml:space="preserve">  - MDD</t>
  </si>
  <si>
    <t xml:space="preserve">  - Čaro Vianoc pod hradom</t>
  </si>
  <si>
    <t>Dohody - prevádzka KS</t>
  </si>
  <si>
    <t>Materiál, darčeky, kvety a p.</t>
  </si>
  <si>
    <t>Dopravné (PHM, opravy,známky, ....)</t>
  </si>
  <si>
    <t>Poistenie (miliónové)</t>
  </si>
  <si>
    <t>Poistenie (zákonné, havarijné)</t>
  </si>
  <si>
    <t>Nákup stavieb</t>
  </si>
  <si>
    <t xml:space="preserve">Poistenie RD </t>
  </si>
  <si>
    <t>Údržba kamerového systému</t>
  </si>
  <si>
    <t>Softvér</t>
  </si>
  <si>
    <t>Transfery - odchodné</t>
  </si>
  <si>
    <t>MHSL m.r.o. z toho:</t>
  </si>
  <si>
    <t>MHSL m.r.o. - Krytá plaváreň</t>
  </si>
  <si>
    <t xml:space="preserve">Mzdy, platy a OOV </t>
  </si>
  <si>
    <t>MHSL m.r.o. - Letná plaváreň</t>
  </si>
  <si>
    <t>z mestských lesov - stredisko Soblahov, Brezina</t>
  </si>
  <si>
    <t>zimný štadión - prenájom priestorov</t>
  </si>
  <si>
    <t>Dendrologické posudky</t>
  </si>
  <si>
    <t>Československá obchodná banka a.s. - istina z poskytnutých úverov</t>
  </si>
  <si>
    <t>Poistenie - FŠ Opatová, FŠ Na Sihoti, FŠ Záblatie</t>
  </si>
  <si>
    <t>Stavebný úrad pre Mesto Trenčín</t>
  </si>
  <si>
    <r>
      <t xml:space="preserve">F I N A N Č N É   O P E R Á C I E </t>
    </r>
    <r>
      <rPr>
        <b/>
        <i/>
        <vertAlign val="superscript"/>
        <sz val="12"/>
        <color indexed="9"/>
        <rFont val="Arial CE"/>
        <family val="2"/>
        <charset val="238"/>
      </rPr>
      <t>*</t>
    </r>
  </si>
  <si>
    <t>Rekonštrukcia strechy</t>
  </si>
  <si>
    <t xml:space="preserve">  Program 1:   Manažment a plánovanie</t>
  </si>
  <si>
    <t xml:space="preserve">  Program 2:   Propagácia a cestovný ruch </t>
  </si>
  <si>
    <t xml:space="preserve">  Program 3:   Interné služby mesta</t>
  </si>
  <si>
    <t xml:space="preserve">  Program 4:   Služby občanom</t>
  </si>
  <si>
    <t xml:space="preserve">  Program 5:   Bezpečnosť</t>
  </si>
  <si>
    <t xml:space="preserve">  Program 6:   Doprava</t>
  </si>
  <si>
    <t xml:space="preserve">  Program 7:   Vzdelávanie</t>
  </si>
  <si>
    <t xml:space="preserve">  Program 9:  Kultúra</t>
  </si>
  <si>
    <t xml:space="preserve">  Program 10: Životné prostredie</t>
  </si>
  <si>
    <t xml:space="preserve">  Program 11: Sociálne služby</t>
  </si>
  <si>
    <t xml:space="preserve">  Program 12: Rozvoj mesta a bývanie</t>
  </si>
  <si>
    <t>Miestne médiá (rozhlas)</t>
  </si>
  <si>
    <t>Ošatné, dohody a p.</t>
  </si>
  <si>
    <t>Služby: Roznos výmerov, daň</t>
  </si>
  <si>
    <t>Úroky a poplatky súvisiace s úvermi</t>
  </si>
  <si>
    <t>01.7.0.</t>
  </si>
  <si>
    <t>Kultúrne centrum seniorov</t>
  </si>
  <si>
    <t xml:space="preserve">Odb.podujatia, networking, prieskumy a p. </t>
  </si>
  <si>
    <t>Schodok kapitálového rozpočtu</t>
  </si>
  <si>
    <t>Schodok rozpočtu</t>
  </si>
  <si>
    <t>Tlmočenie, monitoring tlače, vš.služby a p.</t>
  </si>
  <si>
    <t>CVČ sv. Svorada a Benedikta</t>
  </si>
  <si>
    <t>CVČ Piaristické gymnázium J.Braneckého</t>
  </si>
  <si>
    <t xml:space="preserve"> - Pohoda festival, s.r.o. - Festival Pohoda</t>
  </si>
  <si>
    <t xml:space="preserve"> - Artfilm, n.o. - Artfilm</t>
  </si>
  <si>
    <t xml:space="preserve"> - Tanečný klub Dukla Trenčín - Laugaricio Cup</t>
  </si>
  <si>
    <t>TJ Družstevník Opatová - dotácia na prevádzku a činnosť</t>
  </si>
  <si>
    <t>OZ Trenčiansky ÚTULOK - dotácia na prevádzku a činnosť</t>
  </si>
  <si>
    <t>TJ Družstevník Záblatie - dotácia na prevádzku a činnosť</t>
  </si>
  <si>
    <t>AS Trenčín a.s. - dotácia na prevádzku a činnosť - FŠ Na Sihoti</t>
  </si>
  <si>
    <t>Spoluúčasť na výst.a intenzifikácii kanal. systémov (Opatová,Zlatovce,Orechové,Istebník)</t>
  </si>
  <si>
    <t>Udržateľnosť projektu "Môj domov - Biele Karpaty</t>
  </si>
  <si>
    <t>Poistené - posudková činnosť</t>
  </si>
  <si>
    <t>Poplatky za nocľaháreň, prenájom fasády</t>
  </si>
  <si>
    <t xml:space="preserve">Účastnícke poplatky na konferenciách </t>
  </si>
  <si>
    <t>Reprezentačné výdavky</t>
  </si>
  <si>
    <t>Zmeny a doplnky č. 1 ÚPN</t>
  </si>
  <si>
    <t xml:space="preserve"> - Združenie informatikov samospráv</t>
  </si>
  <si>
    <t>Osobné ochranné pracovné prostriedky</t>
  </si>
  <si>
    <t xml:space="preserve">  - Trenčiansky majáles</t>
  </si>
  <si>
    <t>Organizácia mestských podujatí - materiál</t>
  </si>
  <si>
    <t>Kvety, vence, reprezentačné, materiál a pod.</t>
  </si>
  <si>
    <t>Dotácie na mládež</t>
  </si>
  <si>
    <t>PROGRAM 8:  ŠPORT A MLÁDEŽ</t>
  </si>
  <si>
    <t>PROGRAM 8:   Šport a mládež</t>
  </si>
  <si>
    <t xml:space="preserve">  Program 8:  Šport a mládež</t>
  </si>
  <si>
    <t>Dotácie na výnimočné akcie</t>
  </si>
  <si>
    <t>Granty a transfery</t>
  </si>
  <si>
    <t>007</t>
  </si>
  <si>
    <t>poplatky cudzí stravníci</t>
  </si>
  <si>
    <t>Zvuková technika - drobný materiál</t>
  </si>
  <si>
    <t>MŠ Šafárikova m.r.o. od 1.1.2014</t>
  </si>
  <si>
    <t>311</t>
  </si>
  <si>
    <t>Spoluúčasť na škodových udalostiach</t>
  </si>
  <si>
    <t xml:space="preserve">MHSL m.r.o. - Stredisko Soblahov </t>
  </si>
  <si>
    <t>Transfery - náhrady počas PN</t>
  </si>
  <si>
    <t>713</t>
  </si>
  <si>
    <t>Konvektomat</t>
  </si>
  <si>
    <t xml:space="preserve">  - Farebná veža</t>
  </si>
  <si>
    <t>Slovenský zväz protifašistických bojovníkov - ZO Trenčín - 1</t>
  </si>
  <si>
    <t>Združenie kresťanských seniorov Slovenska, klub  Trenčín - mesto</t>
  </si>
  <si>
    <t>Okresná organizácia Jednoty dôchodcov na Slovensku v Trenčíne, z toho:</t>
  </si>
  <si>
    <t xml:space="preserve">   Jednota dôchodcov - ZO č.19</t>
  </si>
  <si>
    <t xml:space="preserve">   Jednota dôchodcov - ZO č.02</t>
  </si>
  <si>
    <t xml:space="preserve">   Jednota dôchodcov - ZO č.27</t>
  </si>
  <si>
    <t xml:space="preserve">   Jednota dôchodcov - ZO č.05</t>
  </si>
  <si>
    <t xml:space="preserve">   Jednota dôchodcov - ZO č.30</t>
  </si>
  <si>
    <t xml:space="preserve">   Jednota dôchodcov - ZO č.01</t>
  </si>
  <si>
    <t xml:space="preserve">   Jednota dôchodcov - ZO č.06</t>
  </si>
  <si>
    <t>Denné centrum seniorov - Záblatie</t>
  </si>
  <si>
    <t>Denné centrum seniorov - Istebník</t>
  </si>
  <si>
    <t>Denné centrum seniorov - Zlatovce</t>
  </si>
  <si>
    <t>Denné centrum seniorov - Mierové námestie</t>
  </si>
  <si>
    <t>Denné centrum seniorov - 28.októbra</t>
  </si>
  <si>
    <t>Denné centrum seniorov - Opatová</t>
  </si>
  <si>
    <t>Denné centrum seniorov - Kubra</t>
  </si>
  <si>
    <t>Denné centrum seniorov - Kubrica</t>
  </si>
  <si>
    <t>Refugium n.o. - Zvyšovanie kvality života seniorom v DSS, ZpS a pacientov v Hospici Milosrdných sestier v Trenčíne</t>
  </si>
  <si>
    <t>Poistné: Roznos výmerov</t>
  </si>
  <si>
    <t>Služby: Auditorská činnosť</t>
  </si>
  <si>
    <t>MHSL m.r.o. - Stredisko Brezina</t>
  </si>
  <si>
    <t>R O Z P O Č E T    2 0 1 5</t>
  </si>
  <si>
    <t>* - na preklenutie časového nesúladu medzi príjmami a výdavkami rozpočtu sa môže čerpať kontokorentný úver spolu vo výške  2 500 tis. € z ČSOB a.s. s tým, že do konca roka 2015 bude predmetný úver splatený</t>
  </si>
  <si>
    <t xml:space="preserve">454 001: Prevod HV za predchádzajúci rok </t>
  </si>
  <si>
    <t>Prenájom</t>
  </si>
  <si>
    <t>Príprava a tlač strategických dokumentov</t>
  </si>
  <si>
    <t>Cestovné zamestnanci</t>
  </si>
  <si>
    <t>Implementácia projektov EU</t>
  </si>
  <si>
    <t>Realizácia mestských zásahov</t>
  </si>
  <si>
    <t>Poštové a telekom.služby, internet</t>
  </si>
  <si>
    <t>Nové opláštenie kovových stánkov</t>
  </si>
  <si>
    <t>Vojnové hroby</t>
  </si>
  <si>
    <t>Doplatok straty za rok 2014</t>
  </si>
  <si>
    <t>Záloha na rok 2015</t>
  </si>
  <si>
    <t>Podchod pre peších pod Chynoranskou traťou</t>
  </si>
  <si>
    <t>Výmena riadiacich jednotiek</t>
  </si>
  <si>
    <t xml:space="preserve">  - Festival slovenských filmov v Cran - Gevrier</t>
  </si>
  <si>
    <t xml:space="preserve">  - Farmárske jarmoky</t>
  </si>
  <si>
    <t xml:space="preserve">  - Otvorenie kultúrneho leta</t>
  </si>
  <si>
    <t>Rok 2014 - november - december</t>
  </si>
  <si>
    <t>Rok 2015: jarné a jesenné upratovanie</t>
  </si>
  <si>
    <t>Rodinné prídavky</t>
  </si>
  <si>
    <t>642</t>
  </si>
  <si>
    <t>Nákup traktora</t>
  </si>
  <si>
    <t>Konvektomat, umývačka riadu</t>
  </si>
  <si>
    <t>2 ks kombinovaný sporák</t>
  </si>
  <si>
    <t>Kombinovaný sporák, plynová panvica</t>
  </si>
  <si>
    <t>El.sporák</t>
  </si>
  <si>
    <t>Školenia</t>
  </si>
  <si>
    <t>MHSL m.r.o. :</t>
  </si>
  <si>
    <t>Ul.Opatovská - vybudovanie chodníka</t>
  </si>
  <si>
    <t>Rekonšt.ul.Šafárikova a dobudovanie stat.dopravy</t>
  </si>
  <si>
    <t>Vybavenie kuchyne</t>
  </si>
  <si>
    <t>Ostatné</t>
  </si>
  <si>
    <t>Granty</t>
  </si>
  <si>
    <t>Transfery - odchodné, PN</t>
  </si>
  <si>
    <t>Materiál: PC, Občerstvenie a pod.</t>
  </si>
  <si>
    <t>z prenajatých strojov, prístrojov, zariadení, techniky a náradia</t>
  </si>
  <si>
    <t>výmena okien</t>
  </si>
  <si>
    <t>01.1.1.</t>
  </si>
  <si>
    <t>08.2.0.</t>
  </si>
  <si>
    <t>10.7.0.</t>
  </si>
  <si>
    <t>10.9.0.</t>
  </si>
  <si>
    <t>10.2.0.</t>
  </si>
  <si>
    <t>10.1.2.</t>
  </si>
  <si>
    <t>10.4.0.</t>
  </si>
  <si>
    <t xml:space="preserve">MESTSKÉ HOSPODÁRSTVO a SPRÁVA LESOV m.r.o. </t>
  </si>
  <si>
    <t>Centrum voľného času m.r.o.</t>
  </si>
  <si>
    <t>MŠ Šafáriková m.r.o.</t>
  </si>
  <si>
    <t>09.6.0.</t>
  </si>
  <si>
    <t>Hardver</t>
  </si>
  <si>
    <t>Softver</t>
  </si>
  <si>
    <t>Europrojekty - žiadosti, správy a p.</t>
  </si>
  <si>
    <t>Stroj na výtlky</t>
  </si>
  <si>
    <t>Auto s plošinou</t>
  </si>
  <si>
    <t>09.2.1.1.</t>
  </si>
  <si>
    <t>Nižšie sekundárne vzdel. s bežnou star. (II.stupeň ZŠ)</t>
  </si>
  <si>
    <t>Primárne vzdelávanie s bežnou star. (I.stupeň ZŠ)</t>
  </si>
  <si>
    <t>09.6.0.2.</t>
  </si>
  <si>
    <t>09.6.0.3.</t>
  </si>
  <si>
    <t>Vedľajšie služby v rámci nižšieho sekund.vz. (II.st. ZŠ)</t>
  </si>
  <si>
    <t>Vedľajšie služby v rámci primárneho vz. (I.st. ZŠ)</t>
  </si>
  <si>
    <t>REZERVA</t>
  </si>
  <si>
    <t>Kultúrne strediská</t>
  </si>
  <si>
    <t>Bočkove sady - odvodnenie</t>
  </si>
  <si>
    <t>Odvodnenie MK Niva</t>
  </si>
  <si>
    <t>MHSL m.r.o.  z toho:</t>
  </si>
  <si>
    <t>Mladý záchranár (leto)</t>
  </si>
  <si>
    <t>Grafikon MHD</t>
  </si>
  <si>
    <t>Trafostanica - prekládka</t>
  </si>
  <si>
    <t>Dopravné značenie Ul. Zlatovská</t>
  </si>
  <si>
    <t>Príprava projektov EU</t>
  </si>
  <si>
    <t>Rekonštrukcia časti strechy Mier.námestie č.2</t>
  </si>
  <si>
    <t>Kotolňa - búracie práce</t>
  </si>
  <si>
    <t>PD Trafostanica</t>
  </si>
  <si>
    <t>Podnájom priestorov v športovej hale</t>
  </si>
  <si>
    <t>Prenájom priestorov futbalového štadióna</t>
  </si>
  <si>
    <t>Spracovanie ÚPN do GIS</t>
  </si>
  <si>
    <t>Aktualizácia katastrálnych máp, technickej mapy mesta, pasporty</t>
  </si>
  <si>
    <t>513 002: Prijatie bankového úveru</t>
  </si>
  <si>
    <t>Architektonické štúdie</t>
  </si>
  <si>
    <t xml:space="preserve">Poplatok za komunálny odpad </t>
  </si>
  <si>
    <t>Služby: poistenie, reklama, štúdie, posudky a p.</t>
  </si>
  <si>
    <t>Služby: posudky, reklama, kolky, poistenie a p.</t>
  </si>
  <si>
    <t>PD - Cykl.prepojenie Centrum - sídlisko Juh</t>
  </si>
  <si>
    <t>Rek.križovatky Šmidkeho Halašu Novomeského</t>
  </si>
  <si>
    <t>2 ks umývačky riadu</t>
  </si>
  <si>
    <t>Rozpočet 2015</t>
  </si>
  <si>
    <t>Bežný rozpočet 2015</t>
  </si>
  <si>
    <t>Kapitálový rozpočet 2015</t>
  </si>
  <si>
    <t>PROGRAM 1: MANAŽMENT a PLÁNOVANIE</t>
  </si>
  <si>
    <t>Upravený rozpočet 2015</t>
  </si>
  <si>
    <r>
      <t xml:space="preserve">Upravený rozpočet 2015                              - </t>
    </r>
    <r>
      <rPr>
        <b/>
        <sz val="8"/>
        <color indexed="9"/>
        <rFont val="Arial CE"/>
        <charset val="238"/>
      </rPr>
      <t xml:space="preserve">bežné výdavky   </t>
    </r>
  </si>
  <si>
    <r>
      <t>Upravený rozpočet 2015 -</t>
    </r>
    <r>
      <rPr>
        <b/>
        <sz val="8"/>
        <color indexed="9"/>
        <rFont val="Arial CE"/>
        <charset val="238"/>
      </rPr>
      <t xml:space="preserve"> kapitálové výdavky</t>
    </r>
  </si>
  <si>
    <t>z prenájmu krytej a letnej plavárne</t>
  </si>
  <si>
    <t>Chladnička</t>
  </si>
  <si>
    <t>Elektrická smažička</t>
  </si>
  <si>
    <t>Plynový sporák s el.rúrou</t>
  </si>
  <si>
    <t>2 ks plyn.sporáky s elek.rúrou, robot, parný kotol</t>
  </si>
  <si>
    <t xml:space="preserve">Plynový sporák s el.rúrou, chladnička, mraznička </t>
  </si>
  <si>
    <t>Elektrická panvica</t>
  </si>
  <si>
    <t>Odvoz vedľajších živočíšnych produktov</t>
  </si>
  <si>
    <t>Dotácia KC Aktivity, o.z.</t>
  </si>
  <si>
    <t>Dotácia KC Stred, o.z.</t>
  </si>
  <si>
    <t>821 005 - Splácanie istín z dohôd o reštrukturalizácii dlhu</t>
  </si>
  <si>
    <t>Československá obchodná banka a.s. - istina z dohody o reštrukturalizácii dlhu</t>
  </si>
  <si>
    <t>Československá obchodná banka a.s. - splátky verejného dlhu</t>
  </si>
  <si>
    <t>Slovenská sporiteľňa a.s. - istina z dohody o reštrukturalizácii dlhu</t>
  </si>
  <si>
    <t xml:space="preserve"> - TJ Družstevník Záblatie - dotácia na činnosť klubu</t>
  </si>
  <si>
    <t xml:space="preserve"> - TJ Družstevník Opatová - dotácia na činnosť klubu</t>
  </si>
  <si>
    <t>DHZ Opatová - činnosť dobrovoľného hasičského zboru</t>
  </si>
  <si>
    <t>DHZ Záblatie - činnosť dobrovoľného hasičského zboru</t>
  </si>
  <si>
    <t>DHZ Kubrica - činnosť dobrovoľného hasičského zboru</t>
  </si>
  <si>
    <t>Dary, sponzorské</t>
  </si>
  <si>
    <t>PD - Priechod pre chodcov ul.Hodžova</t>
  </si>
  <si>
    <t>Priechod pre chodcov ul. Hodžova</t>
  </si>
  <si>
    <t>Chodník na ul. Karpatská</t>
  </si>
  <si>
    <t>PD Nozdrkovský chodník v úseku ČOV</t>
  </si>
  <si>
    <t xml:space="preserve">Rekonštrukcia   </t>
  </si>
  <si>
    <t>TJ Družstevník Opatová - energie</t>
  </si>
  <si>
    <t xml:space="preserve"> - Hala, o.z. - HALA 2015</t>
  </si>
  <si>
    <t xml:space="preserve"> - FS Nadšenci o.z. - 8.Tanečný dom v Trenčíne</t>
  </si>
  <si>
    <t xml:space="preserve"> - AS Trenčín a.s. - Hviezdy deťom</t>
  </si>
  <si>
    <t xml:space="preserve"> - HoryZonty o.z. - HoryZonty</t>
  </si>
  <si>
    <t xml:space="preserve"> - Beňadik n.f. - Mariánsky koncert</t>
  </si>
  <si>
    <t xml:space="preserve"> - Kolomaž o.z. - Sám na javisku</t>
  </si>
  <si>
    <t xml:space="preserve"> - Agentúra Crea s.r.o. - Trenčiansky Septemberfest 2015</t>
  </si>
  <si>
    <t xml:space="preserve"> - Klub priateľov vážnej hudby v Trenčín o.z. - Múzy pod hradom</t>
  </si>
  <si>
    <t>PD - športový areál</t>
  </si>
  <si>
    <t>Referendum 2015</t>
  </si>
  <si>
    <t xml:space="preserve"> - pozemky</t>
  </si>
  <si>
    <t>231</t>
  </si>
  <si>
    <t>Príjem z predaja budov</t>
  </si>
  <si>
    <t xml:space="preserve"> - príjem z predaja domov - MŽT</t>
  </si>
  <si>
    <t xml:space="preserve"> - príjem z predaja bytov</t>
  </si>
  <si>
    <t>Vrátenie nevyčerpaného grantu z roku 2014</t>
  </si>
  <si>
    <t>Dom smútku Juh - rekonštr.a zateplenie strechy</t>
  </si>
  <si>
    <t>MČ Západ - rozšírenie cintorína Zlatovce</t>
  </si>
  <si>
    <t>MČ Sever - rekonštrukcia rozhlasu v Kubrej</t>
  </si>
  <si>
    <t>Nozdrkovský chodník</t>
  </si>
  <si>
    <t>MČ Juh - ul.Novomeského - rekonštrukcia MK</t>
  </si>
  <si>
    <t>MČ Juh - ul.Šafárikova - Liptovská</t>
  </si>
  <si>
    <t>MČ Juh - ul.Kyjevská - stanovištia pre smetné nádoby</t>
  </si>
  <si>
    <t>MČ Juh - ul. Západná - PD rekonštrukcia MK</t>
  </si>
  <si>
    <t>MČ Juh - ul. Západná - rekonštrukcia MK</t>
  </si>
  <si>
    <t>MČ Juh - ul. Východná - PD chodník</t>
  </si>
  <si>
    <t>MČ Juh - ul. Šafárikova - PD parkovanie</t>
  </si>
  <si>
    <t>MČ Juh - ul. Novomeského  - rekonštrukcia</t>
  </si>
  <si>
    <t>MČ Juh - Halalovka - chodník</t>
  </si>
  <si>
    <t>MČ Juh - Saratovská  - PD chodník</t>
  </si>
  <si>
    <t>MČ Juh - Saratovská  - PD parkovanie</t>
  </si>
  <si>
    <t>MČ Juh - Východná - chodník</t>
  </si>
  <si>
    <t>MČ Juh - M.Bela - Halalovka - priechod pre chodcov</t>
  </si>
  <si>
    <t>MČ Sever - Pod Sokolice - rekonštrukcia</t>
  </si>
  <si>
    <t>MČ Sever - Gen.Viesta - chodník</t>
  </si>
  <si>
    <t xml:space="preserve">MČ Sever - PD Šoltésovej </t>
  </si>
  <si>
    <t>MČ Sever - ul. I.Krasku - parkovanie</t>
  </si>
  <si>
    <t>MČ Sever - Opatovská + Žilinská</t>
  </si>
  <si>
    <t>MČ Stred - Pod Komárky - rekonštrukcia</t>
  </si>
  <si>
    <t>MČ Stred - PD Pod Komárky - rekonštrukcia</t>
  </si>
  <si>
    <t>MČ Západ - ul. Jahodová - nová komunikácia</t>
  </si>
  <si>
    <t>Nevyčerpaná dotácia z roku 2014</t>
  </si>
  <si>
    <t>strecha + múr</t>
  </si>
  <si>
    <t>MČ Západ - Futbalové ihrisko Záblatie</t>
  </si>
  <si>
    <t>Vrátenie nevyčerpanej dotácie z roku 2014</t>
  </si>
  <si>
    <t>Nevyčerpané fin.prostriedky z roku 2014</t>
  </si>
  <si>
    <t>453: Nevyčerpaná dotácia za rok 2014</t>
  </si>
  <si>
    <t>513: Prijatie dlhodobého účelového úveru</t>
  </si>
  <si>
    <t>Československá obchodná banka a.s. - splatenie úveru</t>
  </si>
  <si>
    <t>PD - rekonštrukcia strechy</t>
  </si>
  <si>
    <t>MČ Sever - údržba povrchu hrádze</t>
  </si>
  <si>
    <t>MČ Stred -PD  rekonštrukcia detského ihriska na Karpatskej ul.</t>
  </si>
  <si>
    <t>MČ Stred - rekonštr. Priechodu pre chodcov na Ul.Legionárska pri Perle,na Ul.Soblahovská pri cintoríne, na Ul.Piaristická pri poliklinike</t>
  </si>
  <si>
    <t>MČ Stred - PD - priechod pre chodcov na Ul.Súdna</t>
  </si>
  <si>
    <t>MČ Stred - rekonštr.schodov na ul.Cintorínska a Nová</t>
  </si>
  <si>
    <t>MČ Stred - rekonštr. chodníka na Nám.sv.Anny</t>
  </si>
  <si>
    <t>MČ Stred - Čerešňový sad v lesoparku Brezina-vybudovanie altánku</t>
  </si>
  <si>
    <t>MČ Stred - Čerešňový sad v lesoparku Brezina</t>
  </si>
  <si>
    <t>MČ Stred -rekonštrukcia domu smútku v Biskupiciach</t>
  </si>
  <si>
    <t>MČ Stred - MŠ Soblahovská-úprava soc.zariadení</t>
  </si>
  <si>
    <t>MČ Stred - rekonštrukcia umyvárky pre deti</t>
  </si>
  <si>
    <t>MČ Juh - sociálne zariadenia</t>
  </si>
  <si>
    <t>PD - Rek.križovatky Šmidkeho Halašu Novomeského</t>
  </si>
  <si>
    <t>Dar na MDD</t>
  </si>
  <si>
    <t>TJ Družstevník Záblatie -energie</t>
  </si>
  <si>
    <t>Ora et ars</t>
  </si>
  <si>
    <t>MČ Sever - PD na dopravné značenie MK Žilinská</t>
  </si>
  <si>
    <t>PD - Rozšírenie cintorína v Zlatovciach (MČ Západ 988 €)</t>
  </si>
  <si>
    <t>Poistné do poisťovní - roznos dotazníkov</t>
  </si>
  <si>
    <t xml:space="preserve"> - AS Trenčín, a.s. - projekcia športového zápasu a ukončenie najvyššej futbalovej súťaže</t>
  </si>
  <si>
    <t xml:space="preserve"> - Hádzanársky klub Štart o.z. - Oslavy 90 rokov hádzanej v Trenčíne</t>
  </si>
  <si>
    <t xml:space="preserve"> - Kraso Trenčín o.z.: činnosť</t>
  </si>
  <si>
    <t>Klimatizácia podkrovie Mierové nám.č.2</t>
  </si>
  <si>
    <t>Valec k stroju na výtlky</t>
  </si>
  <si>
    <t>Rekonštrukcia Mierového námestia</t>
  </si>
  <si>
    <t xml:space="preserve">MČ Stred - rekonštrukcia  </t>
  </si>
  <si>
    <t>Zimný štadion - rekonštrukcia šatní</t>
  </si>
  <si>
    <t>Ul.Soblahovská- betónová zástena pri smet.nádobách</t>
  </si>
  <si>
    <t>MČ Stred -rekonštrukcia detského ihriska na Karpatskej ul.</t>
  </si>
  <si>
    <t>Kastrácia túlavých mačiek</t>
  </si>
  <si>
    <t>Rozšírenie a modernizácia kamer.systému Mestskej polície v Trenčíne</t>
  </si>
  <si>
    <t>Dotácia MK SR - Pri trenčianskej bráne</t>
  </si>
  <si>
    <t>Dotácia MK SR - Ora et Ars</t>
  </si>
  <si>
    <t>Dotácia MK SR - Farebná veža</t>
  </si>
  <si>
    <t>09.5.0</t>
  </si>
  <si>
    <t xml:space="preserve"> - SHŠ Wagus, n.o.  -  Trenčianske historické slávnosti</t>
  </si>
  <si>
    <t>Dotácia KC Kubra, o.z.</t>
  </si>
  <si>
    <t>Príspevok obyvateľovi mesta na sociálnu službu</t>
  </si>
  <si>
    <t>Stavebná, bežná a zimná údržba</t>
  </si>
  <si>
    <t>Rok 2015 - január - október</t>
  </si>
  <si>
    <t>MČ Sever - PD ul. I.Krasku - parkovanie</t>
  </si>
  <si>
    <t>PD: MŠ Legionárska rozšírenie</t>
  </si>
  <si>
    <t>Športový areál</t>
  </si>
  <si>
    <t>Rímskokatolícka cirkev Farnosť Trenčín - Orechové: dotáca na opravu dažďovej kanalizácie pred kostolom v Orechovom</t>
  </si>
  <si>
    <t>Rekonštrukcia komunikácií, obrubníkov  a odvodnenia cintorína na Juhu</t>
  </si>
  <si>
    <t>Śtúdia modernizácie VO v meste</t>
  </si>
  <si>
    <t>322</t>
  </si>
  <si>
    <t>Dotácia z MV SR - rozšírenie a modernizácia kamerového systému MsP</t>
  </si>
  <si>
    <t>006</t>
  </si>
  <si>
    <t>z dobropisov</t>
  </si>
  <si>
    <t>017</t>
  </si>
  <si>
    <t>vratky</t>
  </si>
  <si>
    <t>019</t>
  </si>
  <si>
    <t>príjmy z dobropisov</t>
  </si>
  <si>
    <t>príjmy z vratiek</t>
  </si>
  <si>
    <t>príjmy z refundácie</t>
  </si>
  <si>
    <t>príjmy z darov</t>
  </si>
  <si>
    <t>Židovská náboženská obec Trenčín - dotácia na opravu strechy Trenčianskej synagógy</t>
  </si>
  <si>
    <t>Dar pri Trenčianskej bráne</t>
  </si>
  <si>
    <t>Návrh na Zmenu Programového rozpočtu Mesta Trenčín na rok 2015</t>
  </si>
  <si>
    <t>Návrh na zmenu +/-</t>
  </si>
  <si>
    <t>Zmena rozpočtu +/-</t>
  </si>
  <si>
    <t>Upravený bežný rozpočet 2015</t>
  </si>
  <si>
    <t>Upravený kapitálový rozpočet 2015</t>
  </si>
  <si>
    <t>Prídavné pódium</t>
  </si>
  <si>
    <t>Transfer Spojenej škole internátne V.Predmerského</t>
  </si>
  <si>
    <t>641</t>
  </si>
  <si>
    <t>Dotácia pre deti v hmotnej núdzi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</si>
</sst>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0" x14ac:knownFonts="1">
    <font>
      <sz val="10"/>
      <name val="Arial"/>
      <charset val="238"/>
    </font>
    <font>
      <sz val="8"/>
      <name val="Arial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b/>
      <i/>
      <sz val="8"/>
      <name val="Arial CE"/>
      <family val="2"/>
      <charset val="238"/>
    </font>
    <font>
      <b/>
      <sz val="9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sz val="10"/>
      <name val="Arial CE"/>
      <charset val="238"/>
    </font>
    <font>
      <b/>
      <i/>
      <sz val="12"/>
      <name val="Arial CE"/>
      <charset val="238"/>
    </font>
    <font>
      <b/>
      <sz val="10"/>
      <name val="Arial"/>
      <family val="2"/>
      <charset val="238"/>
    </font>
    <font>
      <b/>
      <i/>
      <sz val="12"/>
      <name val="Arial CE"/>
      <family val="2"/>
      <charset val="238"/>
    </font>
    <font>
      <b/>
      <sz val="8"/>
      <name val="Arial CE"/>
      <charset val="238"/>
    </font>
    <font>
      <sz val="6"/>
      <name val="Arial CE"/>
      <family val="2"/>
      <charset val="238"/>
    </font>
    <font>
      <b/>
      <i/>
      <sz val="9"/>
      <name val="Arial CE"/>
      <family val="2"/>
      <charset val="238"/>
    </font>
    <font>
      <b/>
      <sz val="10"/>
      <name val="Arial CE"/>
      <family val="2"/>
      <charset val="238"/>
    </font>
    <font>
      <i/>
      <sz val="8"/>
      <name val="Arial CE"/>
      <family val="2"/>
      <charset val="238"/>
    </font>
    <font>
      <b/>
      <i/>
      <sz val="8"/>
      <name val="Arial CE"/>
      <charset val="238"/>
    </font>
    <font>
      <b/>
      <i/>
      <sz val="9"/>
      <name val="Arial CE"/>
      <charset val="238"/>
    </font>
    <font>
      <b/>
      <i/>
      <sz val="10"/>
      <name val="Arial CE"/>
      <family val="2"/>
      <charset val="238"/>
    </font>
    <font>
      <sz val="9"/>
      <name val="Arial CE"/>
      <charset val="238"/>
    </font>
    <font>
      <b/>
      <sz val="9"/>
      <color indexed="8"/>
      <name val="Arial CE"/>
      <family val="2"/>
      <charset val="238"/>
    </font>
    <font>
      <sz val="10"/>
      <name val="Arial CE"/>
      <family val="2"/>
      <charset val="238"/>
    </font>
    <font>
      <i/>
      <sz val="9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 CE"/>
      <charset val="238"/>
    </font>
    <font>
      <b/>
      <i/>
      <sz val="10"/>
      <name val="Arial CE"/>
      <charset val="238"/>
    </font>
    <font>
      <sz val="10"/>
      <name val="Arial"/>
      <family val="2"/>
      <charset val="238"/>
    </font>
    <font>
      <b/>
      <sz val="11"/>
      <color indexed="9"/>
      <name val="Arial CE"/>
      <family val="2"/>
      <charset val="238"/>
    </font>
    <font>
      <b/>
      <sz val="8"/>
      <color indexed="9"/>
      <name val="Arial CE"/>
      <charset val="238"/>
    </font>
    <font>
      <b/>
      <sz val="14"/>
      <color indexed="9"/>
      <name val="Arial CE"/>
      <charset val="238"/>
    </font>
    <font>
      <b/>
      <sz val="11"/>
      <color indexed="9"/>
      <name val="Arial CE"/>
      <charset val="238"/>
    </font>
    <font>
      <b/>
      <sz val="12"/>
      <name val="Arial CE"/>
      <family val="2"/>
      <charset val="238"/>
    </font>
    <font>
      <sz val="8"/>
      <color indexed="9"/>
      <name val="Arial CE"/>
      <charset val="238"/>
    </font>
    <font>
      <b/>
      <sz val="22"/>
      <color indexed="18"/>
      <name val="Tahoma"/>
      <family val="2"/>
      <charset val="238"/>
    </font>
    <font>
      <sz val="9"/>
      <name val="Arial"/>
      <family val="2"/>
      <charset val="238"/>
    </font>
    <font>
      <sz val="10"/>
      <color indexed="10"/>
      <name val="Arial CE"/>
      <charset val="238"/>
    </font>
    <font>
      <b/>
      <sz val="12"/>
      <color indexed="9"/>
      <name val="Arial CE"/>
      <charset val="238"/>
    </font>
    <font>
      <sz val="11"/>
      <name val="Arial"/>
      <family val="2"/>
      <charset val="238"/>
    </font>
    <font>
      <b/>
      <sz val="11"/>
      <name val="Arial CE"/>
      <charset val="238"/>
    </font>
    <font>
      <sz val="12"/>
      <name val="Arial"/>
      <family val="2"/>
      <charset val="238"/>
    </font>
    <font>
      <b/>
      <i/>
      <sz val="14"/>
      <color indexed="9"/>
      <name val="Arial CE"/>
      <family val="2"/>
      <charset val="238"/>
    </font>
    <font>
      <sz val="14"/>
      <color indexed="9"/>
      <name val="Arial"/>
      <family val="2"/>
      <charset val="238"/>
    </font>
    <font>
      <sz val="11"/>
      <name val="Arial CE"/>
      <charset val="238"/>
    </font>
    <font>
      <sz val="11"/>
      <name val="Arial CE"/>
      <family val="2"/>
      <charset val="238"/>
    </font>
    <font>
      <b/>
      <i/>
      <sz val="12"/>
      <color indexed="9"/>
      <name val="Arial CE"/>
      <charset val="238"/>
    </font>
    <font>
      <sz val="8"/>
      <color indexed="18"/>
      <name val="Arial CE"/>
      <family val="2"/>
      <charset val="238"/>
    </font>
    <font>
      <sz val="6"/>
      <color indexed="18"/>
      <name val="Arial CE"/>
      <family val="2"/>
      <charset val="238"/>
    </font>
    <font>
      <b/>
      <sz val="10"/>
      <color indexed="18"/>
      <name val="Arial CE"/>
      <charset val="238"/>
    </font>
    <font>
      <sz val="8"/>
      <color indexed="9"/>
      <name val="Arial CE"/>
      <family val="2"/>
      <charset val="238"/>
    </font>
    <font>
      <b/>
      <i/>
      <sz val="11"/>
      <color indexed="9"/>
      <name val="Arial CE"/>
      <family val="2"/>
      <charset val="238"/>
    </font>
    <font>
      <b/>
      <i/>
      <sz val="11"/>
      <color indexed="56"/>
      <name val="Arial CE"/>
      <family val="2"/>
      <charset val="238"/>
    </font>
    <font>
      <b/>
      <sz val="9"/>
      <color indexed="9"/>
      <name val="Arial CE"/>
      <charset val="238"/>
    </font>
    <font>
      <b/>
      <sz val="10"/>
      <color indexed="9"/>
      <name val="Arial CE"/>
      <family val="2"/>
      <charset val="238"/>
    </font>
    <font>
      <b/>
      <sz val="10"/>
      <color indexed="9"/>
      <name val="Arial CE"/>
      <charset val="238"/>
    </font>
    <font>
      <b/>
      <i/>
      <sz val="10"/>
      <color indexed="9"/>
      <name val="Arial CE"/>
      <family val="2"/>
      <charset val="238"/>
    </font>
    <font>
      <b/>
      <i/>
      <sz val="14"/>
      <color indexed="9"/>
      <name val="Arial CE"/>
      <family val="2"/>
      <charset val="238"/>
    </font>
    <font>
      <b/>
      <i/>
      <sz val="16"/>
      <color indexed="9"/>
      <name val="Arial CE"/>
      <family val="2"/>
      <charset val="238"/>
    </font>
    <font>
      <b/>
      <sz val="16"/>
      <color indexed="9"/>
      <name val="Arial CE"/>
      <family val="2"/>
      <charset val="238"/>
    </font>
    <font>
      <b/>
      <sz val="11"/>
      <color indexed="9"/>
      <name val="Arial CE"/>
      <charset val="238"/>
    </font>
    <font>
      <b/>
      <sz val="11"/>
      <color indexed="9"/>
      <name val="Arial CE"/>
      <family val="2"/>
      <charset val="238"/>
    </font>
    <font>
      <b/>
      <sz val="12"/>
      <color indexed="9"/>
      <name val="Arial CE"/>
      <family val="2"/>
      <charset val="238"/>
    </font>
    <font>
      <b/>
      <sz val="12"/>
      <color indexed="9"/>
      <name val="Arial CE"/>
      <charset val="238"/>
    </font>
    <font>
      <b/>
      <i/>
      <sz val="12"/>
      <color indexed="9"/>
      <name val="Arial CE"/>
      <charset val="238"/>
    </font>
    <font>
      <b/>
      <sz val="20"/>
      <color indexed="18"/>
      <name val="Arial CE"/>
      <family val="2"/>
      <charset val="238"/>
    </font>
    <font>
      <sz val="20"/>
      <color indexed="18"/>
      <name val="Arial CE"/>
      <family val="2"/>
      <charset val="238"/>
    </font>
    <font>
      <sz val="12"/>
      <color indexed="9"/>
      <name val="Arial"/>
      <family val="2"/>
      <charset val="238"/>
    </font>
    <font>
      <i/>
      <sz val="9"/>
      <name val="Arial CE"/>
      <charset val="238"/>
    </font>
    <font>
      <b/>
      <sz val="12"/>
      <name val="Arial CE"/>
      <charset val="238"/>
    </font>
    <font>
      <sz val="11"/>
      <color indexed="8"/>
      <name val="Calibri"/>
      <family val="2"/>
      <charset val="238"/>
    </font>
    <font>
      <b/>
      <i/>
      <sz val="11"/>
      <color indexed="9"/>
      <name val="Arial CE"/>
      <charset val="238"/>
    </font>
    <font>
      <b/>
      <i/>
      <sz val="9"/>
      <color indexed="56"/>
      <name val="Arial"/>
      <family val="2"/>
      <charset val="238"/>
    </font>
    <font>
      <sz val="11"/>
      <color indexed="9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18"/>
      <name val="Tahoma"/>
      <family val="2"/>
      <charset val="238"/>
    </font>
    <font>
      <b/>
      <i/>
      <vertAlign val="superscript"/>
      <sz val="12"/>
      <color indexed="9"/>
      <name val="Arial CE"/>
      <family val="2"/>
      <charset val="238"/>
    </font>
    <font>
      <b/>
      <sz val="16"/>
      <color indexed="30"/>
      <name val="Arial Black"/>
      <family val="2"/>
      <charset val="238"/>
    </font>
    <font>
      <b/>
      <sz val="16"/>
      <color indexed="18"/>
      <name val="Tahoma"/>
      <family val="2"/>
      <charset val="238"/>
    </font>
    <font>
      <i/>
      <sz val="8"/>
      <name val="Arial CE"/>
      <charset val="238"/>
    </font>
    <font>
      <b/>
      <i/>
      <sz val="11"/>
      <name val="Arial CE"/>
      <charset val="238"/>
    </font>
    <font>
      <b/>
      <sz val="12"/>
      <color indexed="18"/>
      <name val="Tahoma"/>
      <family val="2"/>
      <charset val="238"/>
    </font>
    <font>
      <b/>
      <sz val="20"/>
      <color indexed="12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theme="0"/>
      <name val="Arial CE"/>
      <charset val="238"/>
    </font>
    <font>
      <b/>
      <sz val="11"/>
      <color theme="0"/>
      <name val="Arial CE"/>
      <charset val="238"/>
    </font>
    <font>
      <b/>
      <sz val="12"/>
      <color theme="0"/>
      <name val="Arial CE"/>
      <charset val="238"/>
    </font>
    <font>
      <b/>
      <sz val="20"/>
      <color rgb="FF000080"/>
      <name val="Tahoma"/>
      <family val="2"/>
      <charset val="238"/>
    </font>
    <font>
      <b/>
      <i/>
      <sz val="12"/>
      <color theme="0"/>
      <name val="Arial CE"/>
      <family val="2"/>
      <charset val="238"/>
    </font>
    <font>
      <b/>
      <sz val="10"/>
      <color rgb="FFFF0000"/>
      <name val="Arial CE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9FFCC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70" fillId="0" borderId="0"/>
    <xf numFmtId="0" fontId="28" fillId="0" borderId="0"/>
    <xf numFmtId="0" fontId="28" fillId="0" borderId="0"/>
    <xf numFmtId="0" fontId="28" fillId="0" borderId="0"/>
    <xf numFmtId="0" fontId="83" fillId="0" borderId="0"/>
  </cellStyleXfs>
  <cellXfs count="938">
    <xf numFmtId="0" fontId="0" fillId="0" borderId="0" xfId="0"/>
    <xf numFmtId="49" fontId="4" fillId="0" borderId="1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Border="1"/>
    <xf numFmtId="49" fontId="3" fillId="0" borderId="2" xfId="0" applyNumberFormat="1" applyFont="1" applyFill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0" fontId="3" fillId="0" borderId="0" xfId="0" applyFont="1"/>
    <xf numFmtId="49" fontId="3" fillId="0" borderId="0" xfId="0" applyNumberFormat="1" applyFont="1" applyAlignment="1">
      <alignment horizontal="center"/>
    </xf>
    <xf numFmtId="3" fontId="0" fillId="0" borderId="0" xfId="0" applyNumberFormat="1"/>
    <xf numFmtId="0" fontId="4" fillId="2" borderId="2" xfId="0" applyFont="1" applyFill="1" applyBorder="1"/>
    <xf numFmtId="0" fontId="0" fillId="0" borderId="0" xfId="0" applyBorder="1"/>
    <xf numFmtId="3" fontId="4" fillId="0" borderId="0" xfId="0" applyNumberFormat="1" applyFont="1" applyFill="1" applyBorder="1" applyAlignment="1">
      <alignment horizontal="right"/>
    </xf>
    <xf numFmtId="0" fontId="19" fillId="3" borderId="1" xfId="0" applyFont="1" applyFill="1" applyBorder="1" applyAlignment="1">
      <alignment horizontal="center"/>
    </xf>
    <xf numFmtId="0" fontId="27" fillId="3" borderId="5" xfId="0" applyFont="1" applyFill="1" applyBorder="1" applyAlignment="1"/>
    <xf numFmtId="0" fontId="19" fillId="3" borderId="3" xfId="0" applyFont="1" applyFill="1" applyBorder="1" applyAlignment="1">
      <alignment horizontal="center"/>
    </xf>
    <xf numFmtId="0" fontId="27" fillId="3" borderId="6" xfId="0" applyFont="1" applyFill="1" applyBorder="1" applyAlignment="1"/>
    <xf numFmtId="0" fontId="0" fillId="0" borderId="0" xfId="0" applyFill="1" applyBorder="1"/>
    <xf numFmtId="49" fontId="3" fillId="0" borderId="1" xfId="0" applyNumberFormat="1" applyFont="1" applyFill="1" applyBorder="1" applyAlignment="1">
      <alignment horizontal="center"/>
    </xf>
    <xf numFmtId="0" fontId="19" fillId="3" borderId="7" xfId="0" applyFont="1" applyFill="1" applyBorder="1" applyAlignment="1">
      <alignment horizontal="center"/>
    </xf>
    <xf numFmtId="0" fontId="27" fillId="3" borderId="8" xfId="0" applyFont="1" applyFill="1" applyBorder="1" applyAlignment="1"/>
    <xf numFmtId="49" fontId="4" fillId="4" borderId="3" xfId="0" applyNumberFormat="1" applyFont="1" applyFill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0" fontId="3" fillId="0" borderId="0" xfId="0" applyFont="1" applyBorder="1"/>
    <xf numFmtId="0" fontId="4" fillId="2" borderId="6" xfId="0" applyFont="1" applyFill="1" applyBorder="1"/>
    <xf numFmtId="0" fontId="8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0" fontId="3" fillId="0" borderId="6" xfId="0" applyFont="1" applyFill="1" applyBorder="1"/>
    <xf numFmtId="49" fontId="4" fillId="2" borderId="3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0" fontId="7" fillId="2" borderId="6" xfId="0" applyFont="1" applyFill="1" applyBorder="1"/>
    <xf numFmtId="0" fontId="3" fillId="2" borderId="6" xfId="0" applyFont="1" applyFill="1" applyBorder="1"/>
    <xf numFmtId="49" fontId="4" fillId="0" borderId="1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17" fillId="0" borderId="6" xfId="0" applyFont="1" applyBorder="1"/>
    <xf numFmtId="0" fontId="3" fillId="0" borderId="6" xfId="0" applyFont="1" applyBorder="1"/>
    <xf numFmtId="49" fontId="4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17" fillId="0" borderId="6" xfId="0" applyFont="1" applyFill="1" applyBorder="1"/>
    <xf numFmtId="49" fontId="18" fillId="2" borderId="3" xfId="0" applyNumberFormat="1" applyFont="1" applyFill="1" applyBorder="1" applyAlignment="1">
      <alignment horizontal="center"/>
    </xf>
    <xf numFmtId="49" fontId="13" fillId="2" borderId="2" xfId="0" applyNumberFormat="1" applyFont="1" applyFill="1" applyBorder="1" applyAlignment="1">
      <alignment horizontal="center"/>
    </xf>
    <xf numFmtId="0" fontId="4" fillId="0" borderId="6" xfId="0" applyFont="1" applyBorder="1"/>
    <xf numFmtId="0" fontId="3" fillId="0" borderId="5" xfId="0" applyFont="1" applyBorder="1"/>
    <xf numFmtId="49" fontId="4" fillId="2" borderId="11" xfId="0" applyNumberFormat="1" applyFont="1" applyFill="1" applyBorder="1" applyAlignment="1">
      <alignment horizontal="center"/>
    </xf>
    <xf numFmtId="49" fontId="18" fillId="2" borderId="1" xfId="0" applyNumberFormat="1" applyFont="1" applyFill="1" applyBorder="1" applyAlignment="1">
      <alignment horizontal="center"/>
    </xf>
    <xf numFmtId="49" fontId="18" fillId="2" borderId="4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13" fillId="2" borderId="1" xfId="0" applyNumberFormat="1" applyFont="1" applyFill="1" applyBorder="1" applyAlignment="1">
      <alignment horizontal="center"/>
    </xf>
    <xf numFmtId="0" fontId="7" fillId="2" borderId="5" xfId="0" applyFont="1" applyFill="1" applyBorder="1"/>
    <xf numFmtId="0" fontId="17" fillId="0" borderId="5" xfId="0" applyFont="1" applyBorder="1"/>
    <xf numFmtId="0" fontId="3" fillId="0" borderId="12" xfId="0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49" fontId="13" fillId="2" borderId="4" xfId="0" applyNumberFormat="1" applyFont="1" applyFill="1" applyBorder="1" applyAlignment="1">
      <alignment horizontal="center"/>
    </xf>
    <xf numFmtId="49" fontId="14" fillId="0" borderId="4" xfId="0" applyNumberFormat="1" applyFont="1" applyFill="1" applyBorder="1" applyAlignment="1">
      <alignment horizontal="center"/>
    </xf>
    <xf numFmtId="49" fontId="14" fillId="0" borderId="1" xfId="0" applyNumberFormat="1" applyFont="1" applyFill="1" applyBorder="1" applyAlignment="1">
      <alignment horizontal="center"/>
    </xf>
    <xf numFmtId="0" fontId="14" fillId="0" borderId="4" xfId="0" applyNumberFormat="1" applyFont="1" applyFill="1" applyBorder="1" applyAlignment="1">
      <alignment horizontal="center"/>
    </xf>
    <xf numFmtId="0" fontId="14" fillId="0" borderId="1" xfId="0" applyNumberFormat="1" applyFont="1" applyFill="1" applyBorder="1" applyAlignment="1">
      <alignment horizontal="center"/>
    </xf>
    <xf numFmtId="0" fontId="3" fillId="0" borderId="5" xfId="0" applyNumberFormat="1" applyFont="1" applyFill="1" applyBorder="1"/>
    <xf numFmtId="0" fontId="14" fillId="0" borderId="2" xfId="0" applyNumberFormat="1" applyFont="1" applyFill="1" applyBorder="1" applyAlignment="1">
      <alignment horizontal="center"/>
    </xf>
    <xf numFmtId="0" fontId="3" fillId="0" borderId="6" xfId="0" applyNumberFormat="1" applyFont="1" applyFill="1" applyBorder="1"/>
    <xf numFmtId="0" fontId="6" fillId="0" borderId="6" xfId="0" applyFont="1" applyFill="1" applyBorder="1"/>
    <xf numFmtId="0" fontId="6" fillId="2" borderId="5" xfId="0" applyFont="1" applyFill="1" applyBorder="1"/>
    <xf numFmtId="49" fontId="3" fillId="2" borderId="1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0" fontId="24" fillId="2" borderId="6" xfId="0" applyFont="1" applyFill="1" applyBorder="1"/>
    <xf numFmtId="49" fontId="18" fillId="2" borderId="11" xfId="0" applyNumberFormat="1" applyFont="1" applyFill="1" applyBorder="1" applyAlignment="1">
      <alignment horizontal="center"/>
    </xf>
    <xf numFmtId="0" fontId="3" fillId="0" borderId="5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2" borderId="0" xfId="0" applyFill="1" applyBorder="1"/>
    <xf numFmtId="0" fontId="47" fillId="5" borderId="13" xfId="0" applyFont="1" applyFill="1" applyBorder="1"/>
    <xf numFmtId="49" fontId="48" fillId="5" borderId="9" xfId="0" applyNumberFormat="1" applyFont="1" applyFill="1" applyBorder="1" applyAlignment="1">
      <alignment horizontal="center"/>
    </xf>
    <xf numFmtId="0" fontId="47" fillId="5" borderId="0" xfId="0" applyFont="1" applyFill="1" applyBorder="1"/>
    <xf numFmtId="0" fontId="47" fillId="5" borderId="9" xfId="0" applyFont="1" applyFill="1" applyBorder="1"/>
    <xf numFmtId="0" fontId="47" fillId="5" borderId="14" xfId="0" applyFont="1" applyFill="1" applyBorder="1"/>
    <xf numFmtId="49" fontId="48" fillId="5" borderId="15" xfId="0" applyNumberFormat="1" applyFont="1" applyFill="1" applyBorder="1" applyAlignment="1">
      <alignment horizontal="center"/>
    </xf>
    <xf numFmtId="49" fontId="48" fillId="5" borderId="16" xfId="0" applyNumberFormat="1" applyFont="1" applyFill="1" applyBorder="1" applyAlignment="1">
      <alignment horizontal="center"/>
    </xf>
    <xf numFmtId="0" fontId="49" fillId="5" borderId="17" xfId="0" applyFont="1" applyFill="1" applyBorder="1"/>
    <xf numFmtId="0" fontId="47" fillId="5" borderId="15" xfId="0" applyFont="1" applyFill="1" applyBorder="1"/>
    <xf numFmtId="3" fontId="13" fillId="0" borderId="0" xfId="0" applyNumberFormat="1" applyFont="1" applyFill="1" applyBorder="1" applyAlignment="1"/>
    <xf numFmtId="0" fontId="3" fillId="0" borderId="10" xfId="0" applyFont="1" applyBorder="1" applyAlignment="1">
      <alignment horizontal="center"/>
    </xf>
    <xf numFmtId="49" fontId="5" fillId="3" borderId="2" xfId="0" applyNumberFormat="1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7" fillId="2" borderId="2" xfId="0" applyFont="1" applyFill="1" applyBorder="1"/>
    <xf numFmtId="49" fontId="18" fillId="0" borderId="1" xfId="0" applyNumberFormat="1" applyFont="1" applyFill="1" applyBorder="1" applyAlignment="1">
      <alignment horizontal="center"/>
    </xf>
    <xf numFmtId="49" fontId="50" fillId="6" borderId="1" xfId="0" applyNumberFormat="1" applyFont="1" applyFill="1" applyBorder="1" applyAlignment="1">
      <alignment horizontal="center"/>
    </xf>
    <xf numFmtId="49" fontId="50" fillId="6" borderId="2" xfId="0" applyNumberFormat="1" applyFont="1" applyFill="1" applyBorder="1" applyAlignment="1">
      <alignment horizontal="center"/>
    </xf>
    <xf numFmtId="0" fontId="51" fillId="6" borderId="19" xfId="0" applyFont="1" applyFill="1" applyBorder="1"/>
    <xf numFmtId="0" fontId="3" fillId="2" borderId="20" xfId="0" applyFont="1" applyFill="1" applyBorder="1" applyAlignment="1">
      <alignment horizontal="center"/>
    </xf>
    <xf numFmtId="49" fontId="50" fillId="6" borderId="21" xfId="0" applyNumberFormat="1" applyFont="1" applyFill="1" applyBorder="1" applyAlignment="1">
      <alignment horizontal="center"/>
    </xf>
    <xf numFmtId="49" fontId="50" fillId="6" borderId="22" xfId="0" applyNumberFormat="1" applyFont="1" applyFill="1" applyBorder="1" applyAlignment="1">
      <alignment horizontal="center"/>
    </xf>
    <xf numFmtId="0" fontId="51" fillId="6" borderId="22" xfId="0" applyFont="1" applyFill="1" applyBorder="1"/>
    <xf numFmtId="0" fontId="2" fillId="2" borderId="18" xfId="0" applyFont="1" applyFill="1" applyBorder="1" applyAlignment="1">
      <alignment horizontal="center"/>
    </xf>
    <xf numFmtId="49" fontId="15" fillId="3" borderId="2" xfId="0" applyNumberFormat="1" applyFont="1" applyFill="1" applyBorder="1" applyAlignment="1">
      <alignment horizontal="center" vertical="center"/>
    </xf>
    <xf numFmtId="49" fontId="15" fillId="3" borderId="3" xfId="0" applyNumberFormat="1" applyFont="1" applyFill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/>
    </xf>
    <xf numFmtId="49" fontId="15" fillId="3" borderId="4" xfId="0" applyNumberFormat="1" applyFont="1" applyFill="1" applyBorder="1" applyAlignment="1">
      <alignment horizontal="center" vertical="center"/>
    </xf>
    <xf numFmtId="49" fontId="15" fillId="3" borderId="1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center" vertical="center"/>
    </xf>
    <xf numFmtId="0" fontId="33" fillId="3" borderId="5" xfId="0" applyFont="1" applyFill="1" applyBorder="1" applyAlignment="1">
      <alignment vertical="center"/>
    </xf>
    <xf numFmtId="0" fontId="33" fillId="3" borderId="6" xfId="0" applyFont="1" applyFill="1" applyBorder="1" applyAlignment="1">
      <alignment vertical="center"/>
    </xf>
    <xf numFmtId="0" fontId="34" fillId="7" borderId="17" xfId="0" applyFont="1" applyFill="1" applyBorder="1" applyAlignment="1"/>
    <xf numFmtId="3" fontId="6" fillId="0" borderId="0" xfId="0" applyNumberFormat="1" applyFont="1" applyFill="1" applyBorder="1" applyAlignment="1"/>
    <xf numFmtId="3" fontId="18" fillId="0" borderId="0" xfId="0" applyNumberFormat="1" applyFont="1" applyFill="1" applyBorder="1" applyAlignment="1">
      <alignment vertical="center"/>
    </xf>
    <xf numFmtId="49" fontId="5" fillId="2" borderId="21" xfId="0" applyNumberFormat="1" applyFont="1" applyFill="1" applyBorder="1" applyAlignment="1">
      <alignment horizontal="center"/>
    </xf>
    <xf numFmtId="49" fontId="3" fillId="2" borderId="22" xfId="0" applyNumberFormat="1" applyFont="1" applyFill="1" applyBorder="1" applyAlignment="1">
      <alignment horizontal="center"/>
    </xf>
    <xf numFmtId="0" fontId="3" fillId="0" borderId="23" xfId="0" applyFont="1" applyBorder="1"/>
    <xf numFmtId="0" fontId="19" fillId="8" borderId="5" xfId="0" applyFont="1" applyFill="1" applyBorder="1"/>
    <xf numFmtId="0" fontId="15" fillId="8" borderId="6" xfId="0" applyFont="1" applyFill="1" applyBorder="1"/>
    <xf numFmtId="0" fontId="11" fillId="2" borderId="5" xfId="0" applyFont="1" applyFill="1" applyBorder="1" applyAlignment="1"/>
    <xf numFmtId="0" fontId="0" fillId="2" borderId="25" xfId="0" applyFill="1" applyBorder="1"/>
    <xf numFmtId="3" fontId="13" fillId="0" borderId="8" xfId="0" applyNumberFormat="1" applyFont="1" applyFill="1" applyBorder="1" applyAlignment="1"/>
    <xf numFmtId="3" fontId="6" fillId="0" borderId="8" xfId="0" applyNumberFormat="1" applyFont="1" applyFill="1" applyBorder="1" applyAlignment="1"/>
    <xf numFmtId="0" fontId="16" fillId="2" borderId="26" xfId="0" applyFont="1" applyFill="1" applyBorder="1" applyAlignment="1"/>
    <xf numFmtId="49" fontId="4" fillId="0" borderId="4" xfId="0" applyNumberFormat="1" applyFont="1" applyFill="1" applyBorder="1" applyAlignment="1">
      <alignment horizontal="center"/>
    </xf>
    <xf numFmtId="0" fontId="31" fillId="7" borderId="27" xfId="0" applyFont="1" applyFill="1" applyBorder="1" applyAlignment="1">
      <alignment horizontal="left" vertical="center"/>
    </xf>
    <xf numFmtId="0" fontId="10" fillId="3" borderId="5" xfId="0" applyFont="1" applyFill="1" applyBorder="1" applyAlignment="1"/>
    <xf numFmtId="0" fontId="10" fillId="3" borderId="6" xfId="0" applyFont="1" applyFill="1" applyBorder="1" applyAlignment="1"/>
    <xf numFmtId="0" fontId="40" fillId="9" borderId="28" xfId="0" applyFont="1" applyFill="1" applyBorder="1" applyAlignment="1"/>
    <xf numFmtId="0" fontId="39" fillId="9" borderId="6" xfId="0" applyFont="1" applyFill="1" applyBorder="1" applyAlignment="1"/>
    <xf numFmtId="0" fontId="3" fillId="11" borderId="2" xfId="0" applyFont="1" applyFill="1" applyBorder="1" applyAlignment="1">
      <alignment horizontal="center"/>
    </xf>
    <xf numFmtId="49" fontId="4" fillId="11" borderId="3" xfId="0" applyNumberFormat="1" applyFont="1" applyFill="1" applyBorder="1" applyAlignment="1">
      <alignment horizontal="center"/>
    </xf>
    <xf numFmtId="3" fontId="4" fillId="11" borderId="0" xfId="0" applyNumberFormat="1" applyFont="1" applyFill="1" applyBorder="1" applyAlignment="1">
      <alignment horizontal="right"/>
    </xf>
    <xf numFmtId="0" fontId="0" fillId="11" borderId="0" xfId="0" applyFill="1"/>
    <xf numFmtId="0" fontId="3" fillId="11" borderId="3" xfId="0" applyFont="1" applyFill="1" applyBorder="1" applyAlignment="1">
      <alignment horizontal="center"/>
    </xf>
    <xf numFmtId="0" fontId="3" fillId="11" borderId="4" xfId="0" applyFont="1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3" fontId="21" fillId="11" borderId="29" xfId="0" applyNumberFormat="1" applyFont="1" applyFill="1" applyBorder="1"/>
    <xf numFmtId="0" fontId="35" fillId="0" borderId="0" xfId="0" applyFont="1" applyBorder="1" applyAlignment="1"/>
    <xf numFmtId="0" fontId="3" fillId="11" borderId="24" xfId="0" applyFont="1" applyFill="1" applyBorder="1" applyAlignment="1">
      <alignment horizontal="center"/>
    </xf>
    <xf numFmtId="0" fontId="3" fillId="11" borderId="7" xfId="0" applyFont="1" applyFill="1" applyBorder="1" applyAlignment="1">
      <alignment horizontal="center"/>
    </xf>
    <xf numFmtId="3" fontId="4" fillId="11" borderId="8" xfId="0" applyNumberFormat="1" applyFont="1" applyFill="1" applyBorder="1" applyAlignment="1">
      <alignment horizontal="right"/>
    </xf>
    <xf numFmtId="3" fontId="21" fillId="11" borderId="30" xfId="0" applyNumberFormat="1" applyFont="1" applyFill="1" applyBorder="1"/>
    <xf numFmtId="0" fontId="2" fillId="11" borderId="2" xfId="0" applyFont="1" applyFill="1" applyBorder="1" applyAlignment="1">
      <alignment horizontal="center"/>
    </xf>
    <xf numFmtId="49" fontId="13" fillId="11" borderId="3" xfId="0" applyNumberFormat="1" applyFont="1" applyFill="1" applyBorder="1" applyAlignment="1">
      <alignment horizontal="center"/>
    </xf>
    <xf numFmtId="3" fontId="13" fillId="11" borderId="0" xfId="0" applyNumberFormat="1" applyFont="1" applyFill="1" applyBorder="1" applyAlignment="1">
      <alignment horizontal="right"/>
    </xf>
    <xf numFmtId="49" fontId="13" fillId="11" borderId="6" xfId="0" applyNumberFormat="1" applyFont="1" applyFill="1" applyBorder="1" applyAlignment="1">
      <alignment horizontal="center"/>
    </xf>
    <xf numFmtId="0" fontId="9" fillId="4" borderId="26" xfId="0" applyFont="1" applyFill="1" applyBorder="1" applyAlignment="1"/>
    <xf numFmtId="3" fontId="4" fillId="11" borderId="6" xfId="0" applyNumberFormat="1" applyFont="1" applyFill="1" applyBorder="1" applyAlignment="1">
      <alignment horizontal="right"/>
    </xf>
    <xf numFmtId="0" fontId="2" fillId="11" borderId="3" xfId="0" applyFont="1" applyFill="1" applyBorder="1" applyAlignment="1">
      <alignment horizontal="center"/>
    </xf>
    <xf numFmtId="3" fontId="6" fillId="11" borderId="33" xfId="0" applyNumberFormat="1" applyFont="1" applyFill="1" applyBorder="1"/>
    <xf numFmtId="0" fontId="28" fillId="11" borderId="0" xfId="0" applyFont="1" applyFill="1"/>
    <xf numFmtId="49" fontId="13" fillId="4" borderId="3" xfId="0" applyNumberFormat="1" applyFont="1" applyFill="1" applyBorder="1" applyAlignment="1">
      <alignment horizontal="center"/>
    </xf>
    <xf numFmtId="0" fontId="11" fillId="0" borderId="0" xfId="0" applyFont="1"/>
    <xf numFmtId="0" fontId="13" fillId="11" borderId="3" xfId="0" applyFont="1" applyFill="1" applyBorder="1" applyAlignment="1">
      <alignment horizontal="center"/>
    </xf>
    <xf numFmtId="49" fontId="13" fillId="12" borderId="3" xfId="0" applyNumberFormat="1" applyFont="1" applyFill="1" applyBorder="1" applyAlignment="1">
      <alignment horizontal="center"/>
    </xf>
    <xf numFmtId="0" fontId="3" fillId="12" borderId="3" xfId="0" applyFont="1" applyFill="1" applyBorder="1" applyAlignment="1">
      <alignment horizontal="center"/>
    </xf>
    <xf numFmtId="0" fontId="4" fillId="11" borderId="3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0" fontId="3" fillId="11" borderId="6" xfId="0" applyFont="1" applyFill="1" applyBorder="1" applyAlignment="1">
      <alignment horizontal="center"/>
    </xf>
    <xf numFmtId="3" fontId="21" fillId="11" borderId="34" xfId="0" applyNumberFormat="1" applyFont="1" applyFill="1" applyBorder="1"/>
    <xf numFmtId="0" fontId="3" fillId="11" borderId="28" xfId="0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right"/>
    </xf>
    <xf numFmtId="0" fontId="8" fillId="2" borderId="6" xfId="0" applyFont="1" applyFill="1" applyBorder="1"/>
    <xf numFmtId="0" fontId="8" fillId="0" borderId="6" xfId="0" applyFont="1" applyBorder="1"/>
    <xf numFmtId="49" fontId="13" fillId="11" borderId="28" xfId="0" applyNumberFormat="1" applyFont="1" applyFill="1" applyBorder="1" applyAlignment="1">
      <alignment horizontal="center"/>
    </xf>
    <xf numFmtId="3" fontId="9" fillId="11" borderId="29" xfId="0" applyNumberFormat="1" applyFont="1" applyFill="1" applyBorder="1"/>
    <xf numFmtId="3" fontId="26" fillId="11" borderId="29" xfId="0" applyNumberFormat="1" applyFont="1" applyFill="1" applyBorder="1"/>
    <xf numFmtId="3" fontId="26" fillId="11" borderId="33" xfId="0" applyNumberFormat="1" applyFont="1" applyFill="1" applyBorder="1"/>
    <xf numFmtId="49" fontId="4" fillId="11" borderId="28" xfId="0" applyNumberFormat="1" applyFont="1" applyFill="1" applyBorder="1" applyAlignment="1">
      <alignment horizontal="center"/>
    </xf>
    <xf numFmtId="49" fontId="40" fillId="11" borderId="3" xfId="0" applyNumberFormat="1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3" fontId="0" fillId="11" borderId="0" xfId="0" applyNumberFormat="1" applyFill="1"/>
    <xf numFmtId="0" fontId="43" fillId="7" borderId="35" xfId="0" applyFont="1" applyFill="1" applyBorder="1" applyAlignment="1">
      <alignment horizontal="left" vertical="center"/>
    </xf>
    <xf numFmtId="0" fontId="6" fillId="4" borderId="26" xfId="0" applyFont="1" applyFill="1" applyBorder="1" applyAlignment="1"/>
    <xf numFmtId="0" fontId="9" fillId="4" borderId="26" xfId="0" applyFont="1" applyFill="1" applyBorder="1" applyAlignment="1">
      <alignment horizontal="center"/>
    </xf>
    <xf numFmtId="49" fontId="13" fillId="0" borderId="3" xfId="0" applyNumberFormat="1" applyFont="1" applyFill="1" applyBorder="1" applyAlignment="1">
      <alignment horizontal="center"/>
    </xf>
    <xf numFmtId="49" fontId="4" fillId="12" borderId="3" xfId="0" applyNumberFormat="1" applyFont="1" applyFill="1" applyBorder="1" applyAlignment="1">
      <alignment horizontal="center"/>
    </xf>
    <xf numFmtId="49" fontId="4" fillId="11" borderId="6" xfId="0" applyNumberFormat="1" applyFont="1" applyFill="1" applyBorder="1" applyAlignment="1">
      <alignment horizontal="center"/>
    </xf>
    <xf numFmtId="0" fontId="3" fillId="11" borderId="9" xfId="0" applyFont="1" applyFill="1" applyBorder="1" applyAlignment="1">
      <alignment horizontal="center"/>
    </xf>
    <xf numFmtId="0" fontId="3" fillId="11" borderId="11" xfId="0" applyFont="1" applyFill="1" applyBorder="1" applyAlignment="1">
      <alignment horizontal="center"/>
    </xf>
    <xf numFmtId="3" fontId="4" fillId="11" borderId="5" xfId="0" applyNumberFormat="1" applyFont="1" applyFill="1" applyBorder="1" applyAlignment="1">
      <alignment horizontal="right"/>
    </xf>
    <xf numFmtId="49" fontId="4" fillId="11" borderId="2" xfId="0" applyNumberFormat="1" applyFont="1" applyFill="1" applyBorder="1" applyAlignment="1">
      <alignment horizontal="center"/>
    </xf>
    <xf numFmtId="0" fontId="14" fillId="0" borderId="3" xfId="0" applyNumberFormat="1" applyFont="1" applyFill="1" applyBorder="1" applyAlignment="1">
      <alignment horizontal="center"/>
    </xf>
    <xf numFmtId="49" fontId="14" fillId="0" borderId="2" xfId="0" applyNumberFormat="1" applyFont="1" applyFill="1" applyBorder="1" applyAlignment="1">
      <alignment horizontal="center"/>
    </xf>
    <xf numFmtId="49" fontId="5" fillId="11" borderId="3" xfId="0" applyNumberFormat="1" applyFont="1" applyFill="1" applyBorder="1" applyAlignment="1">
      <alignment horizontal="center"/>
    </xf>
    <xf numFmtId="49" fontId="3" fillId="11" borderId="2" xfId="0" applyNumberFormat="1" applyFont="1" applyFill="1" applyBorder="1" applyAlignment="1">
      <alignment horizontal="center"/>
    </xf>
    <xf numFmtId="0" fontId="15" fillId="11" borderId="6" xfId="0" applyFont="1" applyFill="1" applyBorder="1"/>
    <xf numFmtId="0" fontId="6" fillId="0" borderId="6" xfId="0" applyFont="1" applyBorder="1"/>
    <xf numFmtId="0" fontId="15" fillId="8" borderId="0" xfId="0" applyFont="1" applyFill="1" applyBorder="1"/>
    <xf numFmtId="49" fontId="5" fillId="2" borderId="7" xfId="0" applyNumberFormat="1" applyFont="1" applyFill="1" applyBorder="1" applyAlignment="1">
      <alignment horizontal="center"/>
    </xf>
    <xf numFmtId="0" fontId="7" fillId="2" borderId="8" xfId="0" applyFont="1" applyFill="1" applyBorder="1"/>
    <xf numFmtId="0" fontId="34" fillId="7" borderId="15" xfId="0" applyFont="1" applyFill="1" applyBorder="1" applyAlignment="1"/>
    <xf numFmtId="0" fontId="3" fillId="3" borderId="2" xfId="0" applyFont="1" applyFill="1" applyBorder="1" applyAlignment="1"/>
    <xf numFmtId="0" fontId="21" fillId="11" borderId="2" xfId="0" applyFont="1" applyFill="1" applyBorder="1"/>
    <xf numFmtId="0" fontId="3" fillId="3" borderId="4" xfId="0" applyFont="1" applyFill="1" applyBorder="1" applyAlignment="1"/>
    <xf numFmtId="0" fontId="3" fillId="3" borderId="24" xfId="0" applyFont="1" applyFill="1" applyBorder="1" applyAlignment="1"/>
    <xf numFmtId="0" fontId="10" fillId="3" borderId="8" xfId="0" applyFont="1" applyFill="1" applyBorder="1" applyAlignment="1"/>
    <xf numFmtId="49" fontId="4" fillId="14" borderId="3" xfId="0" applyNumberFormat="1" applyFont="1" applyFill="1" applyBorder="1" applyAlignment="1">
      <alignment horizontal="center"/>
    </xf>
    <xf numFmtId="0" fontId="6" fillId="11" borderId="2" xfId="0" applyFont="1" applyFill="1" applyBorder="1"/>
    <xf numFmtId="0" fontId="21" fillId="11" borderId="24" xfId="0" applyFont="1" applyFill="1" applyBorder="1"/>
    <xf numFmtId="0" fontId="34" fillId="7" borderId="36" xfId="0" applyFont="1" applyFill="1" applyBorder="1" applyAlignment="1"/>
    <xf numFmtId="0" fontId="21" fillId="11" borderId="4" xfId="0" applyFont="1" applyFill="1" applyBorder="1"/>
    <xf numFmtId="0" fontId="6" fillId="11" borderId="4" xfId="0" applyFont="1" applyFill="1" applyBorder="1"/>
    <xf numFmtId="0" fontId="9" fillId="14" borderId="26" xfId="0" applyFont="1" applyFill="1" applyBorder="1" applyAlignment="1">
      <alignment horizontal="left"/>
    </xf>
    <xf numFmtId="0" fontId="9" fillId="14" borderId="5" xfId="0" applyFont="1" applyFill="1" applyBorder="1" applyAlignment="1">
      <alignment horizontal="left"/>
    </xf>
    <xf numFmtId="0" fontId="9" fillId="14" borderId="4" xfId="0" applyFont="1" applyFill="1" applyBorder="1" applyAlignment="1">
      <alignment horizontal="left"/>
    </xf>
    <xf numFmtId="0" fontId="1" fillId="0" borderId="18" xfId="0" applyFont="1" applyBorder="1" applyAlignment="1">
      <alignment horizontal="center"/>
    </xf>
    <xf numFmtId="3" fontId="6" fillId="14" borderId="29" xfId="0" applyNumberFormat="1" applyFont="1" applyFill="1" applyBorder="1"/>
    <xf numFmtId="3" fontId="6" fillId="14" borderId="37" xfId="0" applyNumberFormat="1" applyFont="1" applyFill="1" applyBorder="1"/>
    <xf numFmtId="0" fontId="2" fillId="11" borderId="1" xfId="0" applyFont="1" applyFill="1" applyBorder="1" applyAlignment="1">
      <alignment horizontal="center"/>
    </xf>
    <xf numFmtId="0" fontId="3" fillId="11" borderId="38" xfId="0" applyFont="1" applyFill="1" applyBorder="1" applyAlignment="1">
      <alignment horizontal="center"/>
    </xf>
    <xf numFmtId="0" fontId="68" fillId="11" borderId="2" xfId="0" applyFont="1" applyFill="1" applyBorder="1"/>
    <xf numFmtId="3" fontId="26" fillId="11" borderId="34" xfId="0" applyNumberFormat="1" applyFont="1" applyFill="1" applyBorder="1"/>
    <xf numFmtId="3" fontId="26" fillId="11" borderId="30" xfId="0" applyNumberFormat="1" applyFont="1" applyFill="1" applyBorder="1"/>
    <xf numFmtId="0" fontId="13" fillId="14" borderId="26" xfId="0" applyFont="1" applyFill="1" applyBorder="1" applyAlignment="1"/>
    <xf numFmtId="0" fontId="9" fillId="14" borderId="26" xfId="0" applyFont="1" applyFill="1" applyBorder="1" applyAlignment="1"/>
    <xf numFmtId="0" fontId="9" fillId="14" borderId="4" xfId="0" applyFont="1" applyFill="1" applyBorder="1" applyAlignment="1"/>
    <xf numFmtId="0" fontId="30" fillId="7" borderId="39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1" fillId="11" borderId="9" xfId="0" applyFont="1" applyFill="1" applyBorder="1"/>
    <xf numFmtId="0" fontId="6" fillId="12" borderId="2" xfId="0" applyFont="1" applyFill="1" applyBorder="1"/>
    <xf numFmtId="0" fontId="13" fillId="12" borderId="3" xfId="0" applyFont="1" applyFill="1" applyBorder="1" applyAlignment="1">
      <alignment horizontal="center"/>
    </xf>
    <xf numFmtId="0" fontId="6" fillId="12" borderId="4" xfId="0" applyFont="1" applyFill="1" applyBorder="1"/>
    <xf numFmtId="0" fontId="13" fillId="12" borderId="1" xfId="0" applyFont="1" applyFill="1" applyBorder="1" applyAlignment="1">
      <alignment horizontal="center"/>
    </xf>
    <xf numFmtId="0" fontId="9" fillId="12" borderId="28" xfId="0" applyFont="1" applyFill="1" applyBorder="1" applyAlignment="1"/>
    <xf numFmtId="0" fontId="9" fillId="12" borderId="2" xfId="0" applyFont="1" applyFill="1" applyBorder="1" applyAlignment="1"/>
    <xf numFmtId="0" fontId="9" fillId="12" borderId="26" xfId="0" applyFont="1" applyFill="1" applyBorder="1" applyAlignment="1"/>
    <xf numFmtId="0" fontId="9" fillId="12" borderId="4" xfId="0" applyFont="1" applyFill="1" applyBorder="1" applyAlignment="1"/>
    <xf numFmtId="3" fontId="26" fillId="12" borderId="29" xfId="0" applyNumberFormat="1" applyFont="1" applyFill="1" applyBorder="1"/>
    <xf numFmtId="0" fontId="38" fillId="7" borderId="27" xfId="0" applyFont="1" applyFill="1" applyBorder="1" applyAlignment="1">
      <alignment horizontal="left" vertical="center"/>
    </xf>
    <xf numFmtId="3" fontId="9" fillId="12" borderId="33" xfId="0" applyNumberFormat="1" applyFont="1" applyFill="1" applyBorder="1"/>
    <xf numFmtId="3" fontId="9" fillId="12" borderId="29" xfId="0" applyNumberFormat="1" applyFont="1" applyFill="1" applyBorder="1"/>
    <xf numFmtId="0" fontId="9" fillId="4" borderId="4" xfId="0" applyFont="1" applyFill="1" applyBorder="1" applyAlignment="1"/>
    <xf numFmtId="3" fontId="28" fillId="0" borderId="0" xfId="0" applyNumberFormat="1" applyFont="1"/>
    <xf numFmtId="3" fontId="11" fillId="0" borderId="0" xfId="0" applyNumberFormat="1" applyFont="1"/>
    <xf numFmtId="3" fontId="0" fillId="0" borderId="0" xfId="0" applyNumberFormat="1" applyBorder="1"/>
    <xf numFmtId="0" fontId="0" fillId="0" borderId="0" xfId="0" applyFill="1"/>
    <xf numFmtId="0" fontId="28" fillId="0" borderId="0" xfId="0" applyFont="1" applyFill="1"/>
    <xf numFmtId="3" fontId="9" fillId="0" borderId="29" xfId="0" applyNumberFormat="1" applyFont="1" applyFill="1" applyBorder="1"/>
    <xf numFmtId="3" fontId="13" fillId="11" borderId="5" xfId="0" applyNumberFormat="1" applyFont="1" applyFill="1" applyBorder="1" applyAlignment="1">
      <alignment horizontal="right"/>
    </xf>
    <xf numFmtId="3" fontId="6" fillId="0" borderId="5" xfId="0" applyNumberFormat="1" applyFont="1" applyFill="1" applyBorder="1" applyAlignment="1"/>
    <xf numFmtId="3" fontId="13" fillId="0" borderId="5" xfId="0" applyNumberFormat="1" applyFont="1" applyFill="1" applyBorder="1" applyAlignment="1"/>
    <xf numFmtId="0" fontId="35" fillId="11" borderId="0" xfId="0" applyFont="1" applyFill="1" applyBorder="1" applyAlignment="1"/>
    <xf numFmtId="0" fontId="0" fillId="11" borderId="0" xfId="0" applyFill="1" applyBorder="1"/>
    <xf numFmtId="0" fontId="3" fillId="11" borderId="0" xfId="0" applyFont="1" applyFill="1" applyBorder="1" applyAlignment="1">
      <alignment horizontal="center"/>
    </xf>
    <xf numFmtId="0" fontId="14" fillId="11" borderId="0" xfId="0" applyNumberFormat="1" applyFont="1" applyFill="1" applyBorder="1" applyAlignment="1">
      <alignment horizontal="center"/>
    </xf>
    <xf numFmtId="49" fontId="4" fillId="11" borderId="0" xfId="0" applyNumberFormat="1" applyFont="1" applyFill="1" applyBorder="1" applyAlignment="1">
      <alignment horizontal="center"/>
    </xf>
    <xf numFmtId="0" fontId="3" fillId="11" borderId="0" xfId="0" applyNumberFormat="1" applyFont="1" applyFill="1" applyBorder="1"/>
    <xf numFmtId="3" fontId="8" fillId="11" borderId="0" xfId="0" applyNumberFormat="1" applyFont="1" applyFill="1" applyBorder="1" applyAlignment="1">
      <alignment horizontal="right"/>
    </xf>
    <xf numFmtId="49" fontId="5" fillId="11" borderId="0" xfId="0" applyNumberFormat="1" applyFont="1" applyFill="1" applyBorder="1" applyAlignment="1">
      <alignment horizontal="center"/>
    </xf>
    <xf numFmtId="49" fontId="3" fillId="11" borderId="0" xfId="0" applyNumberFormat="1" applyFont="1" applyFill="1" applyBorder="1" applyAlignment="1">
      <alignment horizontal="center"/>
    </xf>
    <xf numFmtId="49" fontId="13" fillId="11" borderId="0" xfId="0" applyNumberFormat="1" applyFont="1" applyFill="1" applyBorder="1" applyAlignment="1">
      <alignment horizontal="center"/>
    </xf>
    <xf numFmtId="0" fontId="4" fillId="11" borderId="0" xfId="0" applyFont="1" applyFill="1" applyBorder="1"/>
    <xf numFmtId="0" fontId="3" fillId="11" borderId="0" xfId="0" applyFont="1" applyFill="1" applyBorder="1"/>
    <xf numFmtId="0" fontId="17" fillId="11" borderId="0" xfId="0" applyFont="1" applyFill="1" applyBorder="1"/>
    <xf numFmtId="3" fontId="27" fillId="11" borderId="0" xfId="0" applyNumberFormat="1" applyFont="1" applyFill="1" applyBorder="1"/>
    <xf numFmtId="49" fontId="13" fillId="15" borderId="3" xfId="0" applyNumberFormat="1" applyFont="1" applyFill="1" applyBorder="1" applyAlignment="1">
      <alignment horizontal="center"/>
    </xf>
    <xf numFmtId="49" fontId="4" fillId="15" borderId="3" xfId="0" applyNumberFormat="1" applyFont="1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4" fillId="15" borderId="2" xfId="0" applyFont="1" applyFill="1" applyBorder="1" applyAlignment="1">
      <alignment horizontal="center"/>
    </xf>
    <xf numFmtId="0" fontId="6" fillId="4" borderId="28" xfId="0" applyFont="1" applyFill="1" applyBorder="1" applyAlignment="1"/>
    <xf numFmtId="0" fontId="9" fillId="4" borderId="28" xfId="0" applyFont="1" applyFill="1" applyBorder="1" applyAlignment="1"/>
    <xf numFmtId="0" fontId="9" fillId="4" borderId="2" xfId="0" applyFont="1" applyFill="1" applyBorder="1" applyAlignment="1"/>
    <xf numFmtId="3" fontId="26" fillId="11" borderId="37" xfId="0" applyNumberFormat="1" applyFont="1" applyFill="1" applyBorder="1"/>
    <xf numFmtId="0" fontId="9" fillId="4" borderId="28" xfId="0" applyFont="1" applyFill="1" applyBorder="1" applyAlignment="1">
      <alignment horizontal="center"/>
    </xf>
    <xf numFmtId="3" fontId="6" fillId="12" borderId="33" xfId="0" applyNumberFormat="1" applyFont="1" applyFill="1" applyBorder="1"/>
    <xf numFmtId="3" fontId="6" fillId="0" borderId="33" xfId="0" applyNumberFormat="1" applyFont="1" applyFill="1" applyBorder="1"/>
    <xf numFmtId="3" fontId="9" fillId="0" borderId="33" xfId="0" applyNumberFormat="1" applyFont="1" applyFill="1" applyBorder="1"/>
    <xf numFmtId="0" fontId="20" fillId="11" borderId="0" xfId="0" applyFont="1" applyFill="1" applyBorder="1"/>
    <xf numFmtId="3" fontId="16" fillId="11" borderId="0" xfId="0" applyNumberFormat="1" applyFont="1" applyFill="1" applyBorder="1" applyAlignment="1">
      <alignment horizontal="right"/>
    </xf>
    <xf numFmtId="0" fontId="8" fillId="11" borderId="0" xfId="0" applyFont="1" applyFill="1" applyBorder="1" applyAlignment="1">
      <alignment horizontal="center"/>
    </xf>
    <xf numFmtId="0" fontId="37" fillId="11" borderId="0" xfId="0" applyFont="1" applyFill="1"/>
    <xf numFmtId="0" fontId="19" fillId="3" borderId="38" xfId="0" applyFont="1" applyFill="1" applyBorder="1" applyAlignment="1">
      <alignment horizontal="center"/>
    </xf>
    <xf numFmtId="0" fontId="10" fillId="3" borderId="41" xfId="0" applyFont="1" applyFill="1" applyBorder="1" applyAlignment="1"/>
    <xf numFmtId="0" fontId="27" fillId="3" borderId="41" xfId="0" applyFont="1" applyFill="1" applyBorder="1" applyAlignment="1"/>
    <xf numFmtId="0" fontId="3" fillId="3" borderId="42" xfId="0" applyFont="1" applyFill="1" applyBorder="1" applyAlignment="1"/>
    <xf numFmtId="0" fontId="27" fillId="3" borderId="0" xfId="0" applyFont="1" applyFill="1" applyBorder="1" applyAlignment="1"/>
    <xf numFmtId="0" fontId="3" fillId="3" borderId="9" xfId="0" applyFont="1" applyFill="1" applyBorder="1" applyAlignment="1"/>
    <xf numFmtId="3" fontId="13" fillId="0" borderId="41" xfId="0" applyNumberFormat="1" applyFont="1" applyFill="1" applyBorder="1" applyAlignment="1"/>
    <xf numFmtId="3" fontId="13" fillId="11" borderId="6" xfId="0" applyNumberFormat="1" applyFont="1" applyFill="1" applyBorder="1" applyAlignment="1">
      <alignment horizontal="right"/>
    </xf>
    <xf numFmtId="49" fontId="13" fillId="11" borderId="1" xfId="0" applyNumberFormat="1" applyFont="1" applyFill="1" applyBorder="1" applyAlignment="1">
      <alignment horizontal="center"/>
    </xf>
    <xf numFmtId="0" fontId="3" fillId="16" borderId="3" xfId="0" applyFont="1" applyFill="1" applyBorder="1" applyAlignment="1">
      <alignment horizontal="center"/>
    </xf>
    <xf numFmtId="0" fontId="6" fillId="16" borderId="2" xfId="0" applyFont="1" applyFill="1" applyBorder="1"/>
    <xf numFmtId="3" fontId="9" fillId="16" borderId="33" xfId="0" applyNumberFormat="1" applyFont="1" applyFill="1" applyBorder="1"/>
    <xf numFmtId="3" fontId="9" fillId="16" borderId="34" xfId="0" applyNumberFormat="1" applyFont="1" applyFill="1" applyBorder="1"/>
    <xf numFmtId="0" fontId="2" fillId="11" borderId="4" xfId="0" applyFont="1" applyFill="1" applyBorder="1" applyAlignment="1">
      <alignment horizontal="center"/>
    </xf>
    <xf numFmtId="49" fontId="4" fillId="11" borderId="1" xfId="0" applyNumberFormat="1" applyFont="1" applyFill="1" applyBorder="1" applyAlignment="1">
      <alignment horizontal="center"/>
    </xf>
    <xf numFmtId="49" fontId="5" fillId="12" borderId="7" xfId="0" applyNumberFormat="1" applyFont="1" applyFill="1" applyBorder="1" applyAlignment="1">
      <alignment horizontal="center"/>
    </xf>
    <xf numFmtId="49" fontId="5" fillId="12" borderId="24" xfId="0" applyNumberFormat="1" applyFont="1" applyFill="1" applyBorder="1" applyAlignment="1">
      <alignment horizontal="center"/>
    </xf>
    <xf numFmtId="49" fontId="2" fillId="12" borderId="24" xfId="0" applyNumberFormat="1" applyFont="1" applyFill="1" applyBorder="1" applyAlignment="1">
      <alignment horizontal="center"/>
    </xf>
    <xf numFmtId="0" fontId="52" fillId="12" borderId="43" xfId="0" applyFont="1" applyFill="1" applyBorder="1"/>
    <xf numFmtId="0" fontId="3" fillId="12" borderId="8" xfId="0" applyFont="1" applyFill="1" applyBorder="1"/>
    <xf numFmtId="49" fontId="58" fillId="17" borderId="38" xfId="0" applyNumberFormat="1" applyFont="1" applyFill="1" applyBorder="1" applyAlignment="1">
      <alignment horizontal="center"/>
    </xf>
    <xf numFmtId="0" fontId="57" fillId="17" borderId="38" xfId="0" applyFont="1" applyFill="1" applyBorder="1"/>
    <xf numFmtId="0" fontId="4" fillId="2" borderId="4" xfId="0" applyFont="1" applyFill="1" applyBorder="1"/>
    <xf numFmtId="49" fontId="3" fillId="3" borderId="19" xfId="0" applyNumberFormat="1" applyFont="1" applyFill="1" applyBorder="1" applyAlignment="1">
      <alignment horizontal="center"/>
    </xf>
    <xf numFmtId="0" fontId="16" fillId="3" borderId="44" xfId="0" applyFont="1" applyFill="1" applyBorder="1"/>
    <xf numFmtId="49" fontId="59" fillId="17" borderId="38" xfId="0" applyNumberFormat="1" applyFont="1" applyFill="1" applyBorder="1" applyAlignment="1">
      <alignment horizontal="center"/>
    </xf>
    <xf numFmtId="0" fontId="3" fillId="17" borderId="8" xfId="0" applyFont="1" applyFill="1" applyBorder="1"/>
    <xf numFmtId="49" fontId="5" fillId="2" borderId="11" xfId="0" applyNumberFormat="1" applyFont="1" applyFill="1" applyBorder="1" applyAlignment="1">
      <alignment horizontal="center"/>
    </xf>
    <xf numFmtId="0" fontId="1" fillId="11" borderId="0" xfId="0" applyFont="1" applyFill="1" applyAlignment="1">
      <alignment horizontal="center"/>
    </xf>
    <xf numFmtId="0" fontId="0" fillId="11" borderId="0" xfId="0" applyFill="1" applyAlignment="1">
      <alignment horizontal="center"/>
    </xf>
    <xf numFmtId="49" fontId="4" fillId="11" borderId="11" xfId="0" applyNumberFormat="1" applyFont="1" applyFill="1" applyBorder="1" applyAlignment="1">
      <alignment horizontal="center"/>
    </xf>
    <xf numFmtId="0" fontId="21" fillId="11" borderId="0" xfId="0" applyFont="1" applyFill="1" applyBorder="1"/>
    <xf numFmtId="3" fontId="21" fillId="11" borderId="40" xfId="0" applyNumberFormat="1" applyFont="1" applyFill="1" applyBorder="1"/>
    <xf numFmtId="0" fontId="47" fillId="5" borderId="17" xfId="0" applyFont="1" applyFill="1" applyBorder="1"/>
    <xf numFmtId="0" fontId="51" fillId="6" borderId="45" xfId="0" applyFont="1" applyFill="1" applyBorder="1"/>
    <xf numFmtId="0" fontId="51" fillId="6" borderId="23" xfId="0" applyFont="1" applyFill="1" applyBorder="1"/>
    <xf numFmtId="49" fontId="3" fillId="3" borderId="46" xfId="0" applyNumberFormat="1" applyFont="1" applyFill="1" applyBorder="1" applyAlignment="1">
      <alignment horizontal="center"/>
    </xf>
    <xf numFmtId="0" fontId="3" fillId="8" borderId="0" xfId="0" applyFont="1" applyFill="1" applyBorder="1"/>
    <xf numFmtId="0" fontId="3" fillId="8" borderId="6" xfId="0" applyFont="1" applyFill="1" applyBorder="1"/>
    <xf numFmtId="0" fontId="68" fillId="2" borderId="6" xfId="0" applyFont="1" applyFill="1" applyBorder="1"/>
    <xf numFmtId="0" fontId="68" fillId="0" borderId="6" xfId="0" applyFont="1" applyFill="1" applyBorder="1"/>
    <xf numFmtId="0" fontId="8" fillId="3" borderId="5" xfId="0" applyFont="1" applyFill="1" applyBorder="1" applyAlignment="1">
      <alignment vertical="center"/>
    </xf>
    <xf numFmtId="0" fontId="3" fillId="2" borderId="5" xfId="0" applyFont="1" applyFill="1" applyBorder="1"/>
    <xf numFmtId="0" fontId="3" fillId="2" borderId="23" xfId="0" applyFont="1" applyFill="1" applyBorder="1"/>
    <xf numFmtId="0" fontId="3" fillId="2" borderId="6" xfId="0" applyNumberFormat="1" applyFont="1" applyFill="1" applyBorder="1"/>
    <xf numFmtId="0" fontId="3" fillId="2" borderId="5" xfId="0" applyNumberFormat="1" applyFont="1" applyFill="1" applyBorder="1"/>
    <xf numFmtId="0" fontId="3" fillId="11" borderId="6" xfId="0" applyFont="1" applyFill="1" applyBorder="1"/>
    <xf numFmtId="0" fontId="4" fillId="0" borderId="6" xfId="0" applyFont="1" applyFill="1" applyBorder="1"/>
    <xf numFmtId="0" fontId="13" fillId="2" borderId="6" xfId="0" applyFont="1" applyFill="1" applyBorder="1"/>
    <xf numFmtId="0" fontId="8" fillId="3" borderId="6" xfId="0" applyFont="1" applyFill="1" applyBorder="1" applyAlignment="1">
      <alignment vertical="center"/>
    </xf>
    <xf numFmtId="0" fontId="3" fillId="8" borderId="5" xfId="0" applyFont="1" applyFill="1" applyBorder="1"/>
    <xf numFmtId="0" fontId="3" fillId="2" borderId="41" xfId="0" applyNumberFormat="1" applyFont="1" applyFill="1" applyBorder="1"/>
    <xf numFmtId="3" fontId="13" fillId="11" borderId="47" xfId="0" applyNumberFormat="1" applyFont="1" applyFill="1" applyBorder="1" applyAlignment="1">
      <alignment horizontal="right"/>
    </xf>
    <xf numFmtId="0" fontId="19" fillId="2" borderId="6" xfId="0" applyFont="1" applyFill="1" applyBorder="1"/>
    <xf numFmtId="3" fontId="40" fillId="15" borderId="29" xfId="0" applyNumberFormat="1" applyFont="1" applyFill="1" applyBorder="1"/>
    <xf numFmtId="3" fontId="40" fillId="0" borderId="0" xfId="0" applyNumberFormat="1" applyFont="1" applyFill="1" applyBorder="1" applyAlignment="1">
      <alignment horizontal="right"/>
    </xf>
    <xf numFmtId="3" fontId="40" fillId="4" borderId="29" xfId="0" applyNumberFormat="1" applyFont="1" applyFill="1" applyBorder="1"/>
    <xf numFmtId="3" fontId="44" fillId="0" borderId="0" xfId="0" applyNumberFormat="1" applyFont="1" applyFill="1" applyBorder="1" applyAlignment="1">
      <alignment horizontal="right"/>
    </xf>
    <xf numFmtId="3" fontId="40" fillId="11" borderId="0" xfId="0" applyNumberFormat="1" applyFont="1" applyFill="1" applyBorder="1" applyAlignment="1">
      <alignment horizontal="right"/>
    </xf>
    <xf numFmtId="3" fontId="40" fillId="15" borderId="37" xfId="0" applyNumberFormat="1" applyFont="1" applyFill="1" applyBorder="1"/>
    <xf numFmtId="3" fontId="9" fillId="11" borderId="0" xfId="0" applyNumberFormat="1" applyFont="1" applyFill="1" applyBorder="1" applyAlignment="1">
      <alignment horizontal="right"/>
    </xf>
    <xf numFmtId="3" fontId="9" fillId="11" borderId="6" xfId="0" applyNumberFormat="1" applyFont="1" applyFill="1" applyBorder="1" applyAlignment="1">
      <alignment horizontal="right"/>
    </xf>
    <xf numFmtId="3" fontId="40" fillId="4" borderId="37" xfId="0" applyNumberFormat="1" applyFont="1" applyFill="1" applyBorder="1"/>
    <xf numFmtId="3" fontId="26" fillId="11" borderId="0" xfId="0" applyNumberFormat="1" applyFont="1" applyFill="1" applyBorder="1" applyAlignment="1">
      <alignment horizontal="right"/>
    </xf>
    <xf numFmtId="3" fontId="26" fillId="11" borderId="5" xfId="0" applyNumberFormat="1" applyFont="1" applyFill="1" applyBorder="1" applyAlignment="1">
      <alignment horizontal="right"/>
    </xf>
    <xf numFmtId="3" fontId="9" fillId="11" borderId="5" xfId="0" applyNumberFormat="1" applyFont="1" applyFill="1" applyBorder="1" applyAlignment="1">
      <alignment horizontal="right"/>
    </xf>
    <xf numFmtId="3" fontId="44" fillId="11" borderId="0" xfId="0" applyNumberFormat="1" applyFont="1" applyFill="1" applyBorder="1" applyAlignment="1">
      <alignment horizontal="right"/>
    </xf>
    <xf numFmtId="3" fontId="26" fillId="11" borderId="6" xfId="0" applyNumberFormat="1" applyFont="1" applyFill="1" applyBorder="1" applyAlignment="1">
      <alignment horizontal="right"/>
    </xf>
    <xf numFmtId="3" fontId="26" fillId="11" borderId="47" xfId="0" applyNumberFormat="1" applyFont="1" applyFill="1" applyBorder="1" applyAlignment="1">
      <alignment horizontal="right"/>
    </xf>
    <xf numFmtId="3" fontId="40" fillId="15" borderId="33" xfId="0" applyNumberFormat="1" applyFont="1" applyFill="1" applyBorder="1"/>
    <xf numFmtId="3" fontId="40" fillId="15" borderId="34" xfId="0" applyNumberFormat="1" applyFont="1" applyFill="1" applyBorder="1"/>
    <xf numFmtId="3" fontId="40" fillId="0" borderId="0" xfId="0" applyNumberFormat="1" applyFont="1" applyFill="1" applyBorder="1" applyAlignment="1"/>
    <xf numFmtId="3" fontId="40" fillId="11" borderId="29" xfId="0" applyNumberFormat="1" applyFont="1" applyFill="1" applyBorder="1"/>
    <xf numFmtId="3" fontId="9" fillId="11" borderId="47" xfId="0" applyNumberFormat="1" applyFont="1" applyFill="1" applyBorder="1" applyAlignment="1">
      <alignment horizontal="right"/>
    </xf>
    <xf numFmtId="0" fontId="1" fillId="0" borderId="31" xfId="0" applyFont="1" applyBorder="1" applyAlignment="1">
      <alignment horizontal="center"/>
    </xf>
    <xf numFmtId="0" fontId="3" fillId="11" borderId="42" xfId="0" applyFont="1" applyFill="1" applyBorder="1" applyAlignment="1">
      <alignment horizontal="center"/>
    </xf>
    <xf numFmtId="0" fontId="3" fillId="3" borderId="6" xfId="0" applyFont="1" applyFill="1" applyBorder="1" applyAlignment="1"/>
    <xf numFmtId="0" fontId="21" fillId="11" borderId="6" xfId="0" applyFont="1" applyFill="1" applyBorder="1"/>
    <xf numFmtId="0" fontId="3" fillId="3" borderId="5" xfId="0" applyFont="1" applyFill="1" applyBorder="1" applyAlignment="1"/>
    <xf numFmtId="0" fontId="9" fillId="4" borderId="1" xfId="0" applyFont="1" applyFill="1" applyBorder="1" applyAlignment="1"/>
    <xf numFmtId="0" fontId="21" fillId="11" borderId="42" xfId="0" applyFont="1" applyFill="1" applyBorder="1"/>
    <xf numFmtId="0" fontId="3" fillId="18" borderId="3" xfId="0" applyFont="1" applyFill="1" applyBorder="1" applyAlignment="1">
      <alignment horizontal="center"/>
    </xf>
    <xf numFmtId="0" fontId="6" fillId="18" borderId="2" xfId="0" applyFont="1" applyFill="1" applyBorder="1"/>
    <xf numFmtId="3" fontId="13" fillId="18" borderId="0" xfId="0" applyNumberFormat="1" applyFont="1" applyFill="1" applyBorder="1" applyAlignment="1">
      <alignment horizontal="right"/>
    </xf>
    <xf numFmtId="3" fontId="9" fillId="18" borderId="29" xfId="0" applyNumberFormat="1" applyFont="1" applyFill="1" applyBorder="1"/>
    <xf numFmtId="3" fontId="4" fillId="18" borderId="0" xfId="0" applyNumberFormat="1" applyFont="1" applyFill="1" applyBorder="1" applyAlignment="1">
      <alignment horizontal="right"/>
    </xf>
    <xf numFmtId="3" fontId="9" fillId="18" borderId="33" xfId="0" applyNumberFormat="1" applyFont="1" applyFill="1" applyBorder="1"/>
    <xf numFmtId="0" fontId="3" fillId="11" borderId="5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3" fontId="21" fillId="0" borderId="33" xfId="0" applyNumberFormat="1" applyFont="1" applyFill="1" applyBorder="1"/>
    <xf numFmtId="0" fontId="21" fillId="0" borderId="2" xfId="0" applyFont="1" applyFill="1" applyBorder="1"/>
    <xf numFmtId="0" fontId="4" fillId="11" borderId="6" xfId="0" applyFont="1" applyFill="1" applyBorder="1" applyAlignment="1">
      <alignment horizontal="center"/>
    </xf>
    <xf numFmtId="49" fontId="5" fillId="2" borderId="9" xfId="0" applyNumberFormat="1" applyFont="1" applyFill="1" applyBorder="1" applyAlignment="1">
      <alignment horizontal="center"/>
    </xf>
    <xf numFmtId="49" fontId="3" fillId="2" borderId="9" xfId="0" applyNumberFormat="1" applyFont="1" applyFill="1" applyBorder="1" applyAlignment="1">
      <alignment horizontal="center"/>
    </xf>
    <xf numFmtId="0" fontId="3" fillId="11" borderId="41" xfId="0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3" fontId="64" fillId="19" borderId="48" xfId="0" applyNumberFormat="1" applyFont="1" applyFill="1" applyBorder="1" applyAlignment="1">
      <alignment vertical="center"/>
    </xf>
    <xf numFmtId="3" fontId="55" fillId="19" borderId="34" xfId="0" applyNumberFormat="1" applyFont="1" applyFill="1" applyBorder="1" applyAlignment="1"/>
    <xf numFmtId="3" fontId="55" fillId="19" borderId="33" xfId="0" applyNumberFormat="1" applyFont="1" applyFill="1" applyBorder="1" applyAlignment="1"/>
    <xf numFmtId="3" fontId="84" fillId="19" borderId="29" xfId="0" applyNumberFormat="1" applyFont="1" applyFill="1" applyBorder="1"/>
    <xf numFmtId="3" fontId="55" fillId="19" borderId="30" xfId="0" applyNumberFormat="1" applyFont="1" applyFill="1" applyBorder="1" applyAlignment="1"/>
    <xf numFmtId="3" fontId="9" fillId="14" borderId="1" xfId="0" applyNumberFormat="1" applyFont="1" applyFill="1" applyBorder="1" applyAlignment="1">
      <alignment horizontal="right"/>
    </xf>
    <xf numFmtId="3" fontId="46" fillId="13" borderId="16" xfId="0" applyNumberFormat="1" applyFont="1" applyFill="1" applyBorder="1" applyAlignment="1">
      <alignment vertical="center"/>
    </xf>
    <xf numFmtId="3" fontId="32" fillId="13" borderId="3" xfId="0" applyNumberFormat="1" applyFont="1" applyFill="1" applyBorder="1" applyAlignment="1"/>
    <xf numFmtId="3" fontId="21" fillId="14" borderId="49" xfId="0" applyNumberFormat="1" applyFont="1" applyFill="1" applyBorder="1" applyAlignment="1">
      <alignment horizontal="right"/>
    </xf>
    <xf numFmtId="3" fontId="32" fillId="13" borderId="1" xfId="0" applyNumberFormat="1" applyFont="1" applyFill="1" applyBorder="1" applyAlignment="1"/>
    <xf numFmtId="3" fontId="21" fillId="11" borderId="3" xfId="0" applyNumberFormat="1" applyFont="1" applyFill="1" applyBorder="1" applyAlignment="1">
      <alignment horizontal="right"/>
    </xf>
    <xf numFmtId="3" fontId="44" fillId="11" borderId="49" xfId="0" applyNumberFormat="1" applyFont="1" applyFill="1" applyBorder="1" applyAlignment="1">
      <alignment horizontal="right"/>
    </xf>
    <xf numFmtId="3" fontId="32" fillId="13" borderId="38" xfId="0" applyNumberFormat="1" applyFont="1" applyFill="1" applyBorder="1" applyAlignment="1"/>
    <xf numFmtId="3" fontId="21" fillId="11" borderId="38" xfId="0" applyNumberFormat="1" applyFont="1" applyFill="1" applyBorder="1" applyAlignment="1">
      <alignment horizontal="right"/>
    </xf>
    <xf numFmtId="3" fontId="9" fillId="14" borderId="3" xfId="0" applyNumberFormat="1" applyFont="1" applyFill="1" applyBorder="1" applyAlignment="1">
      <alignment horizontal="right"/>
    </xf>
    <xf numFmtId="3" fontId="6" fillId="12" borderId="1" xfId="0" applyNumberFormat="1" applyFont="1" applyFill="1" applyBorder="1" applyAlignment="1">
      <alignment horizontal="right"/>
    </xf>
    <xf numFmtId="3" fontId="6" fillId="11" borderId="1" xfId="0" applyNumberFormat="1" applyFont="1" applyFill="1" applyBorder="1" applyAlignment="1">
      <alignment horizontal="right"/>
    </xf>
    <xf numFmtId="3" fontId="21" fillId="11" borderId="7" xfId="0" applyNumberFormat="1" applyFont="1" applyFill="1" applyBorder="1" applyAlignment="1">
      <alignment horizontal="right"/>
    </xf>
    <xf numFmtId="3" fontId="32" fillId="19" borderId="34" xfId="0" applyNumberFormat="1" applyFont="1" applyFill="1" applyBorder="1" applyAlignment="1"/>
    <xf numFmtId="3" fontId="32" fillId="19" borderId="33" xfId="0" applyNumberFormat="1" applyFont="1" applyFill="1" applyBorder="1" applyAlignment="1"/>
    <xf numFmtId="3" fontId="71" fillId="19" borderId="48" xfId="0" applyNumberFormat="1" applyFont="1" applyFill="1" applyBorder="1" applyAlignment="1">
      <alignment vertical="center"/>
    </xf>
    <xf numFmtId="3" fontId="53" fillId="13" borderId="3" xfId="0" applyNumberFormat="1" applyFont="1" applyFill="1" applyBorder="1" applyAlignment="1"/>
    <xf numFmtId="3" fontId="9" fillId="12" borderId="1" xfId="0" applyNumberFormat="1" applyFont="1" applyFill="1" applyBorder="1" applyAlignment="1">
      <alignment horizontal="right"/>
    </xf>
    <xf numFmtId="3" fontId="60" fillId="13" borderId="19" xfId="0" applyNumberFormat="1" applyFont="1" applyFill="1" applyBorder="1" applyAlignment="1"/>
    <xf numFmtId="3" fontId="6" fillId="11" borderId="49" xfId="0" applyNumberFormat="1" applyFont="1" applyFill="1" applyBorder="1" applyAlignment="1">
      <alignment horizontal="right"/>
    </xf>
    <xf numFmtId="3" fontId="60" fillId="13" borderId="1" xfId="0" applyNumberFormat="1" applyFont="1" applyFill="1" applyBorder="1" applyAlignment="1"/>
    <xf numFmtId="3" fontId="21" fillId="0" borderId="1" xfId="0" applyNumberFormat="1" applyFont="1" applyFill="1" applyBorder="1" applyAlignment="1">
      <alignment horizontal="right"/>
    </xf>
    <xf numFmtId="3" fontId="26" fillId="11" borderId="1" xfId="0" applyNumberFormat="1" applyFont="1" applyFill="1" applyBorder="1" applyAlignment="1">
      <alignment horizontal="right"/>
    </xf>
    <xf numFmtId="3" fontId="85" fillId="13" borderId="3" xfId="0" applyNumberFormat="1" applyFont="1" applyFill="1" applyBorder="1" applyAlignment="1"/>
    <xf numFmtId="3" fontId="9" fillId="14" borderId="49" xfId="0" applyNumberFormat="1" applyFont="1" applyFill="1" applyBorder="1" applyAlignment="1">
      <alignment horizontal="right"/>
    </xf>
    <xf numFmtId="3" fontId="9" fillId="11" borderId="49" xfId="0" applyNumberFormat="1" applyFont="1" applyFill="1" applyBorder="1" applyAlignment="1">
      <alignment horizontal="right"/>
    </xf>
    <xf numFmtId="3" fontId="6" fillId="14" borderId="49" xfId="0" applyNumberFormat="1" applyFont="1" applyFill="1" applyBorder="1" applyAlignment="1">
      <alignment horizontal="right"/>
    </xf>
    <xf numFmtId="3" fontId="6" fillId="18" borderId="1" xfId="0" applyNumberFormat="1" applyFont="1" applyFill="1" applyBorder="1" applyAlignment="1">
      <alignment horizontal="right"/>
    </xf>
    <xf numFmtId="3" fontId="46" fillId="13" borderId="50" xfId="0" applyNumberFormat="1" applyFont="1" applyFill="1" applyBorder="1" applyAlignment="1">
      <alignment vertical="center"/>
    </xf>
    <xf numFmtId="3" fontId="0" fillId="11" borderId="0" xfId="0" applyNumberFormat="1" applyFill="1" applyBorder="1"/>
    <xf numFmtId="49" fontId="13" fillId="11" borderId="5" xfId="0" applyNumberFormat="1" applyFont="1" applyFill="1" applyBorder="1" applyAlignment="1">
      <alignment horizontal="center"/>
    </xf>
    <xf numFmtId="0" fontId="23" fillId="0" borderId="26" xfId="0" applyFont="1" applyBorder="1"/>
    <xf numFmtId="3" fontId="46" fillId="20" borderId="16" xfId="0" applyNumberFormat="1" applyFont="1" applyFill="1" applyBorder="1" applyAlignment="1">
      <alignment vertical="center"/>
    </xf>
    <xf numFmtId="3" fontId="60" fillId="20" borderId="19" xfId="0" applyNumberFormat="1" applyFont="1" applyFill="1" applyBorder="1" applyAlignment="1"/>
    <xf numFmtId="3" fontId="60" fillId="20" borderId="1" xfId="0" applyNumberFormat="1" applyFont="1" applyFill="1" applyBorder="1" applyAlignment="1"/>
    <xf numFmtId="3" fontId="60" fillId="20" borderId="7" xfId="0" applyNumberFormat="1" applyFont="1" applyFill="1" applyBorder="1" applyAlignment="1"/>
    <xf numFmtId="3" fontId="32" fillId="20" borderId="1" xfId="0" applyNumberFormat="1" applyFont="1" applyFill="1" applyBorder="1" applyAlignment="1"/>
    <xf numFmtId="3" fontId="60" fillId="20" borderId="3" xfId="0" applyNumberFormat="1" applyFont="1" applyFill="1" applyBorder="1" applyAlignment="1"/>
    <xf numFmtId="3" fontId="46" fillId="20" borderId="50" xfId="0" applyNumberFormat="1" applyFont="1" applyFill="1" applyBorder="1" applyAlignment="1">
      <alignment vertical="center"/>
    </xf>
    <xf numFmtId="3" fontId="60" fillId="20" borderId="38" xfId="0" applyNumberFormat="1" applyFont="1" applyFill="1" applyBorder="1" applyAlignment="1"/>
    <xf numFmtId="3" fontId="85" fillId="20" borderId="3" xfId="0" applyNumberFormat="1" applyFont="1" applyFill="1" applyBorder="1" applyAlignment="1"/>
    <xf numFmtId="3" fontId="64" fillId="19" borderId="51" xfId="0" applyNumberFormat="1" applyFont="1" applyFill="1" applyBorder="1" applyAlignment="1">
      <alignment vertical="center"/>
    </xf>
    <xf numFmtId="0" fontId="78" fillId="11" borderId="0" xfId="0" applyFont="1" applyFill="1" applyBorder="1" applyAlignment="1"/>
    <xf numFmtId="0" fontId="3" fillId="21" borderId="10" xfId="0" applyFont="1" applyFill="1" applyBorder="1" applyAlignment="1">
      <alignment horizontal="center" vertical="center"/>
    </xf>
    <xf numFmtId="0" fontId="9" fillId="21" borderId="28" xfId="0" applyFont="1" applyFill="1" applyBorder="1" applyAlignment="1"/>
    <xf numFmtId="0" fontId="39" fillId="21" borderId="6" xfId="0" applyFont="1" applyFill="1" applyBorder="1" applyAlignment="1"/>
    <xf numFmtId="3" fontId="32" fillId="20" borderId="19" xfId="0" applyNumberFormat="1" applyFont="1" applyFill="1" applyBorder="1" applyAlignment="1"/>
    <xf numFmtId="3" fontId="40" fillId="2" borderId="1" xfId="0" applyNumberFormat="1" applyFont="1" applyFill="1" applyBorder="1" applyAlignment="1">
      <alignment horizontal="right"/>
    </xf>
    <xf numFmtId="3" fontId="40" fillId="4" borderId="1" xfId="0" applyNumberFormat="1" applyFont="1" applyFill="1" applyBorder="1" applyAlignment="1">
      <alignment horizontal="right"/>
    </xf>
    <xf numFmtId="3" fontId="40" fillId="15" borderId="1" xfId="0" applyNumberFormat="1" applyFont="1" applyFill="1" applyBorder="1" applyAlignment="1">
      <alignment horizontal="right"/>
    </xf>
    <xf numFmtId="3" fontId="40" fillId="4" borderId="3" xfId="0" applyNumberFormat="1" applyFont="1" applyFill="1" applyBorder="1" applyAlignment="1">
      <alignment horizontal="right"/>
    </xf>
    <xf numFmtId="3" fontId="6" fillId="16" borderId="1" xfId="0" applyNumberFormat="1" applyFont="1" applyFill="1" applyBorder="1" applyAlignment="1">
      <alignment horizontal="right"/>
    </xf>
    <xf numFmtId="3" fontId="40" fillId="12" borderId="1" xfId="0" applyNumberFormat="1" applyFont="1" applyFill="1" applyBorder="1" applyAlignment="1">
      <alignment horizontal="right"/>
    </xf>
    <xf numFmtId="3" fontId="26" fillId="11" borderId="3" xfId="0" applyNumberFormat="1" applyFont="1" applyFill="1" applyBorder="1" applyAlignment="1">
      <alignment horizontal="right"/>
    </xf>
    <xf numFmtId="3" fontId="40" fillId="11" borderId="1" xfId="0" applyNumberFormat="1" applyFont="1" applyFill="1" applyBorder="1" applyAlignment="1">
      <alignment horizontal="right"/>
    </xf>
    <xf numFmtId="3" fontId="6" fillId="11" borderId="3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3" fontId="26" fillId="11" borderId="49" xfId="0" applyNumberFormat="1" applyFont="1" applyFill="1" applyBorder="1" applyAlignment="1">
      <alignment horizontal="right"/>
    </xf>
    <xf numFmtId="3" fontId="6" fillId="16" borderId="3" xfId="0" applyNumberFormat="1" applyFont="1" applyFill="1" applyBorder="1" applyAlignment="1">
      <alignment horizontal="right"/>
    </xf>
    <xf numFmtId="49" fontId="13" fillId="11" borderId="26" xfId="0" applyNumberFormat="1" applyFont="1" applyFill="1" applyBorder="1" applyAlignment="1">
      <alignment horizontal="center"/>
    </xf>
    <xf numFmtId="3" fontId="71" fillId="20" borderId="16" xfId="0" applyNumberFormat="1" applyFont="1" applyFill="1" applyBorder="1" applyAlignment="1">
      <alignment vertical="center"/>
    </xf>
    <xf numFmtId="3" fontId="60" fillId="13" borderId="7" xfId="0" applyNumberFormat="1" applyFont="1" applyFill="1" applyBorder="1" applyAlignment="1"/>
    <xf numFmtId="3" fontId="55" fillId="19" borderId="40" xfId="0" applyNumberFormat="1" applyFont="1" applyFill="1" applyBorder="1" applyAlignment="1"/>
    <xf numFmtId="0" fontId="12" fillId="22" borderId="53" xfId="0" applyFont="1" applyFill="1" applyBorder="1" applyAlignment="1">
      <alignment horizontal="left" vertical="center"/>
    </xf>
    <xf numFmtId="0" fontId="3" fillId="22" borderId="10" xfId="0" applyFont="1" applyFill="1" applyBorder="1" applyAlignment="1">
      <alignment horizontal="center" vertical="center"/>
    </xf>
    <xf numFmtId="0" fontId="69" fillId="22" borderId="28" xfId="0" applyFont="1" applyFill="1" applyBorder="1"/>
    <xf numFmtId="0" fontId="3" fillId="22" borderId="12" xfId="0" applyFont="1" applyFill="1" applyBorder="1" applyAlignment="1">
      <alignment horizontal="center" vertical="center"/>
    </xf>
    <xf numFmtId="0" fontId="69" fillId="22" borderId="26" xfId="0" applyFont="1" applyFill="1" applyBorder="1"/>
    <xf numFmtId="0" fontId="50" fillId="23" borderId="10" xfId="0" applyFont="1" applyFill="1" applyBorder="1" applyAlignment="1">
      <alignment horizontal="center" vertical="center"/>
    </xf>
    <xf numFmtId="0" fontId="80" fillId="0" borderId="26" xfId="0" applyFont="1" applyBorder="1" applyAlignment="1">
      <alignment horizontal="left"/>
    </xf>
    <xf numFmtId="0" fontId="80" fillId="0" borderId="26" xfId="0" applyFont="1" applyBorder="1"/>
    <xf numFmtId="3" fontId="4" fillId="11" borderId="0" xfId="0" applyNumberFormat="1" applyFont="1" applyFill="1" applyBorder="1" applyAlignment="1">
      <alignment horizontal="right" vertical="center"/>
    </xf>
    <xf numFmtId="3" fontId="21" fillId="11" borderId="33" xfId="0" applyNumberFormat="1" applyFont="1" applyFill="1" applyBorder="1" applyAlignment="1">
      <alignment horizontal="right" vertical="center"/>
    </xf>
    <xf numFmtId="0" fontId="79" fillId="11" borderId="2" xfId="0" applyFont="1" applyFill="1" applyBorder="1" applyAlignment="1">
      <alignment horizontal="left" vertical="center" wrapText="1"/>
    </xf>
    <xf numFmtId="0" fontId="3" fillId="11" borderId="3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81" fillId="11" borderId="0" xfId="0" applyFont="1" applyFill="1" applyBorder="1" applyAlignment="1"/>
    <xf numFmtId="0" fontId="3" fillId="11" borderId="2" xfId="0" applyFont="1" applyFill="1" applyBorder="1" applyAlignment="1">
      <alignment horizontal="center" vertical="center"/>
    </xf>
    <xf numFmtId="3" fontId="21" fillId="11" borderId="33" xfId="0" applyNumberFormat="1" applyFont="1" applyFill="1" applyBorder="1" applyAlignment="1">
      <alignment vertical="center"/>
    </xf>
    <xf numFmtId="0" fontId="79" fillId="0" borderId="2" xfId="0" applyFont="1" applyFill="1" applyBorder="1" applyAlignment="1">
      <alignment vertical="center" wrapText="1"/>
    </xf>
    <xf numFmtId="0" fontId="3" fillId="11" borderId="4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3" fontId="26" fillId="11" borderId="33" xfId="0" applyNumberFormat="1" applyFont="1" applyFill="1" applyBorder="1" applyAlignment="1">
      <alignment vertical="center"/>
    </xf>
    <xf numFmtId="0" fontId="68" fillId="0" borderId="2" xfId="0" applyFont="1" applyFill="1" applyBorder="1"/>
    <xf numFmtId="3" fontId="21" fillId="11" borderId="11" xfId="0" applyNumberFormat="1" applyFont="1" applyFill="1" applyBorder="1" applyAlignment="1">
      <alignment horizontal="right"/>
    </xf>
    <xf numFmtId="3" fontId="9" fillId="11" borderId="3" xfId="0" applyNumberFormat="1" applyFont="1" applyFill="1" applyBorder="1" applyAlignment="1">
      <alignment horizontal="right"/>
    </xf>
    <xf numFmtId="3" fontId="6" fillId="14" borderId="11" xfId="0" applyNumberFormat="1" applyFont="1" applyFill="1" applyBorder="1" applyAlignment="1">
      <alignment horizontal="right"/>
    </xf>
    <xf numFmtId="0" fontId="3" fillId="11" borderId="6" xfId="0" applyFont="1" applyFill="1" applyBorder="1" applyAlignment="1">
      <alignment horizontal="center" vertical="center"/>
    </xf>
    <xf numFmtId="3" fontId="21" fillId="11" borderId="3" xfId="0" applyNumberFormat="1" applyFont="1" applyFill="1" applyBorder="1" applyAlignment="1">
      <alignment horizontal="right" vertical="center"/>
    </xf>
    <xf numFmtId="3" fontId="26" fillId="11" borderId="34" xfId="0" applyNumberFormat="1" applyFont="1" applyFill="1" applyBorder="1" applyAlignment="1">
      <alignment vertical="center"/>
    </xf>
    <xf numFmtId="49" fontId="5" fillId="2" borderId="49" xfId="0" applyNumberFormat="1" applyFont="1" applyFill="1" applyBorder="1" applyAlignment="1">
      <alignment horizontal="center"/>
    </xf>
    <xf numFmtId="49" fontId="5" fillId="2" borderId="54" xfId="0" applyNumberFormat="1" applyFont="1" applyFill="1" applyBorder="1" applyAlignment="1">
      <alignment horizontal="center"/>
    </xf>
    <xf numFmtId="49" fontId="3" fillId="2" borderId="54" xfId="0" applyNumberFormat="1" applyFont="1" applyFill="1" applyBorder="1" applyAlignment="1">
      <alignment horizontal="center"/>
    </xf>
    <xf numFmtId="0" fontId="3" fillId="0" borderId="47" xfId="0" applyFont="1" applyBorder="1"/>
    <xf numFmtId="0" fontId="3" fillId="2" borderId="47" xfId="0" applyFont="1" applyFill="1" applyBorder="1"/>
    <xf numFmtId="0" fontId="3" fillId="11" borderId="54" xfId="0" applyFont="1" applyFill="1" applyBorder="1" applyAlignment="1">
      <alignment horizontal="center"/>
    </xf>
    <xf numFmtId="0" fontId="3" fillId="11" borderId="47" xfId="0" applyFont="1" applyFill="1" applyBorder="1" applyAlignment="1">
      <alignment horizontal="center"/>
    </xf>
    <xf numFmtId="0" fontId="21" fillId="11" borderId="54" xfId="0" applyFont="1" applyFill="1" applyBorder="1"/>
    <xf numFmtId="0" fontId="79" fillId="0" borderId="2" xfId="0" applyFont="1" applyFill="1" applyBorder="1" applyAlignment="1">
      <alignment horizontal="left" vertical="center" wrapText="1"/>
    </xf>
    <xf numFmtId="3" fontId="22" fillId="8" borderId="33" xfId="0" applyNumberFormat="1" applyFont="1" applyFill="1" applyBorder="1" applyAlignment="1">
      <alignment horizontal="right"/>
    </xf>
    <xf numFmtId="3" fontId="22" fillId="8" borderId="34" xfId="0" applyNumberFormat="1" applyFont="1" applyFill="1" applyBorder="1" applyAlignment="1">
      <alignment horizontal="right"/>
    </xf>
    <xf numFmtId="3" fontId="8" fillId="2" borderId="34" xfId="0" applyNumberFormat="1" applyFont="1" applyFill="1" applyBorder="1" applyAlignment="1">
      <alignment horizontal="right"/>
    </xf>
    <xf numFmtId="3" fontId="32" fillId="25" borderId="33" xfId="0" applyNumberFormat="1" applyFont="1" applyFill="1" applyBorder="1" applyAlignment="1">
      <alignment horizontal="right" vertical="center"/>
    </xf>
    <xf numFmtId="3" fontId="21" fillId="11" borderId="34" xfId="0" applyNumberFormat="1" applyFont="1" applyFill="1" applyBorder="1" applyAlignment="1">
      <alignment horizontal="right"/>
    </xf>
    <xf numFmtId="3" fontId="6" fillId="2" borderId="34" xfId="0" applyNumberFormat="1" applyFont="1" applyFill="1" applyBorder="1" applyAlignment="1">
      <alignment horizontal="right"/>
    </xf>
    <xf numFmtId="3" fontId="21" fillId="0" borderId="3" xfId="0" applyNumberFormat="1" applyFont="1" applyFill="1" applyBorder="1" applyAlignment="1">
      <alignment horizontal="right"/>
    </xf>
    <xf numFmtId="3" fontId="6" fillId="11" borderId="34" xfId="0" applyNumberFormat="1" applyFont="1" applyFill="1" applyBorder="1"/>
    <xf numFmtId="49" fontId="13" fillId="11" borderId="38" xfId="0" applyNumberFormat="1" applyFont="1" applyFill="1" applyBorder="1" applyAlignment="1">
      <alignment horizontal="center"/>
    </xf>
    <xf numFmtId="49" fontId="4" fillId="11" borderId="38" xfId="0" applyNumberFormat="1" applyFont="1" applyFill="1" applyBorder="1" applyAlignment="1">
      <alignment horizontal="center"/>
    </xf>
    <xf numFmtId="0" fontId="21" fillId="11" borderId="38" xfId="0" applyFont="1" applyFill="1" applyBorder="1"/>
    <xf numFmtId="3" fontId="21" fillId="11" borderId="34" xfId="0" applyNumberFormat="1" applyFont="1" applyFill="1" applyBorder="1" applyAlignment="1">
      <alignment horizontal="right" vertical="center"/>
    </xf>
    <xf numFmtId="3" fontId="40" fillId="4" borderId="4" xfId="0" applyNumberFormat="1" applyFont="1" applyFill="1" applyBorder="1" applyAlignment="1">
      <alignment horizontal="right"/>
    </xf>
    <xf numFmtId="0" fontId="6" fillId="11" borderId="1" xfId="0" applyFont="1" applyFill="1" applyBorder="1"/>
    <xf numFmtId="3" fontId="7" fillId="2" borderId="33" xfId="0" applyNumberFormat="1" applyFont="1" applyFill="1" applyBorder="1" applyAlignment="1">
      <alignment horizontal="right"/>
    </xf>
    <xf numFmtId="3" fontId="7" fillId="2" borderId="34" xfId="0" applyNumberFormat="1" applyFont="1" applyFill="1" applyBorder="1" applyAlignment="1">
      <alignment horizontal="right"/>
    </xf>
    <xf numFmtId="0" fontId="35" fillId="0" borderId="0" xfId="0" applyFont="1" applyFill="1" applyBorder="1" applyAlignment="1"/>
    <xf numFmtId="0" fontId="75" fillId="0" borderId="0" xfId="0" applyFont="1" applyFill="1" applyBorder="1" applyAlignment="1"/>
    <xf numFmtId="3" fontId="6" fillId="0" borderId="1" xfId="0" applyNumberFormat="1" applyFont="1" applyFill="1" applyBorder="1" applyAlignment="1">
      <alignment horizontal="right"/>
    </xf>
    <xf numFmtId="0" fontId="28" fillId="0" borderId="0" xfId="0" applyFont="1" applyFill="1" applyAlignment="1">
      <alignment vertical="center"/>
    </xf>
    <xf numFmtId="0" fontId="21" fillId="11" borderId="2" xfId="0" applyFont="1" applyFill="1" applyBorder="1" applyAlignment="1">
      <alignment vertical="center" wrapText="1"/>
    </xf>
    <xf numFmtId="0" fontId="28" fillId="11" borderId="0" xfId="0" applyFont="1" applyFill="1" applyAlignment="1">
      <alignment vertical="center"/>
    </xf>
    <xf numFmtId="49" fontId="4" fillId="14" borderId="28" xfId="0" applyNumberFormat="1" applyFont="1" applyFill="1" applyBorder="1" applyAlignment="1">
      <alignment horizontal="center"/>
    </xf>
    <xf numFmtId="3" fontId="40" fillId="11" borderId="47" xfId="0" applyNumberFormat="1" applyFont="1" applyFill="1" applyBorder="1" applyAlignment="1">
      <alignment horizontal="right"/>
    </xf>
    <xf numFmtId="49" fontId="3" fillId="0" borderId="4" xfId="0" applyNumberFormat="1" applyFont="1" applyFill="1" applyBorder="1" applyAlignment="1">
      <alignment horizontal="center"/>
    </xf>
    <xf numFmtId="49" fontId="4" fillId="2" borderId="24" xfId="0" applyNumberFormat="1" applyFont="1" applyFill="1" applyBorder="1" applyAlignment="1">
      <alignment horizontal="center"/>
    </xf>
    <xf numFmtId="49" fontId="13" fillId="2" borderId="7" xfId="0" applyNumberFormat="1" applyFont="1" applyFill="1" applyBorder="1" applyAlignment="1">
      <alignment horizontal="center"/>
    </xf>
    <xf numFmtId="0" fontId="3" fillId="2" borderId="8" xfId="0" applyFont="1" applyFill="1" applyBorder="1"/>
    <xf numFmtId="0" fontId="13" fillId="16" borderId="3" xfId="0" applyFont="1" applyFill="1" applyBorder="1" applyAlignment="1">
      <alignment horizontal="center"/>
    </xf>
    <xf numFmtId="0" fontId="36" fillId="0" borderId="31" xfId="0" applyFont="1" applyBorder="1" applyAlignment="1">
      <alignment horizontal="center"/>
    </xf>
    <xf numFmtId="0" fontId="1" fillId="10" borderId="55" xfId="0" applyFont="1" applyFill="1" applyBorder="1" applyAlignment="1">
      <alignment horizontal="center"/>
    </xf>
    <xf numFmtId="3" fontId="60" fillId="20" borderId="56" xfId="0" applyNumberFormat="1" applyFont="1" applyFill="1" applyBorder="1" applyAlignment="1"/>
    <xf numFmtId="0" fontId="3" fillId="10" borderId="56" xfId="0" applyFont="1" applyFill="1" applyBorder="1" applyAlignment="1"/>
    <xf numFmtId="0" fontId="3" fillId="10" borderId="16" xfId="0" applyFont="1" applyFill="1" applyBorder="1" applyAlignment="1"/>
    <xf numFmtId="0" fontId="1" fillId="10" borderId="57" xfId="0" applyFont="1" applyFill="1" applyBorder="1" applyAlignment="1">
      <alignment horizontal="center"/>
    </xf>
    <xf numFmtId="0" fontId="1" fillId="0" borderId="52" xfId="0" applyFont="1" applyBorder="1" applyAlignment="1">
      <alignment horizontal="center"/>
    </xf>
    <xf numFmtId="3" fontId="18" fillId="0" borderId="25" xfId="0" applyNumberFormat="1" applyFont="1" applyFill="1" applyBorder="1" applyAlignment="1">
      <alignment vertical="center"/>
    </xf>
    <xf numFmtId="3" fontId="46" fillId="13" borderId="58" xfId="0" applyNumberFormat="1" applyFont="1" applyFill="1" applyBorder="1" applyAlignment="1">
      <alignment vertical="center"/>
    </xf>
    <xf numFmtId="0" fontId="4" fillId="12" borderId="26" xfId="0" applyFont="1" applyFill="1" applyBorder="1" applyAlignment="1">
      <alignment horizontal="center"/>
    </xf>
    <xf numFmtId="0" fontId="9" fillId="12" borderId="26" xfId="0" applyFont="1" applyFill="1" applyBorder="1" applyAlignment="1">
      <alignment horizontal="center"/>
    </xf>
    <xf numFmtId="0" fontId="9" fillId="26" borderId="28" xfId="0" applyFont="1" applyFill="1" applyBorder="1" applyAlignment="1"/>
    <xf numFmtId="3" fontId="40" fillId="26" borderId="3" xfId="0" applyNumberFormat="1" applyFont="1" applyFill="1" applyBorder="1" applyAlignment="1">
      <alignment horizontal="right"/>
    </xf>
    <xf numFmtId="0" fontId="6" fillId="26" borderId="2" xfId="0" applyFont="1" applyFill="1" applyBorder="1" applyAlignment="1"/>
    <xf numFmtId="0" fontId="13" fillId="26" borderId="28" xfId="0" applyFont="1" applyFill="1" applyBorder="1" applyAlignment="1"/>
    <xf numFmtId="3" fontId="9" fillId="26" borderId="3" xfId="0" applyNumberFormat="1" applyFont="1" applyFill="1" applyBorder="1" applyAlignment="1">
      <alignment horizontal="right"/>
    </xf>
    <xf numFmtId="3" fontId="9" fillId="26" borderId="33" xfId="0" applyNumberFormat="1" applyFont="1" applyFill="1" applyBorder="1"/>
    <xf numFmtId="0" fontId="13" fillId="26" borderId="28" xfId="0" applyFont="1" applyFill="1" applyBorder="1" applyAlignment="1">
      <alignment horizontal="center"/>
    </xf>
    <xf numFmtId="3" fontId="9" fillId="26" borderId="2" xfId="0" applyNumberFormat="1" applyFont="1" applyFill="1" applyBorder="1" applyAlignment="1"/>
    <xf numFmtId="3" fontId="9" fillId="26" borderId="1" xfId="0" applyNumberFormat="1" applyFont="1" applyFill="1" applyBorder="1" applyAlignment="1">
      <alignment horizontal="right"/>
    </xf>
    <xf numFmtId="0" fontId="3" fillId="11" borderId="1" xfId="0" applyFont="1" applyFill="1" applyBorder="1" applyAlignment="1">
      <alignment horizontal="center"/>
    </xf>
    <xf numFmtId="0" fontId="21" fillId="11" borderId="1" xfId="0" applyFont="1" applyFill="1" applyBorder="1"/>
    <xf numFmtId="3" fontId="21" fillId="11" borderId="1" xfId="0" applyNumberFormat="1" applyFont="1" applyFill="1" applyBorder="1" applyAlignment="1">
      <alignment horizontal="right"/>
    </xf>
    <xf numFmtId="3" fontId="21" fillId="11" borderId="49" xfId="0" applyNumberFormat="1" applyFont="1" applyFill="1" applyBorder="1" applyAlignment="1">
      <alignment horizontal="right"/>
    </xf>
    <xf numFmtId="3" fontId="21" fillId="11" borderId="33" xfId="0" applyNumberFormat="1" applyFont="1" applyFill="1" applyBorder="1"/>
    <xf numFmtId="3" fontId="9" fillId="11" borderId="1" xfId="0" applyNumberFormat="1" applyFont="1" applyFill="1" applyBorder="1" applyAlignment="1">
      <alignment horizontal="right"/>
    </xf>
    <xf numFmtId="3" fontId="9" fillId="11" borderId="33" xfId="0" applyNumberFormat="1" applyFont="1" applyFill="1" applyBorder="1"/>
    <xf numFmtId="3" fontId="21" fillId="11" borderId="1" xfId="0" applyNumberFormat="1" applyFont="1" applyFill="1" applyBorder="1" applyAlignment="1">
      <alignment horizontal="right" vertical="center"/>
    </xf>
    <xf numFmtId="3" fontId="21" fillId="11" borderId="49" xfId="0" applyNumberFormat="1" applyFont="1" applyFill="1" applyBorder="1" applyAlignment="1">
      <alignment horizontal="right" vertical="center"/>
    </xf>
    <xf numFmtId="0" fontId="21" fillId="0" borderId="6" xfId="0" applyFont="1" applyFill="1" applyBorder="1"/>
    <xf numFmtId="3" fontId="21" fillId="0" borderId="1" xfId="0" applyNumberFormat="1" applyFont="1" applyFill="1" applyBorder="1" applyAlignment="1">
      <alignment horizontal="right" vertical="center"/>
    </xf>
    <xf numFmtId="3" fontId="6" fillId="14" borderId="1" xfId="0" applyNumberFormat="1" applyFont="1" applyFill="1" applyBorder="1" applyAlignment="1">
      <alignment horizontal="right"/>
    </xf>
    <xf numFmtId="3" fontId="8" fillId="0" borderId="33" xfId="0" applyNumberFormat="1" applyFont="1" applyFill="1" applyBorder="1" applyAlignment="1">
      <alignment horizontal="right"/>
    </xf>
    <xf numFmtId="3" fontId="7" fillId="0" borderId="34" xfId="0" applyNumberFormat="1" applyFont="1" applyBorder="1" applyAlignment="1">
      <alignment horizontal="right"/>
    </xf>
    <xf numFmtId="3" fontId="8" fillId="2" borderId="33" xfId="0" applyNumberFormat="1" applyFont="1" applyFill="1" applyBorder="1" applyAlignment="1">
      <alignment horizontal="right"/>
    </xf>
    <xf numFmtId="3" fontId="8" fillId="11" borderId="34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49" fontId="74" fillId="12" borderId="51" xfId="0" applyNumberFormat="1" applyFont="1" applyFill="1" applyBorder="1" applyAlignment="1">
      <alignment horizontal="center" vertical="center" wrapText="1"/>
    </xf>
    <xf numFmtId="3" fontId="33" fillId="12" borderId="34" xfId="0" applyNumberFormat="1" applyFont="1" applyFill="1" applyBorder="1" applyAlignment="1">
      <alignment horizontal="right"/>
    </xf>
    <xf numFmtId="3" fontId="33" fillId="12" borderId="33" xfId="0" applyNumberFormat="1" applyFont="1" applyFill="1" applyBorder="1" applyAlignment="1">
      <alignment horizontal="right"/>
    </xf>
    <xf numFmtId="4" fontId="44" fillId="11" borderId="33" xfId="0" applyNumberFormat="1" applyFont="1" applyFill="1" applyBorder="1" applyAlignment="1">
      <alignment horizontal="right"/>
    </xf>
    <xf numFmtId="3" fontId="44" fillId="12" borderId="33" xfId="0" applyNumberFormat="1" applyFont="1" applyFill="1" applyBorder="1" applyAlignment="1">
      <alignment horizontal="right"/>
    </xf>
    <xf numFmtId="4" fontId="25" fillId="12" borderId="29" xfId="0" applyNumberFormat="1" applyFont="1" applyFill="1" applyBorder="1" applyAlignment="1">
      <alignment horizontal="right"/>
    </xf>
    <xf numFmtId="4" fontId="25" fillId="12" borderId="34" xfId="0" applyNumberFormat="1" applyFont="1" applyFill="1" applyBorder="1" applyAlignment="1">
      <alignment horizontal="right"/>
    </xf>
    <xf numFmtId="4" fontId="25" fillId="12" borderId="40" xfId="0" applyNumberFormat="1" applyFont="1" applyFill="1" applyBorder="1" applyAlignment="1">
      <alignment horizontal="right"/>
    </xf>
    <xf numFmtId="3" fontId="26" fillId="11" borderId="34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 wrapText="1"/>
    </xf>
    <xf numFmtId="3" fontId="62" fillId="25" borderId="34" xfId="0" applyNumberFormat="1" applyFont="1" applyFill="1" applyBorder="1" applyAlignment="1">
      <alignment horizontal="right" vertical="center"/>
    </xf>
    <xf numFmtId="3" fontId="7" fillId="0" borderId="34" xfId="0" applyNumberFormat="1" applyFont="1" applyFill="1" applyBorder="1" applyAlignment="1">
      <alignment horizontal="right"/>
    </xf>
    <xf numFmtId="3" fontId="8" fillId="0" borderId="33" xfId="0" applyNumberFormat="1" applyFont="1" applyBorder="1" applyAlignment="1">
      <alignment horizontal="right"/>
    </xf>
    <xf numFmtId="3" fontId="8" fillId="0" borderId="34" xfId="0" applyNumberFormat="1" applyFont="1" applyFill="1" applyBorder="1" applyAlignment="1">
      <alignment horizontal="right"/>
    </xf>
    <xf numFmtId="3" fontId="8" fillId="0" borderId="34" xfId="0" applyNumberFormat="1" applyFont="1" applyBorder="1" applyAlignment="1">
      <alignment horizontal="right"/>
    </xf>
    <xf numFmtId="3" fontId="3" fillId="0" borderId="33" xfId="0" applyNumberFormat="1" applyFont="1" applyBorder="1" applyAlignment="1">
      <alignment horizontal="right"/>
    </xf>
    <xf numFmtId="3" fontId="7" fillId="0" borderId="33" xfId="0" applyNumberFormat="1" applyFont="1" applyBorder="1" applyAlignment="1">
      <alignment horizontal="right"/>
    </xf>
    <xf numFmtId="3" fontId="62" fillId="25" borderId="33" xfId="0" applyNumberFormat="1" applyFont="1" applyFill="1" applyBorder="1" applyAlignment="1">
      <alignment horizontal="right" vertical="center"/>
    </xf>
    <xf numFmtId="3" fontId="7" fillId="8" borderId="34" xfId="0" applyNumberFormat="1" applyFont="1" applyFill="1" applyBorder="1" applyAlignment="1">
      <alignment horizontal="right"/>
    </xf>
    <xf numFmtId="3" fontId="7" fillId="11" borderId="34" xfId="0" applyNumberFormat="1" applyFont="1" applyFill="1" applyBorder="1" applyAlignment="1">
      <alignment horizontal="right"/>
    </xf>
    <xf numFmtId="3" fontId="6" fillId="2" borderId="40" xfId="0" applyNumberFormat="1" applyFont="1" applyFill="1" applyBorder="1" applyAlignment="1">
      <alignment horizontal="right"/>
    </xf>
    <xf numFmtId="3" fontId="8" fillId="8" borderId="37" xfId="0" applyNumberFormat="1" applyFont="1" applyFill="1" applyBorder="1" applyAlignment="1">
      <alignment horizontal="right"/>
    </xf>
    <xf numFmtId="3" fontId="8" fillId="2" borderId="29" xfId="0" applyNumberFormat="1" applyFont="1" applyFill="1" applyBorder="1" applyAlignment="1">
      <alignment horizontal="right"/>
    </xf>
    <xf numFmtId="3" fontId="8" fillId="2" borderId="59" xfId="0" applyNumberFormat="1" applyFont="1" applyFill="1" applyBorder="1" applyAlignment="1">
      <alignment horizontal="right"/>
    </xf>
    <xf numFmtId="3" fontId="25" fillId="2" borderId="34" xfId="0" applyNumberFormat="1" applyFont="1" applyFill="1" applyBorder="1"/>
    <xf numFmtId="3" fontId="7" fillId="2" borderId="34" xfId="0" applyNumberFormat="1" applyFont="1" applyFill="1" applyBorder="1"/>
    <xf numFmtId="3" fontId="8" fillId="2" borderId="34" xfId="0" applyNumberFormat="1" applyFont="1" applyFill="1" applyBorder="1"/>
    <xf numFmtId="3" fontId="25" fillId="0" borderId="34" xfId="0" applyNumberFormat="1" applyFont="1" applyFill="1" applyBorder="1"/>
    <xf numFmtId="3" fontId="86" fillId="25" borderId="60" xfId="0" applyNumberFormat="1" applyFont="1" applyFill="1" applyBorder="1"/>
    <xf numFmtId="3" fontId="86" fillId="25" borderId="33" xfId="0" applyNumberFormat="1" applyFont="1" applyFill="1" applyBorder="1"/>
    <xf numFmtId="3" fontId="86" fillId="25" borderId="40" xfId="0" applyNumberFormat="1" applyFont="1" applyFill="1" applyBorder="1"/>
    <xf numFmtId="0" fontId="63" fillId="23" borderId="28" xfId="0" applyFont="1" applyFill="1" applyBorder="1" applyAlignment="1"/>
    <xf numFmtId="0" fontId="67" fillId="23" borderId="6" xfId="0" applyFont="1" applyFill="1" applyBorder="1" applyAlignment="1"/>
    <xf numFmtId="0" fontId="16" fillId="11" borderId="26" xfId="0" applyFont="1" applyFill="1" applyBorder="1" applyAlignment="1"/>
    <xf numFmtId="0" fontId="11" fillId="11" borderId="5" xfId="0" applyFont="1" applyFill="1" applyBorder="1" applyAlignment="1"/>
    <xf numFmtId="0" fontId="42" fillId="7" borderId="61" xfId="0" applyFont="1" applyFill="1" applyBorder="1" applyAlignment="1">
      <alignment horizontal="left" vertical="center"/>
    </xf>
    <xf numFmtId="0" fontId="3" fillId="11" borderId="57" xfId="0" applyFont="1" applyFill="1" applyBorder="1" applyAlignment="1">
      <alignment horizontal="center"/>
    </xf>
    <xf numFmtId="3" fontId="9" fillId="11" borderId="34" xfId="0" applyNumberFormat="1" applyFont="1" applyFill="1" applyBorder="1"/>
    <xf numFmtId="3" fontId="6" fillId="11" borderId="29" xfId="0" applyNumberFormat="1" applyFont="1" applyFill="1" applyBorder="1"/>
    <xf numFmtId="0" fontId="3" fillId="0" borderId="32" xfId="0" applyFont="1" applyFill="1" applyBorder="1" applyAlignment="1">
      <alignment horizontal="center"/>
    </xf>
    <xf numFmtId="3" fontId="22" fillId="8" borderId="37" xfId="0" applyNumberFormat="1" applyFont="1" applyFill="1" applyBorder="1" applyAlignment="1">
      <alignment horizontal="right"/>
    </xf>
    <xf numFmtId="0" fontId="3" fillId="0" borderId="25" xfId="0" applyFont="1" applyFill="1" applyBorder="1" applyAlignment="1">
      <alignment horizontal="center"/>
    </xf>
    <xf numFmtId="49" fontId="5" fillId="2" borderId="25" xfId="0" applyNumberFormat="1" applyFont="1" applyFill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13" fillId="2" borderId="25" xfId="0" applyNumberFormat="1" applyFont="1" applyFill="1" applyBorder="1" applyAlignment="1">
      <alignment horizontal="center"/>
    </xf>
    <xf numFmtId="0" fontId="4" fillId="0" borderId="25" xfId="0" applyFont="1" applyBorder="1"/>
    <xf numFmtId="0" fontId="3" fillId="2" borderId="25" xfId="0" applyFont="1" applyFill="1" applyBorder="1"/>
    <xf numFmtId="3" fontId="8" fillId="2" borderId="25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3" fillId="0" borderId="8" xfId="0" applyFont="1" applyFill="1" applyBorder="1" applyAlignment="1">
      <alignment horizontal="center"/>
    </xf>
    <xf numFmtId="49" fontId="5" fillId="2" borderId="8" xfId="0" applyNumberFormat="1" applyFont="1" applyFill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13" fillId="2" borderId="8" xfId="0" applyNumberFormat="1" applyFont="1" applyFill="1" applyBorder="1" applyAlignment="1">
      <alignment horizontal="center"/>
    </xf>
    <xf numFmtId="0" fontId="4" fillId="0" borderId="8" xfId="0" applyFont="1" applyBorder="1"/>
    <xf numFmtId="3" fontId="8" fillId="2" borderId="8" xfId="0" applyNumberFormat="1" applyFont="1" applyFill="1" applyBorder="1" applyAlignment="1">
      <alignment horizontal="right"/>
    </xf>
    <xf numFmtId="0" fontId="80" fillId="3" borderId="5" xfId="0" applyFont="1" applyFill="1" applyBorder="1" applyAlignment="1"/>
    <xf numFmtId="0" fontId="4" fillId="11" borderId="1" xfId="0" applyFont="1" applyFill="1" applyBorder="1"/>
    <xf numFmtId="0" fontId="9" fillId="26" borderId="1" xfId="0" applyFont="1" applyFill="1" applyBorder="1" applyAlignment="1"/>
    <xf numFmtId="0" fontId="21" fillId="0" borderId="4" xfId="0" applyFont="1" applyFill="1" applyBorder="1" applyAlignment="1">
      <alignment vertical="center" wrapText="1"/>
    </xf>
    <xf numFmtId="0" fontId="21" fillId="11" borderId="2" xfId="0" applyFont="1" applyFill="1" applyBorder="1" applyAlignment="1">
      <alignment wrapText="1"/>
    </xf>
    <xf numFmtId="3" fontId="61" fillId="23" borderId="60" xfId="0" applyNumberFormat="1" applyFont="1" applyFill="1" applyBorder="1" applyAlignment="1">
      <alignment horizontal="right"/>
    </xf>
    <xf numFmtId="3" fontId="25" fillId="21" borderId="34" xfId="0" applyNumberFormat="1" applyFont="1" applyFill="1" applyBorder="1" applyAlignment="1">
      <alignment horizontal="right"/>
    </xf>
    <xf numFmtId="3" fontId="61" fillId="23" borderId="34" xfId="0" applyNumberFormat="1" applyFont="1" applyFill="1" applyBorder="1" applyAlignment="1">
      <alignment horizontal="right"/>
    </xf>
    <xf numFmtId="3" fontId="45" fillId="11" borderId="33" xfId="0" applyNumberFormat="1" applyFont="1" applyFill="1" applyBorder="1" applyAlignment="1">
      <alignment horizontal="right"/>
    </xf>
    <xf numFmtId="3" fontId="29" fillId="27" borderId="62" xfId="0" applyNumberFormat="1" applyFont="1" applyFill="1" applyBorder="1" applyAlignment="1">
      <alignment horizontal="right"/>
    </xf>
    <xf numFmtId="3" fontId="25" fillId="21" borderId="33" xfId="0" applyNumberFormat="1" applyFont="1" applyFill="1" applyBorder="1" applyAlignment="1">
      <alignment horizontal="right"/>
    </xf>
    <xf numFmtId="0" fontId="14" fillId="0" borderId="42" xfId="0" applyNumberFormat="1" applyFont="1" applyFill="1" applyBorder="1" applyAlignment="1">
      <alignment horizontal="center"/>
    </xf>
    <xf numFmtId="49" fontId="4" fillId="0" borderId="38" xfId="0" applyNumberFormat="1" applyFont="1" applyFill="1" applyBorder="1" applyAlignment="1">
      <alignment horizontal="center"/>
    </xf>
    <xf numFmtId="49" fontId="4" fillId="0" borderId="42" xfId="0" applyNumberFormat="1" applyFont="1" applyFill="1" applyBorder="1" applyAlignment="1">
      <alignment horizontal="center"/>
    </xf>
    <xf numFmtId="0" fontId="3" fillId="0" borderId="41" xfId="0" applyNumberFormat="1" applyFont="1" applyFill="1" applyBorder="1"/>
    <xf numFmtId="3" fontId="8" fillId="2" borderId="30" xfId="0" applyNumberFormat="1" applyFont="1" applyFill="1" applyBorder="1" applyAlignment="1">
      <alignment horizontal="right"/>
    </xf>
    <xf numFmtId="3" fontId="38" fillId="25" borderId="30" xfId="0" applyNumberFormat="1" applyFont="1" applyFill="1" applyBorder="1" applyAlignment="1">
      <alignment vertical="center"/>
    </xf>
    <xf numFmtId="0" fontId="57" fillId="17" borderId="24" xfId="0" applyFont="1" applyFill="1" applyBorder="1" applyAlignment="1">
      <alignment vertical="center"/>
    </xf>
    <xf numFmtId="0" fontId="1" fillId="0" borderId="6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11" borderId="9" xfId="0" applyFont="1" applyFill="1" applyBorder="1" applyAlignment="1">
      <alignment horizontal="center"/>
    </xf>
    <xf numFmtId="49" fontId="13" fillId="11" borderId="11" xfId="0" applyNumberFormat="1" applyFont="1" applyFill="1" applyBorder="1" applyAlignment="1">
      <alignment horizontal="center"/>
    </xf>
    <xf numFmtId="3" fontId="9" fillId="11" borderId="37" xfId="0" applyNumberFormat="1" applyFont="1" applyFill="1" applyBorder="1"/>
    <xf numFmtId="0" fontId="1" fillId="0" borderId="12" xfId="0" applyFont="1" applyBorder="1" applyAlignment="1">
      <alignment horizontal="center"/>
    </xf>
    <xf numFmtId="49" fontId="40" fillId="11" borderId="1" xfId="0" applyNumberFormat="1" applyFont="1" applyFill="1" applyBorder="1" applyAlignment="1">
      <alignment horizontal="left"/>
    </xf>
    <xf numFmtId="49" fontId="4" fillId="15" borderId="1" xfId="0" applyNumberFormat="1" applyFont="1" applyFill="1" applyBorder="1" applyAlignment="1">
      <alignment horizontal="center"/>
    </xf>
    <xf numFmtId="3" fontId="40" fillId="11" borderId="5" xfId="0" applyNumberFormat="1" applyFont="1" applyFill="1" applyBorder="1" applyAlignment="1">
      <alignment horizontal="right"/>
    </xf>
    <xf numFmtId="0" fontId="9" fillId="26" borderId="26" xfId="0" applyFont="1" applyFill="1" applyBorder="1" applyAlignment="1"/>
    <xf numFmtId="0" fontId="13" fillId="26" borderId="26" xfId="0" applyFont="1" applyFill="1" applyBorder="1" applyAlignment="1">
      <alignment horizontal="center"/>
    </xf>
    <xf numFmtId="0" fontId="13" fillId="26" borderId="26" xfId="0" applyFont="1" applyFill="1" applyBorder="1" applyAlignment="1"/>
    <xf numFmtId="0" fontId="6" fillId="26" borderId="4" xfId="0" applyFont="1" applyFill="1" applyBorder="1" applyAlignment="1"/>
    <xf numFmtId="3" fontId="44" fillId="0" borderId="5" xfId="0" applyNumberFormat="1" applyFont="1" applyFill="1" applyBorder="1" applyAlignment="1">
      <alignment horizontal="right"/>
    </xf>
    <xf numFmtId="0" fontId="36" fillId="0" borderId="63" xfId="0" applyFont="1" applyBorder="1" applyAlignment="1">
      <alignment horizontal="center"/>
    </xf>
    <xf numFmtId="49" fontId="4" fillId="11" borderId="11" xfId="0" applyNumberFormat="1" applyFont="1" applyFill="1" applyBorder="1" applyAlignment="1">
      <alignment horizontal="left" vertical="center" wrapText="1"/>
    </xf>
    <xf numFmtId="0" fontId="21" fillId="11" borderId="9" xfId="0" applyFont="1" applyFill="1" applyBorder="1" applyAlignment="1">
      <alignment horizontal="left" vertical="center" wrapText="1"/>
    </xf>
    <xf numFmtId="49" fontId="4" fillId="11" borderId="1" xfId="0" applyNumberFormat="1" applyFont="1" applyFill="1" applyBorder="1" applyAlignment="1">
      <alignment horizontal="left" vertical="center" wrapText="1"/>
    </xf>
    <xf numFmtId="0" fontId="79" fillId="0" borderId="4" xfId="0" applyFont="1" applyFill="1" applyBorder="1" applyAlignment="1">
      <alignment horizontal="left" vertical="center" wrapText="1"/>
    </xf>
    <xf numFmtId="3" fontId="4" fillId="11" borderId="5" xfId="0" applyNumberFormat="1" applyFont="1" applyFill="1" applyBorder="1" applyAlignment="1">
      <alignment vertical="center"/>
    </xf>
    <xf numFmtId="3" fontId="21" fillId="11" borderId="1" xfId="0" applyNumberFormat="1" applyFont="1" applyFill="1" applyBorder="1" applyAlignment="1">
      <alignment vertical="center"/>
    </xf>
    <xf numFmtId="0" fontId="10" fillId="3" borderId="26" xfId="0" applyFont="1" applyFill="1" applyBorder="1" applyAlignment="1"/>
    <xf numFmtId="3" fontId="21" fillId="0" borderId="1" xfId="0" applyNumberFormat="1" applyFont="1" applyFill="1" applyBorder="1" applyAlignment="1">
      <alignment vertical="center"/>
    </xf>
    <xf numFmtId="0" fontId="36" fillId="0" borderId="12" xfId="0" applyFont="1" applyBorder="1" applyAlignment="1">
      <alignment horizontal="center"/>
    </xf>
    <xf numFmtId="0" fontId="14" fillId="0" borderId="9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0" fontId="3" fillId="0" borderId="0" xfId="0" applyNumberFormat="1" applyFont="1" applyFill="1" applyBorder="1"/>
    <xf numFmtId="0" fontId="3" fillId="2" borderId="47" xfId="0" applyNumberFormat="1" applyFont="1" applyFill="1" applyBorder="1"/>
    <xf numFmtId="3" fontId="8" fillId="2" borderId="37" xfId="0" applyNumberFormat="1" applyFont="1" applyFill="1" applyBorder="1" applyAlignment="1">
      <alignment horizontal="right"/>
    </xf>
    <xf numFmtId="0" fontId="21" fillId="28" borderId="1" xfId="0" applyFont="1" applyFill="1" applyBorder="1"/>
    <xf numFmtId="3" fontId="21" fillId="28" borderId="1" xfId="0" applyNumberFormat="1" applyFont="1" applyFill="1" applyBorder="1" applyAlignment="1">
      <alignment horizontal="right"/>
    </xf>
    <xf numFmtId="3" fontId="4" fillId="11" borderId="1" xfId="0" applyNumberFormat="1" applyFont="1" applyFill="1" applyBorder="1" applyAlignment="1">
      <alignment horizontal="right"/>
    </xf>
    <xf numFmtId="3" fontId="4" fillId="11" borderId="26" xfId="0" applyNumberFormat="1" applyFont="1" applyFill="1" applyBorder="1" applyAlignment="1">
      <alignment horizontal="right"/>
    </xf>
    <xf numFmtId="0" fontId="3" fillId="11" borderId="49" xfId="0" applyFont="1" applyFill="1" applyBorder="1" applyAlignment="1">
      <alignment horizontal="center"/>
    </xf>
    <xf numFmtId="0" fontId="21" fillId="11" borderId="49" xfId="0" applyFont="1" applyFill="1" applyBorder="1"/>
    <xf numFmtId="49" fontId="4" fillId="11" borderId="26" xfId="0" applyNumberFormat="1" applyFont="1" applyFill="1" applyBorder="1" applyAlignment="1">
      <alignment horizontal="center"/>
    </xf>
    <xf numFmtId="0" fontId="36" fillId="0" borderId="13" xfId="0" applyFont="1" applyBorder="1" applyAlignment="1">
      <alignment horizontal="center"/>
    </xf>
    <xf numFmtId="3" fontId="4" fillId="11" borderId="49" xfId="0" applyNumberFormat="1" applyFont="1" applyFill="1" applyBorder="1" applyAlignment="1">
      <alignment horizontal="right"/>
    </xf>
    <xf numFmtId="49" fontId="13" fillId="11" borderId="2" xfId="0" applyNumberFormat="1" applyFont="1" applyFill="1" applyBorder="1" applyAlignment="1">
      <alignment horizontal="center"/>
    </xf>
    <xf numFmtId="49" fontId="13" fillId="11" borderId="49" xfId="0" applyNumberFormat="1" applyFont="1" applyFill="1" applyBorder="1" applyAlignment="1">
      <alignment horizontal="center"/>
    </xf>
    <xf numFmtId="49" fontId="4" fillId="11" borderId="49" xfId="0" applyNumberFormat="1" applyFont="1" applyFill="1" applyBorder="1" applyAlignment="1">
      <alignment horizontal="center"/>
    </xf>
    <xf numFmtId="0" fontId="0" fillId="2" borderId="41" xfId="0" applyFill="1" applyBorder="1"/>
    <xf numFmtId="0" fontId="3" fillId="11" borderId="28" xfId="0" applyFont="1" applyFill="1" applyBorder="1" applyAlignment="1">
      <alignment horizontal="center" vertical="center"/>
    </xf>
    <xf numFmtId="0" fontId="2" fillId="11" borderId="26" xfId="0" applyFont="1" applyFill="1" applyBorder="1" applyAlignment="1">
      <alignment horizontal="center"/>
    </xf>
    <xf numFmtId="0" fontId="4" fillId="11" borderId="26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3" fontId="21" fillId="11" borderId="29" xfId="0" applyNumberFormat="1" applyFont="1" applyFill="1" applyBorder="1" applyAlignment="1">
      <alignment horizontal="right" vertical="center"/>
    </xf>
    <xf numFmtId="0" fontId="3" fillId="11" borderId="4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11" borderId="42" xfId="0" applyNumberFormat="1" applyFont="1" applyFill="1" applyBorder="1" applyAlignment="1">
      <alignment horizontal="center"/>
    </xf>
    <xf numFmtId="0" fontId="4" fillId="11" borderId="74" xfId="0" applyFont="1" applyFill="1" applyBorder="1" applyAlignment="1">
      <alignment horizontal="center"/>
    </xf>
    <xf numFmtId="0" fontId="4" fillId="11" borderId="38" xfId="0" applyFont="1" applyFill="1" applyBorder="1" applyAlignment="1">
      <alignment horizontal="center"/>
    </xf>
    <xf numFmtId="3" fontId="4" fillId="11" borderId="41" xfId="0" applyNumberFormat="1" applyFont="1" applyFill="1" applyBorder="1" applyAlignment="1">
      <alignment horizontal="right"/>
    </xf>
    <xf numFmtId="0" fontId="3" fillId="2" borderId="0" xfId="0" applyFont="1" applyFill="1" applyBorder="1"/>
    <xf numFmtId="3" fontId="6" fillId="11" borderId="34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/>
    </xf>
    <xf numFmtId="0" fontId="3" fillId="28" borderId="49" xfId="0" applyFont="1" applyFill="1" applyBorder="1" applyAlignment="1">
      <alignment horizontal="center"/>
    </xf>
    <xf numFmtId="0" fontId="21" fillId="28" borderId="49" xfId="0" applyFont="1" applyFill="1" applyBorder="1"/>
    <xf numFmtId="3" fontId="4" fillId="28" borderId="1" xfId="0" applyNumberFormat="1" applyFont="1" applyFill="1" applyBorder="1" applyAlignment="1">
      <alignment horizontal="right"/>
    </xf>
    <xf numFmtId="3" fontId="4" fillId="28" borderId="26" xfId="0" applyNumberFormat="1" applyFont="1" applyFill="1" applyBorder="1" applyAlignment="1">
      <alignment horizontal="right"/>
    </xf>
    <xf numFmtId="3" fontId="21" fillId="28" borderId="33" xfId="0" applyNumberFormat="1" applyFont="1" applyFill="1" applyBorder="1"/>
    <xf numFmtId="0" fontId="3" fillId="28" borderId="1" xfId="0" applyFont="1" applyFill="1" applyBorder="1" applyAlignment="1">
      <alignment horizontal="center"/>
    </xf>
    <xf numFmtId="3" fontId="21" fillId="28" borderId="11" xfId="0" applyNumberFormat="1" applyFont="1" applyFill="1" applyBorder="1" applyAlignment="1">
      <alignment horizontal="right"/>
    </xf>
    <xf numFmtId="3" fontId="4" fillId="28" borderId="11" xfId="0" applyNumberFormat="1" applyFont="1" applyFill="1" applyBorder="1" applyAlignment="1">
      <alignment horizontal="right"/>
    </xf>
    <xf numFmtId="3" fontId="4" fillId="28" borderId="75" xfId="0" applyNumberFormat="1" applyFont="1" applyFill="1" applyBorder="1" applyAlignment="1">
      <alignment horizontal="right"/>
    </xf>
    <xf numFmtId="3" fontId="21" fillId="28" borderId="37" xfId="0" applyNumberFormat="1" applyFont="1" applyFill="1" applyBorder="1"/>
    <xf numFmtId="3" fontId="21" fillId="28" borderId="49" xfId="0" applyNumberFormat="1" applyFont="1" applyFill="1" applyBorder="1" applyAlignment="1">
      <alignment horizontal="right"/>
    </xf>
    <xf numFmtId="3" fontId="4" fillId="28" borderId="49" xfId="0" applyNumberFormat="1" applyFont="1" applyFill="1" applyBorder="1" applyAlignment="1">
      <alignment horizontal="right"/>
    </xf>
    <xf numFmtId="3" fontId="4" fillId="28" borderId="70" xfId="0" applyNumberFormat="1" applyFont="1" applyFill="1" applyBorder="1" applyAlignment="1">
      <alignment horizontal="right"/>
    </xf>
    <xf numFmtId="3" fontId="21" fillId="28" borderId="29" xfId="0" applyNumberFormat="1" applyFont="1" applyFill="1" applyBorder="1"/>
    <xf numFmtId="0" fontId="3" fillId="14" borderId="1" xfId="0" applyFont="1" applyFill="1" applyBorder="1" applyAlignment="1">
      <alignment horizontal="center"/>
    </xf>
    <xf numFmtId="0" fontId="21" fillId="14" borderId="1" xfId="0" applyFont="1" applyFill="1" applyBorder="1"/>
    <xf numFmtId="3" fontId="4" fillId="14" borderId="49" xfId="0" applyNumberFormat="1" applyFont="1" applyFill="1" applyBorder="1" applyAlignment="1">
      <alignment horizontal="right"/>
    </xf>
    <xf numFmtId="3" fontId="4" fillId="14" borderId="70" xfId="0" applyNumberFormat="1" applyFont="1" applyFill="1" applyBorder="1" applyAlignment="1">
      <alignment horizontal="right"/>
    </xf>
    <xf numFmtId="3" fontId="21" fillId="14" borderId="29" xfId="0" applyNumberFormat="1" applyFont="1" applyFill="1" applyBorder="1"/>
    <xf numFmtId="0" fontId="3" fillId="29" borderId="1" xfId="0" applyFont="1" applyFill="1" applyBorder="1" applyAlignment="1">
      <alignment horizontal="center"/>
    </xf>
    <xf numFmtId="0" fontId="21" fillId="29" borderId="1" xfId="0" applyFont="1" applyFill="1" applyBorder="1"/>
    <xf numFmtId="3" fontId="21" fillId="29" borderId="49" xfId="0" applyNumberFormat="1" applyFont="1" applyFill="1" applyBorder="1" applyAlignment="1">
      <alignment horizontal="right"/>
    </xf>
    <xf numFmtId="3" fontId="4" fillId="29" borderId="49" xfId="0" applyNumberFormat="1" applyFont="1" applyFill="1" applyBorder="1" applyAlignment="1">
      <alignment horizontal="right"/>
    </xf>
    <xf numFmtId="3" fontId="4" fillId="29" borderId="70" xfId="0" applyNumberFormat="1" applyFont="1" applyFill="1" applyBorder="1" applyAlignment="1">
      <alignment horizontal="right"/>
    </xf>
    <xf numFmtId="3" fontId="21" fillId="29" borderId="29" xfId="0" applyNumberFormat="1" applyFont="1" applyFill="1" applyBorder="1"/>
    <xf numFmtId="0" fontId="3" fillId="29" borderId="1" xfId="0" applyFont="1" applyFill="1" applyBorder="1" applyAlignment="1">
      <alignment horizontal="center" vertical="center"/>
    </xf>
    <xf numFmtId="0" fontId="4" fillId="29" borderId="1" xfId="0" applyFont="1" applyFill="1" applyBorder="1" applyAlignment="1">
      <alignment vertical="center" wrapText="1"/>
    </xf>
    <xf numFmtId="3" fontId="21" fillId="29" borderId="49" xfId="0" applyNumberFormat="1" applyFont="1" applyFill="1" applyBorder="1" applyAlignment="1">
      <alignment horizontal="right" vertical="center"/>
    </xf>
    <xf numFmtId="3" fontId="4" fillId="29" borderId="49" xfId="0" applyNumberFormat="1" applyFont="1" applyFill="1" applyBorder="1" applyAlignment="1">
      <alignment horizontal="right" vertical="center"/>
    </xf>
    <xf numFmtId="3" fontId="4" fillId="29" borderId="70" xfId="0" applyNumberFormat="1" applyFont="1" applyFill="1" applyBorder="1" applyAlignment="1">
      <alignment horizontal="right" vertical="center"/>
    </xf>
    <xf numFmtId="3" fontId="21" fillId="29" borderId="29" xfId="0" applyNumberFormat="1" applyFont="1" applyFill="1" applyBorder="1" applyAlignment="1">
      <alignment vertical="center"/>
    </xf>
    <xf numFmtId="0" fontId="3" fillId="29" borderId="49" xfId="0" applyFont="1" applyFill="1" applyBorder="1" applyAlignment="1">
      <alignment horizontal="center"/>
    </xf>
    <xf numFmtId="0" fontId="4" fillId="29" borderId="49" xfId="0" applyFont="1" applyFill="1" applyBorder="1" applyAlignment="1">
      <alignment wrapText="1"/>
    </xf>
    <xf numFmtId="0" fontId="21" fillId="31" borderId="2" xfId="0" applyFont="1" applyFill="1" applyBorder="1"/>
    <xf numFmtId="3" fontId="21" fillId="31" borderId="1" xfId="0" applyNumberFormat="1" applyFont="1" applyFill="1" applyBorder="1" applyAlignment="1">
      <alignment horizontal="right"/>
    </xf>
    <xf numFmtId="3" fontId="4" fillId="31" borderId="0" xfId="0" applyNumberFormat="1" applyFont="1" applyFill="1" applyBorder="1" applyAlignment="1">
      <alignment horizontal="right"/>
    </xf>
    <xf numFmtId="3" fontId="21" fillId="31" borderId="3" xfId="0" applyNumberFormat="1" applyFont="1" applyFill="1" applyBorder="1" applyAlignment="1">
      <alignment horizontal="right"/>
    </xf>
    <xf numFmtId="3" fontId="21" fillId="31" borderId="34" xfId="0" applyNumberFormat="1" applyFont="1" applyFill="1" applyBorder="1"/>
    <xf numFmtId="0" fontId="21" fillId="22" borderId="2" xfId="0" applyFont="1" applyFill="1" applyBorder="1"/>
    <xf numFmtId="3" fontId="21" fillId="22" borderId="1" xfId="0" applyNumberFormat="1" applyFont="1" applyFill="1" applyBorder="1" applyAlignment="1">
      <alignment horizontal="right"/>
    </xf>
    <xf numFmtId="3" fontId="4" fillId="22" borderId="0" xfId="0" applyNumberFormat="1" applyFont="1" applyFill="1" applyBorder="1" applyAlignment="1">
      <alignment horizontal="right"/>
    </xf>
    <xf numFmtId="0" fontId="21" fillId="29" borderId="2" xfId="0" applyFont="1" applyFill="1" applyBorder="1"/>
    <xf numFmtId="3" fontId="21" fillId="29" borderId="1" xfId="0" applyNumberFormat="1" applyFont="1" applyFill="1" applyBorder="1" applyAlignment="1">
      <alignment horizontal="right"/>
    </xf>
    <xf numFmtId="3" fontId="4" fillId="29" borderId="0" xfId="0" applyNumberFormat="1" applyFont="1" applyFill="1" applyBorder="1" applyAlignment="1">
      <alignment horizontal="right"/>
    </xf>
    <xf numFmtId="3" fontId="21" fillId="29" borderId="3" xfId="0" applyNumberFormat="1" applyFont="1" applyFill="1" applyBorder="1" applyAlignment="1">
      <alignment horizontal="right"/>
    </xf>
    <xf numFmtId="3" fontId="21" fillId="29" borderId="34" xfId="0" applyNumberFormat="1" applyFont="1" applyFill="1" applyBorder="1"/>
    <xf numFmtId="0" fontId="3" fillId="31" borderId="1" xfId="0" applyFont="1" applyFill="1" applyBorder="1" applyAlignment="1">
      <alignment horizontal="center"/>
    </xf>
    <xf numFmtId="0" fontId="21" fillId="14" borderId="4" xfId="0" applyFont="1" applyFill="1" applyBorder="1"/>
    <xf numFmtId="3" fontId="4" fillId="14" borderId="0" xfId="0" applyNumberFormat="1" applyFont="1" applyFill="1" applyBorder="1" applyAlignment="1">
      <alignment horizontal="right"/>
    </xf>
    <xf numFmtId="3" fontId="21" fillId="14" borderId="33" xfId="0" applyNumberFormat="1" applyFont="1" applyFill="1" applyBorder="1"/>
    <xf numFmtId="49" fontId="4" fillId="30" borderId="3" xfId="0" applyNumberFormat="1" applyFont="1" applyFill="1" applyBorder="1" applyAlignment="1">
      <alignment horizontal="center"/>
    </xf>
    <xf numFmtId="0" fontId="21" fillId="30" borderId="2" xfId="0" applyFont="1" applyFill="1" applyBorder="1"/>
    <xf numFmtId="3" fontId="21" fillId="30" borderId="1" xfId="0" applyNumberFormat="1" applyFont="1" applyFill="1" applyBorder="1" applyAlignment="1">
      <alignment horizontal="right"/>
    </xf>
    <xf numFmtId="3" fontId="13" fillId="30" borderId="0" xfId="0" applyNumberFormat="1" applyFont="1" applyFill="1" applyBorder="1" applyAlignment="1">
      <alignment horizontal="right"/>
    </xf>
    <xf numFmtId="3" fontId="26" fillId="30" borderId="29" xfId="0" applyNumberFormat="1" applyFont="1" applyFill="1" applyBorder="1"/>
    <xf numFmtId="3" fontId="13" fillId="22" borderId="0" xfId="0" applyNumberFormat="1" applyFont="1" applyFill="1" applyBorder="1" applyAlignment="1">
      <alignment horizontal="right"/>
    </xf>
    <xf numFmtId="3" fontId="26" fillId="22" borderId="29" xfId="0" applyNumberFormat="1" applyFont="1" applyFill="1" applyBorder="1"/>
    <xf numFmtId="49" fontId="4" fillId="29" borderId="3" xfId="0" applyNumberFormat="1" applyFont="1" applyFill="1" applyBorder="1" applyAlignment="1">
      <alignment horizontal="center"/>
    </xf>
    <xf numFmtId="3" fontId="13" fillId="29" borderId="0" xfId="0" applyNumberFormat="1" applyFont="1" applyFill="1" applyBorder="1" applyAlignment="1">
      <alignment horizontal="right"/>
    </xf>
    <xf numFmtId="3" fontId="26" fillId="29" borderId="29" xfId="0" applyNumberFormat="1" applyFont="1" applyFill="1" applyBorder="1"/>
    <xf numFmtId="49" fontId="13" fillId="22" borderId="26" xfId="0" applyNumberFormat="1" applyFont="1" applyFill="1" applyBorder="1" applyAlignment="1">
      <alignment horizontal="center"/>
    </xf>
    <xf numFmtId="0" fontId="6" fillId="22" borderId="2" xfId="0" applyFont="1" applyFill="1" applyBorder="1"/>
    <xf numFmtId="3" fontId="6" fillId="22" borderId="1" xfId="0" applyNumberFormat="1" applyFont="1" applyFill="1" applyBorder="1" applyAlignment="1">
      <alignment horizontal="right"/>
    </xf>
    <xf numFmtId="3" fontId="9" fillId="22" borderId="29" xfId="0" applyNumberFormat="1" applyFont="1" applyFill="1" applyBorder="1"/>
    <xf numFmtId="3" fontId="21" fillId="22" borderId="38" xfId="0" applyNumberFormat="1" applyFont="1" applyFill="1" applyBorder="1" applyAlignment="1">
      <alignment horizontal="right"/>
    </xf>
    <xf numFmtId="3" fontId="4" fillId="22" borderId="0" xfId="0" applyNumberFormat="1" applyFont="1" applyFill="1" applyBorder="1" applyAlignment="1">
      <alignment horizontal="right" vertical="center"/>
    </xf>
    <xf numFmtId="3" fontId="26" fillId="22" borderId="29" xfId="0" applyNumberFormat="1" applyFont="1" applyFill="1" applyBorder="1" applyAlignment="1">
      <alignment vertical="center"/>
    </xf>
    <xf numFmtId="0" fontId="3" fillId="31" borderId="1" xfId="0" applyFont="1" applyFill="1" applyBorder="1" applyAlignment="1">
      <alignment horizontal="center" vertical="center"/>
    </xf>
    <xf numFmtId="0" fontId="79" fillId="31" borderId="2" xfId="0" applyFont="1" applyFill="1" applyBorder="1" applyAlignment="1">
      <alignment vertical="center" wrapText="1"/>
    </xf>
    <xf numFmtId="3" fontId="21" fillId="31" borderId="1" xfId="0" applyNumberFormat="1" applyFont="1" applyFill="1" applyBorder="1" applyAlignment="1">
      <alignment horizontal="right" vertical="center"/>
    </xf>
    <xf numFmtId="3" fontId="4" fillId="31" borderId="0" xfId="0" applyNumberFormat="1" applyFont="1" applyFill="1" applyBorder="1" applyAlignment="1">
      <alignment horizontal="right" vertical="center"/>
    </xf>
    <xf numFmtId="3" fontId="21" fillId="31" borderId="49" xfId="0" applyNumberFormat="1" applyFont="1" applyFill="1" applyBorder="1" applyAlignment="1">
      <alignment horizontal="right" vertical="center"/>
    </xf>
    <xf numFmtId="3" fontId="21" fillId="31" borderId="33" xfId="0" applyNumberFormat="1" applyFont="1" applyFill="1" applyBorder="1" applyAlignment="1">
      <alignment vertical="center"/>
    </xf>
    <xf numFmtId="0" fontId="3" fillId="14" borderId="3" xfId="0" applyFont="1" applyFill="1" applyBorder="1" applyAlignment="1">
      <alignment horizontal="center"/>
    </xf>
    <xf numFmtId="0" fontId="21" fillId="14" borderId="6" xfId="0" applyFont="1" applyFill="1" applyBorder="1"/>
    <xf numFmtId="3" fontId="21" fillId="14" borderId="1" xfId="0" applyNumberFormat="1" applyFont="1" applyFill="1" applyBorder="1" applyAlignment="1">
      <alignment horizontal="right"/>
    </xf>
    <xf numFmtId="3" fontId="21" fillId="14" borderId="3" xfId="0" applyNumberFormat="1" applyFont="1" applyFill="1" applyBorder="1" applyAlignment="1">
      <alignment horizontal="right"/>
    </xf>
    <xf numFmtId="3" fontId="21" fillId="14" borderId="34" xfId="0" applyNumberFormat="1" applyFont="1" applyFill="1" applyBorder="1"/>
    <xf numFmtId="0" fontId="36" fillId="0" borderId="10" xfId="0" applyFont="1" applyBorder="1" applyAlignment="1">
      <alignment horizontal="center" vertical="center"/>
    </xf>
    <xf numFmtId="0" fontId="28" fillId="11" borderId="0" xfId="0" applyFont="1" applyFill="1" applyBorder="1"/>
    <xf numFmtId="0" fontId="11" fillId="11" borderId="0" xfId="0" applyFont="1" applyFill="1"/>
    <xf numFmtId="0" fontId="21" fillId="31" borderId="1" xfId="0" applyFont="1" applyFill="1" applyBorder="1"/>
    <xf numFmtId="3" fontId="4" fillId="31" borderId="1" xfId="0" applyNumberFormat="1" applyFont="1" applyFill="1" applyBorder="1" applyAlignment="1">
      <alignment horizontal="right"/>
    </xf>
    <xf numFmtId="3" fontId="4" fillId="11" borderId="38" xfId="0" applyNumberFormat="1" applyFont="1" applyFill="1" applyBorder="1" applyAlignment="1">
      <alignment horizontal="right"/>
    </xf>
    <xf numFmtId="3" fontId="4" fillId="31" borderId="26" xfId="0" applyNumberFormat="1" applyFont="1" applyFill="1" applyBorder="1" applyAlignment="1">
      <alignment horizontal="right"/>
    </xf>
    <xf numFmtId="3" fontId="4" fillId="11" borderId="74" xfId="0" applyNumberFormat="1" applyFont="1" applyFill="1" applyBorder="1" applyAlignment="1">
      <alignment horizontal="right"/>
    </xf>
    <xf numFmtId="3" fontId="21" fillId="31" borderId="33" xfId="0" applyNumberFormat="1" applyFont="1" applyFill="1" applyBorder="1"/>
    <xf numFmtId="0" fontId="6" fillId="11" borderId="9" xfId="0" applyFont="1" applyFill="1" applyBorder="1"/>
    <xf numFmtId="0" fontId="3" fillId="22" borderId="38" xfId="0" applyFont="1" applyFill="1" applyBorder="1" applyAlignment="1">
      <alignment horizontal="center"/>
    </xf>
    <xf numFmtId="0" fontId="4" fillId="22" borderId="38" xfId="0" applyFont="1" applyFill="1" applyBorder="1"/>
    <xf numFmtId="3" fontId="4" fillId="22" borderId="38" xfId="0" applyNumberFormat="1" applyFont="1" applyFill="1" applyBorder="1" applyAlignment="1">
      <alignment horizontal="right"/>
    </xf>
    <xf numFmtId="3" fontId="21" fillId="22" borderId="72" xfId="0" applyNumberFormat="1" applyFont="1" applyFill="1" applyBorder="1"/>
    <xf numFmtId="0" fontId="3" fillId="22" borderId="1" xfId="0" applyFont="1" applyFill="1" applyBorder="1" applyAlignment="1">
      <alignment horizontal="center"/>
    </xf>
    <xf numFmtId="0" fontId="4" fillId="22" borderId="1" xfId="0" applyFont="1" applyFill="1" applyBorder="1"/>
    <xf numFmtId="3" fontId="4" fillId="22" borderId="1" xfId="0" applyNumberFormat="1" applyFont="1" applyFill="1" applyBorder="1" applyAlignment="1">
      <alignment horizontal="right"/>
    </xf>
    <xf numFmtId="3" fontId="21" fillId="22" borderId="73" xfId="0" applyNumberFormat="1" applyFont="1" applyFill="1" applyBorder="1"/>
    <xf numFmtId="0" fontId="4" fillId="11" borderId="2" xfId="0" applyFont="1" applyFill="1" applyBorder="1"/>
    <xf numFmtId="0" fontId="3" fillId="0" borderId="26" xfId="0" applyFont="1" applyBorder="1"/>
    <xf numFmtId="3" fontId="55" fillId="13" borderId="3" xfId="0" applyNumberFormat="1" applyFont="1" applyFill="1" applyBorder="1" applyAlignment="1"/>
    <xf numFmtId="3" fontId="55" fillId="13" borderId="38" xfId="0" applyNumberFormat="1" applyFont="1" applyFill="1" applyBorder="1" applyAlignment="1"/>
    <xf numFmtId="3" fontId="55" fillId="13" borderId="1" xfId="0" applyNumberFormat="1" applyFont="1" applyFill="1" applyBorder="1" applyAlignment="1"/>
    <xf numFmtId="3" fontId="21" fillId="11" borderId="34" xfId="0" applyNumberFormat="1" applyFont="1" applyFill="1" applyBorder="1" applyAlignment="1">
      <alignment vertical="center"/>
    </xf>
    <xf numFmtId="49" fontId="5" fillId="3" borderId="4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3" fontId="21" fillId="0" borderId="34" xfId="0" applyNumberFormat="1" applyFont="1" applyFill="1" applyBorder="1"/>
    <xf numFmtId="0" fontId="16" fillId="3" borderId="5" xfId="0" applyFont="1" applyFill="1" applyBorder="1" applyAlignment="1">
      <alignment vertical="center"/>
    </xf>
    <xf numFmtId="0" fontId="13" fillId="11" borderId="38" xfId="0" applyFont="1" applyFill="1" applyBorder="1" applyAlignment="1">
      <alignment horizontal="center"/>
    </xf>
    <xf numFmtId="0" fontId="6" fillId="11" borderId="42" xfId="0" applyFont="1" applyFill="1" applyBorder="1"/>
    <xf numFmtId="3" fontId="6" fillId="11" borderId="38" xfId="0" applyNumberFormat="1" applyFont="1" applyFill="1" applyBorder="1" applyAlignment="1">
      <alignment horizontal="right"/>
    </xf>
    <xf numFmtId="3" fontId="9" fillId="11" borderId="30" xfId="0" applyNumberFormat="1" applyFont="1" applyFill="1" applyBorder="1"/>
    <xf numFmtId="49" fontId="87" fillId="11" borderId="0" xfId="0" applyNumberFormat="1" applyFont="1" applyFill="1" applyBorder="1" applyAlignment="1">
      <alignment horizontal="left" vertical="center" wrapText="1"/>
    </xf>
    <xf numFmtId="0" fontId="0" fillId="11" borderId="0" xfId="0" applyFill="1" applyAlignment="1">
      <alignment horizontal="center" wrapText="1"/>
    </xf>
    <xf numFmtId="0" fontId="77" fillId="11" borderId="0" xfId="0" applyFont="1" applyFill="1" applyAlignment="1">
      <alignment horizontal="center" wrapText="1"/>
    </xf>
    <xf numFmtId="0" fontId="89" fillId="11" borderId="0" xfId="0" applyFont="1" applyFill="1" applyBorder="1" applyAlignment="1">
      <alignment horizontal="center" vertical="center" wrapText="1"/>
    </xf>
    <xf numFmtId="0" fontId="8" fillId="11" borderId="0" xfId="0" applyFont="1" applyFill="1" applyBorder="1" applyAlignment="1">
      <alignment horizontal="center" vertical="center" wrapText="1"/>
    </xf>
    <xf numFmtId="3" fontId="21" fillId="2" borderId="34" xfId="0" applyNumberFormat="1" applyFont="1" applyFill="1" applyBorder="1" applyAlignment="1">
      <alignment horizontal="right"/>
    </xf>
    <xf numFmtId="3" fontId="6" fillId="0" borderId="34" xfId="0" applyNumberFormat="1" applyFont="1" applyBorder="1" applyAlignment="1">
      <alignment horizontal="right"/>
    </xf>
    <xf numFmtId="3" fontId="21" fillId="0" borderId="34" xfId="0" applyNumberFormat="1" applyFont="1" applyBorder="1" applyAlignment="1">
      <alignment horizontal="right"/>
    </xf>
    <xf numFmtId="3" fontId="21" fillId="0" borderId="34" xfId="0" applyNumberFormat="1" applyFont="1" applyFill="1" applyBorder="1" applyAlignment="1">
      <alignment horizontal="right"/>
    </xf>
    <xf numFmtId="3" fontId="6" fillId="0" borderId="34" xfId="0" applyNumberFormat="1" applyFont="1" applyFill="1" applyBorder="1" applyAlignment="1">
      <alignment horizontal="right"/>
    </xf>
    <xf numFmtId="3" fontId="22" fillId="8" borderId="30" xfId="0" applyNumberFormat="1" applyFont="1" applyFill="1" applyBorder="1" applyAlignment="1">
      <alignment horizontal="right"/>
    </xf>
    <xf numFmtId="3" fontId="21" fillId="11" borderId="26" xfId="0" applyNumberFormat="1" applyFont="1" applyFill="1" applyBorder="1" applyAlignment="1">
      <alignment horizontal="right"/>
    </xf>
    <xf numFmtId="3" fontId="21" fillId="11" borderId="70" xfId="0" applyNumberFormat="1" applyFont="1" applyFill="1" applyBorder="1" applyAlignment="1">
      <alignment horizontal="right"/>
    </xf>
    <xf numFmtId="3" fontId="21" fillId="28" borderId="26" xfId="0" applyNumberFormat="1" applyFont="1" applyFill="1" applyBorder="1" applyAlignment="1">
      <alignment horizontal="right"/>
    </xf>
    <xf numFmtId="3" fontId="21" fillId="28" borderId="75" xfId="0" applyNumberFormat="1" applyFont="1" applyFill="1" applyBorder="1" applyAlignment="1">
      <alignment horizontal="right"/>
    </xf>
    <xf numFmtId="3" fontId="21" fillId="28" borderId="70" xfId="0" applyNumberFormat="1" applyFont="1" applyFill="1" applyBorder="1" applyAlignment="1">
      <alignment horizontal="right"/>
    </xf>
    <xf numFmtId="3" fontId="21" fillId="14" borderId="70" xfId="0" applyNumberFormat="1" applyFont="1" applyFill="1" applyBorder="1" applyAlignment="1">
      <alignment horizontal="right"/>
    </xf>
    <xf numFmtId="3" fontId="21" fillId="29" borderId="70" xfId="0" applyNumberFormat="1" applyFont="1" applyFill="1" applyBorder="1" applyAlignment="1">
      <alignment horizontal="right"/>
    </xf>
    <xf numFmtId="3" fontId="21" fillId="29" borderId="70" xfId="0" applyNumberFormat="1" applyFont="1" applyFill="1" applyBorder="1" applyAlignment="1">
      <alignment horizontal="right" vertical="center"/>
    </xf>
    <xf numFmtId="3" fontId="21" fillId="31" borderId="26" xfId="0" applyNumberFormat="1" applyFont="1" applyFill="1" applyBorder="1" applyAlignment="1">
      <alignment horizontal="right"/>
    </xf>
    <xf numFmtId="3" fontId="21" fillId="11" borderId="74" xfId="0" applyNumberFormat="1" applyFont="1" applyFill="1" applyBorder="1" applyAlignment="1">
      <alignment horizontal="right"/>
    </xf>
    <xf numFmtId="0" fontId="35" fillId="0" borderId="0" xfId="0" applyFont="1" applyFill="1" applyBorder="1" applyAlignment="1">
      <alignment horizontal="left"/>
    </xf>
    <xf numFmtId="3" fontId="32" fillId="13" borderId="19" xfId="0" applyNumberFormat="1" applyFont="1" applyFill="1" applyBorder="1" applyAlignment="1"/>
    <xf numFmtId="3" fontId="21" fillId="31" borderId="49" xfId="0" applyNumberFormat="1" applyFont="1" applyFill="1" applyBorder="1" applyAlignment="1">
      <alignment horizontal="right"/>
    </xf>
    <xf numFmtId="3" fontId="21" fillId="11" borderId="25" xfId="0" applyNumberFormat="1" applyFont="1" applyFill="1" applyBorder="1" applyAlignment="1">
      <alignment horizontal="right"/>
    </xf>
    <xf numFmtId="49" fontId="74" fillId="22" borderId="51" xfId="0" applyNumberFormat="1" applyFont="1" applyFill="1" applyBorder="1" applyAlignment="1">
      <alignment horizontal="center" vertical="center" wrapText="1"/>
    </xf>
    <xf numFmtId="3" fontId="69" fillId="22" borderId="34" xfId="0" applyNumberFormat="1" applyFont="1" applyFill="1" applyBorder="1" applyAlignment="1">
      <alignment horizontal="right"/>
    </xf>
    <xf numFmtId="49" fontId="74" fillId="14" borderId="51" xfId="0" applyNumberFormat="1" applyFont="1" applyFill="1" applyBorder="1" applyAlignment="1">
      <alignment horizontal="center" vertical="center" wrapText="1"/>
    </xf>
    <xf numFmtId="3" fontId="69" fillId="14" borderId="34" xfId="0" applyNumberFormat="1" applyFont="1" applyFill="1" applyBorder="1" applyAlignment="1">
      <alignment horizontal="right"/>
    </xf>
    <xf numFmtId="3" fontId="69" fillId="14" borderId="33" xfId="0" applyNumberFormat="1" applyFont="1" applyFill="1" applyBorder="1" applyAlignment="1">
      <alignment horizontal="right"/>
    </xf>
    <xf numFmtId="3" fontId="44" fillId="14" borderId="33" xfId="0" applyNumberFormat="1" applyFont="1" applyFill="1" applyBorder="1" applyAlignment="1">
      <alignment horizontal="right"/>
    </xf>
    <xf numFmtId="3" fontId="33" fillId="14" borderId="37" xfId="0" applyNumberFormat="1" applyFont="1" applyFill="1" applyBorder="1" applyAlignment="1">
      <alignment horizontal="right"/>
    </xf>
    <xf numFmtId="3" fontId="33" fillId="14" borderId="34" xfId="0" applyNumberFormat="1" applyFont="1" applyFill="1" applyBorder="1" applyAlignment="1">
      <alignment horizontal="right"/>
    </xf>
    <xf numFmtId="4" fontId="2" fillId="14" borderId="30" xfId="0" applyNumberFormat="1" applyFont="1" applyFill="1" applyBorder="1" applyAlignment="1">
      <alignment horizontal="right"/>
    </xf>
    <xf numFmtId="4" fontId="2" fillId="14" borderId="40" xfId="0" applyNumberFormat="1" applyFont="1" applyFill="1" applyBorder="1" applyAlignment="1">
      <alignment horizontal="right"/>
    </xf>
    <xf numFmtId="3" fontId="40" fillId="22" borderId="33" xfId="0" applyNumberFormat="1" applyFont="1" applyFill="1" applyBorder="1" applyAlignment="1">
      <alignment horizontal="right"/>
    </xf>
    <xf numFmtId="3" fontId="33" fillId="22" borderId="40" xfId="0" applyNumberFormat="1" applyFont="1" applyFill="1" applyBorder="1" applyAlignment="1">
      <alignment horizontal="right" vertical="center"/>
    </xf>
    <xf numFmtId="0" fontId="88" fillId="24" borderId="68" xfId="0" applyFont="1" applyFill="1" applyBorder="1" applyAlignment="1">
      <alignment horizontal="center"/>
    </xf>
    <xf numFmtId="3" fontId="21" fillId="11" borderId="37" xfId="0" applyNumberFormat="1" applyFont="1" applyFill="1" applyBorder="1" applyAlignment="1">
      <alignment horizontal="right"/>
    </xf>
    <xf numFmtId="49" fontId="56" fillId="6" borderId="43" xfId="0" applyNumberFormat="1" applyFont="1" applyFill="1" applyBorder="1" applyAlignment="1">
      <alignment horizontal="center"/>
    </xf>
    <xf numFmtId="49" fontId="56" fillId="6" borderId="76" xfId="0" applyNumberFormat="1" applyFont="1" applyFill="1" applyBorder="1" applyAlignment="1">
      <alignment horizontal="center"/>
    </xf>
    <xf numFmtId="49" fontId="54" fillId="6" borderId="76" xfId="0" applyNumberFormat="1" applyFont="1" applyFill="1" applyBorder="1" applyAlignment="1">
      <alignment horizontal="center"/>
    </xf>
    <xf numFmtId="0" fontId="57" fillId="6" borderId="35" xfId="0" applyFont="1" applyFill="1" applyBorder="1"/>
    <xf numFmtId="0" fontId="54" fillId="6" borderId="35" xfId="0" applyFont="1" applyFill="1" applyBorder="1"/>
    <xf numFmtId="3" fontId="62" fillId="25" borderId="62" xfId="0" applyNumberFormat="1" applyFont="1" applyFill="1" applyBorder="1" applyAlignment="1">
      <alignment horizontal="right"/>
    </xf>
    <xf numFmtId="3" fontId="7" fillId="2" borderId="30" xfId="0" applyNumberFormat="1" applyFont="1" applyFill="1" applyBorder="1" applyAlignment="1">
      <alignment horizontal="right"/>
    </xf>
    <xf numFmtId="0" fontId="0" fillId="0" borderId="0" xfId="0" applyFill="1" applyAlignment="1">
      <alignment vertical="center"/>
    </xf>
    <xf numFmtId="49" fontId="4" fillId="11" borderId="11" xfId="0" applyNumberFormat="1" applyFont="1" applyFill="1" applyBorder="1" applyAlignment="1">
      <alignment horizontal="center" vertical="center"/>
    </xf>
    <xf numFmtId="3" fontId="21" fillId="11" borderId="29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3" fontId="21" fillId="22" borderId="1" xfId="0" applyNumberFormat="1" applyFont="1" applyFill="1" applyBorder="1" applyAlignment="1">
      <alignment horizontal="right" vertical="center"/>
    </xf>
    <xf numFmtId="49" fontId="4" fillId="11" borderId="3" xfId="0" applyNumberFormat="1" applyFont="1" applyFill="1" applyBorder="1" applyAlignment="1">
      <alignment horizontal="center" vertical="center"/>
    </xf>
    <xf numFmtId="0" fontId="21" fillId="22" borderId="2" xfId="0" applyFont="1" applyFill="1" applyBorder="1" applyAlignment="1">
      <alignment vertical="center" wrapText="1"/>
    </xf>
    <xf numFmtId="3" fontId="4" fillId="11" borderId="47" xfId="0" applyNumberFormat="1" applyFont="1" applyFill="1" applyBorder="1" applyAlignment="1">
      <alignment horizontal="right"/>
    </xf>
    <xf numFmtId="0" fontId="21" fillId="0" borderId="9" xfId="0" applyFont="1" applyFill="1" applyBorder="1"/>
    <xf numFmtId="0" fontId="3" fillId="0" borderId="11" xfId="0" applyFont="1" applyFill="1" applyBorder="1" applyAlignment="1">
      <alignment horizontal="center"/>
    </xf>
    <xf numFmtId="3" fontId="21" fillId="0" borderId="49" xfId="0" applyNumberFormat="1" applyFont="1" applyFill="1" applyBorder="1" applyAlignment="1">
      <alignment horizontal="right"/>
    </xf>
    <xf numFmtId="0" fontId="21" fillId="0" borderId="1" xfId="0" applyFont="1" applyFill="1" applyBorder="1"/>
    <xf numFmtId="3" fontId="4" fillId="0" borderId="1" xfId="0" applyNumberFormat="1" applyFont="1" applyFill="1" applyBorder="1" applyAlignment="1">
      <alignment horizontal="right"/>
    </xf>
    <xf numFmtId="49" fontId="5" fillId="2" borderId="22" xfId="0" applyNumberFormat="1" applyFont="1" applyFill="1" applyBorder="1" applyAlignment="1">
      <alignment horizontal="center"/>
    </xf>
    <xf numFmtId="3" fontId="21" fillId="11" borderId="59" xfId="0" applyNumberFormat="1" applyFont="1" applyFill="1" applyBorder="1" applyAlignment="1">
      <alignment horizontal="right"/>
    </xf>
    <xf numFmtId="0" fontId="88" fillId="24" borderId="71" xfId="0" applyFont="1" applyFill="1" applyBorder="1" applyAlignment="1">
      <alignment horizontal="center"/>
    </xf>
    <xf numFmtId="3" fontId="44" fillId="0" borderId="33" xfId="0" applyNumberFormat="1" applyFont="1" applyFill="1" applyBorder="1" applyAlignment="1">
      <alignment horizontal="right"/>
    </xf>
    <xf numFmtId="4" fontId="40" fillId="0" borderId="33" xfId="0" applyNumberFormat="1" applyFont="1" applyFill="1" applyBorder="1" applyAlignment="1">
      <alignment horizontal="right"/>
    </xf>
    <xf numFmtId="3" fontId="40" fillId="11" borderId="49" xfId="0" applyNumberFormat="1" applyFont="1" applyFill="1" applyBorder="1" applyAlignment="1">
      <alignment horizontal="right"/>
    </xf>
    <xf numFmtId="3" fontId="40" fillId="4" borderId="49" xfId="0" applyNumberFormat="1" applyFont="1" applyFill="1" applyBorder="1" applyAlignment="1">
      <alignment horizontal="right"/>
    </xf>
    <xf numFmtId="3" fontId="40" fillId="15" borderId="49" xfId="0" applyNumberFormat="1" applyFont="1" applyFill="1" applyBorder="1" applyAlignment="1">
      <alignment horizontal="right"/>
    </xf>
    <xf numFmtId="3" fontId="44" fillId="15" borderId="1" xfId="0" applyNumberFormat="1" applyFont="1" applyFill="1" applyBorder="1" applyAlignment="1">
      <alignment horizontal="right"/>
    </xf>
    <xf numFmtId="3" fontId="44" fillId="15" borderId="49" xfId="0" applyNumberFormat="1" applyFont="1" applyFill="1" applyBorder="1" applyAlignment="1">
      <alignment horizontal="right"/>
    </xf>
    <xf numFmtId="3" fontId="21" fillId="30" borderId="49" xfId="0" applyNumberFormat="1" applyFont="1" applyFill="1" applyBorder="1" applyAlignment="1">
      <alignment horizontal="right"/>
    </xf>
    <xf numFmtId="3" fontId="6" fillId="22" borderId="49" xfId="0" applyNumberFormat="1" applyFont="1" applyFill="1" applyBorder="1" applyAlignment="1">
      <alignment horizontal="right"/>
    </xf>
    <xf numFmtId="3" fontId="9" fillId="15" borderId="49" xfId="0" applyNumberFormat="1" applyFont="1" applyFill="1" applyBorder="1" applyAlignment="1">
      <alignment horizontal="right"/>
    </xf>
    <xf numFmtId="3" fontId="32" fillId="24" borderId="3" xfId="0" applyNumberFormat="1" applyFont="1" applyFill="1" applyBorder="1" applyAlignment="1"/>
    <xf numFmtId="3" fontId="44" fillId="26" borderId="1" xfId="0" applyNumberFormat="1" applyFont="1" applyFill="1" applyBorder="1" applyAlignment="1">
      <alignment horizontal="right"/>
    </xf>
    <xf numFmtId="3" fontId="40" fillId="4" borderId="11" xfId="0" applyNumberFormat="1" applyFont="1" applyFill="1" applyBorder="1" applyAlignment="1">
      <alignment horizontal="right"/>
    </xf>
    <xf numFmtId="3" fontId="21" fillId="15" borderId="49" xfId="0" applyNumberFormat="1" applyFont="1" applyFill="1" applyBorder="1" applyAlignment="1">
      <alignment horizontal="right"/>
    </xf>
    <xf numFmtId="3" fontId="40" fillId="26" borderId="1" xfId="0" applyNumberFormat="1" applyFont="1" applyFill="1" applyBorder="1" applyAlignment="1">
      <alignment horizontal="right"/>
    </xf>
    <xf numFmtId="3" fontId="44" fillId="15" borderId="3" xfId="0" applyNumberFormat="1" applyFont="1" applyFill="1" applyBorder="1" applyAlignment="1">
      <alignment horizontal="right"/>
    </xf>
    <xf numFmtId="3" fontId="40" fillId="15" borderId="3" xfId="0" applyNumberFormat="1" applyFont="1" applyFill="1" applyBorder="1" applyAlignment="1">
      <alignment horizontal="right"/>
    </xf>
    <xf numFmtId="3" fontId="21" fillId="16" borderId="1" xfId="0" applyNumberFormat="1" applyFont="1" applyFill="1" applyBorder="1" applyAlignment="1">
      <alignment horizontal="right"/>
    </xf>
    <xf numFmtId="3" fontId="21" fillId="16" borderId="3" xfId="0" applyNumberFormat="1" applyFont="1" applyFill="1" applyBorder="1" applyAlignment="1">
      <alignment horizontal="right"/>
    </xf>
    <xf numFmtId="3" fontId="40" fillId="0" borderId="49" xfId="0" applyNumberFormat="1" applyFont="1" applyFill="1" applyBorder="1" applyAlignment="1">
      <alignment horizontal="right"/>
    </xf>
    <xf numFmtId="3" fontId="9" fillId="11" borderId="11" xfId="0" applyNumberFormat="1" applyFont="1" applyFill="1" applyBorder="1" applyAlignment="1">
      <alignment horizontal="right"/>
    </xf>
    <xf numFmtId="3" fontId="89" fillId="11" borderId="49" xfId="0" applyNumberFormat="1" applyFont="1" applyFill="1" applyBorder="1" applyAlignment="1">
      <alignment horizontal="right"/>
    </xf>
    <xf numFmtId="3" fontId="89" fillId="11" borderId="1" xfId="0" applyNumberFormat="1" applyFont="1" applyFill="1" applyBorder="1" applyAlignment="1">
      <alignment horizontal="right"/>
    </xf>
    <xf numFmtId="3" fontId="26" fillId="11" borderId="11" xfId="0" applyNumberFormat="1" applyFont="1" applyFill="1" applyBorder="1" applyAlignment="1">
      <alignment horizontal="right"/>
    </xf>
    <xf numFmtId="3" fontId="21" fillId="22" borderId="49" xfId="0" applyNumberFormat="1" applyFont="1" applyFill="1" applyBorder="1" applyAlignment="1">
      <alignment horizontal="right" vertical="center"/>
    </xf>
    <xf numFmtId="3" fontId="60" fillId="13" borderId="3" xfId="0" applyNumberFormat="1" applyFont="1" applyFill="1" applyBorder="1" applyAlignment="1"/>
    <xf numFmtId="3" fontId="6" fillId="18" borderId="49" xfId="0" applyNumberFormat="1" applyFont="1" applyFill="1" applyBorder="1" applyAlignment="1">
      <alignment horizontal="right"/>
    </xf>
    <xf numFmtId="3" fontId="53" fillId="13" borderId="1" xfId="0" applyNumberFormat="1" applyFont="1" applyFill="1" applyBorder="1" applyAlignment="1"/>
    <xf numFmtId="3" fontId="21" fillId="18" borderId="1" xfId="0" applyNumberFormat="1" applyFont="1" applyFill="1" applyBorder="1" applyAlignment="1">
      <alignment horizontal="right"/>
    </xf>
    <xf numFmtId="3" fontId="21" fillId="12" borderId="49" xfId="0" applyNumberFormat="1" applyFont="1" applyFill="1" applyBorder="1" applyAlignment="1">
      <alignment horizontal="right"/>
    </xf>
    <xf numFmtId="3" fontId="9" fillId="12" borderId="49" xfId="0" applyNumberFormat="1" applyFont="1" applyFill="1" applyBorder="1" applyAlignment="1">
      <alignment horizontal="right"/>
    </xf>
    <xf numFmtId="0" fontId="32" fillId="25" borderId="64" xfId="0" applyFont="1" applyFill="1" applyBorder="1" applyAlignment="1">
      <alignment horizontal="center" vertical="center" wrapText="1"/>
    </xf>
    <xf numFmtId="0" fontId="32" fillId="25" borderId="37" xfId="0" applyFont="1" applyFill="1" applyBorder="1" applyAlignment="1">
      <alignment horizontal="center" vertical="center" wrapText="1"/>
    </xf>
    <xf numFmtId="0" fontId="32" fillId="25" borderId="48" xfId="0" applyFont="1" applyFill="1" applyBorder="1" applyAlignment="1">
      <alignment horizontal="center" vertical="center" wrapText="1"/>
    </xf>
    <xf numFmtId="49" fontId="65" fillId="5" borderId="65" xfId="0" applyNumberFormat="1" applyFont="1" applyFill="1" applyBorder="1" applyAlignment="1">
      <alignment horizontal="left" vertical="center"/>
    </xf>
    <xf numFmtId="49" fontId="66" fillId="5" borderId="25" xfId="0" applyNumberFormat="1" applyFont="1" applyFill="1" applyBorder="1" applyAlignment="1">
      <alignment vertical="center"/>
    </xf>
    <xf numFmtId="49" fontId="66" fillId="5" borderId="66" xfId="0" applyNumberFormat="1" applyFont="1" applyFill="1" applyBorder="1" applyAlignment="1">
      <alignment vertical="center"/>
    </xf>
    <xf numFmtId="49" fontId="66" fillId="5" borderId="6" xfId="0" applyNumberFormat="1" applyFont="1" applyFill="1" applyBorder="1" applyAlignment="1">
      <alignment vertical="center"/>
    </xf>
    <xf numFmtId="49" fontId="48" fillId="5" borderId="49" xfId="0" applyNumberFormat="1" applyFont="1" applyFill="1" applyBorder="1" applyAlignment="1">
      <alignment horizontal="center" vertical="center" wrapText="1"/>
    </xf>
    <xf numFmtId="49" fontId="48" fillId="5" borderId="16" xfId="0" applyNumberFormat="1" applyFont="1" applyFill="1" applyBorder="1" applyAlignment="1">
      <alignment horizontal="center" vertical="center" wrapText="1"/>
    </xf>
    <xf numFmtId="49" fontId="65" fillId="5" borderId="25" xfId="0" applyNumberFormat="1" applyFont="1" applyFill="1" applyBorder="1" applyAlignment="1">
      <alignment horizontal="left" vertical="center"/>
    </xf>
    <xf numFmtId="49" fontId="65" fillId="5" borderId="66" xfId="0" applyNumberFormat="1" applyFont="1" applyFill="1" applyBorder="1" applyAlignment="1">
      <alignment horizontal="left" vertical="center"/>
    </xf>
    <xf numFmtId="49" fontId="65" fillId="5" borderId="6" xfId="0" applyNumberFormat="1" applyFont="1" applyFill="1" applyBorder="1" applyAlignment="1">
      <alignment horizontal="left" vertical="center"/>
    </xf>
    <xf numFmtId="49" fontId="48" fillId="5" borderId="11" xfId="0" applyNumberFormat="1" applyFont="1" applyFill="1" applyBorder="1" applyAlignment="1">
      <alignment horizontal="center" vertical="center" wrapText="1"/>
    </xf>
    <xf numFmtId="49" fontId="82" fillId="11" borderId="8" xfId="0" applyNumberFormat="1" applyFont="1" applyFill="1" applyBorder="1" applyAlignment="1">
      <alignment horizontal="center" vertical="center" wrapText="1"/>
    </xf>
    <xf numFmtId="49" fontId="32" fillId="19" borderId="64" xfId="0" applyNumberFormat="1" applyFont="1" applyFill="1" applyBorder="1" applyAlignment="1">
      <alignment horizontal="center" vertical="center" wrapText="1"/>
    </xf>
    <xf numFmtId="0" fontId="73" fillId="19" borderId="37" xfId="0" applyFont="1" applyFill="1" applyBorder="1" applyAlignment="1">
      <alignment horizontal="center" wrapText="1"/>
    </xf>
    <xf numFmtId="0" fontId="73" fillId="19" borderId="48" xfId="0" applyFont="1" applyFill="1" applyBorder="1" applyAlignment="1">
      <alignment horizontal="center" wrapText="1"/>
    </xf>
    <xf numFmtId="0" fontId="3" fillId="10" borderId="56" xfId="0" applyFont="1" applyFill="1" applyBorder="1" applyAlignment="1">
      <alignment horizontal="center" vertical="center" textRotation="180" wrapText="1"/>
    </xf>
    <xf numFmtId="0" fontId="3" fillId="10" borderId="16" xfId="0" applyFont="1" applyFill="1" applyBorder="1" applyAlignment="1">
      <alignment horizontal="center" vertical="center" textRotation="180" wrapText="1"/>
    </xf>
    <xf numFmtId="0" fontId="53" fillId="20" borderId="56" xfId="0" applyFont="1" applyFill="1" applyBorder="1" applyAlignment="1">
      <alignment horizontal="center" vertical="center" wrapText="1"/>
    </xf>
    <xf numFmtId="0" fontId="53" fillId="20" borderId="16" xfId="0" applyFont="1" applyFill="1" applyBorder="1" applyAlignment="1">
      <alignment horizontal="center" vertical="center" wrapText="1"/>
    </xf>
    <xf numFmtId="0" fontId="53" fillId="13" borderId="56" xfId="0" applyFont="1" applyFill="1" applyBorder="1" applyAlignment="1">
      <alignment horizontal="center" vertical="center" wrapText="1"/>
    </xf>
    <xf numFmtId="0" fontId="53" fillId="13" borderId="16" xfId="0" applyFont="1" applyFill="1" applyBorder="1" applyAlignment="1">
      <alignment horizontal="center" vertical="center" wrapText="1"/>
    </xf>
    <xf numFmtId="0" fontId="53" fillId="20" borderId="11" xfId="0" applyFont="1" applyFill="1" applyBorder="1" applyAlignment="1">
      <alignment horizontal="center" vertical="center" wrapText="1"/>
    </xf>
    <xf numFmtId="49" fontId="72" fillId="9" borderId="67" xfId="0" applyNumberFormat="1" applyFont="1" applyFill="1" applyBorder="1" applyAlignment="1">
      <alignment horizontal="center"/>
    </xf>
    <xf numFmtId="49" fontId="72" fillId="9" borderId="68" xfId="0" applyNumberFormat="1" applyFont="1" applyFill="1" applyBorder="1" applyAlignment="1">
      <alignment horizontal="center"/>
    </xf>
    <xf numFmtId="49" fontId="72" fillId="9" borderId="69" xfId="0" applyNumberFormat="1" applyFont="1" applyFill="1" applyBorder="1" applyAlignment="1">
      <alignment horizontal="center"/>
    </xf>
    <xf numFmtId="0" fontId="35" fillId="0" borderId="8" xfId="0" applyFont="1" applyFill="1" applyBorder="1" applyAlignment="1">
      <alignment horizontal="left"/>
    </xf>
    <xf numFmtId="0" fontId="40" fillId="14" borderId="1" xfId="0" applyFont="1" applyFill="1" applyBorder="1" applyAlignment="1">
      <alignment horizontal="left"/>
    </xf>
    <xf numFmtId="0" fontId="10" fillId="3" borderId="26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left"/>
    </xf>
    <xf numFmtId="0" fontId="10" fillId="3" borderId="4" xfId="0" applyFont="1" applyFill="1" applyBorder="1" applyAlignment="1">
      <alignment horizontal="left"/>
    </xf>
    <xf numFmtId="49" fontId="87" fillId="11" borderId="0" xfId="0" applyNumberFormat="1" applyFont="1" applyFill="1" applyBorder="1" applyAlignment="1">
      <alignment horizontal="left" vertical="center" wrapText="1"/>
    </xf>
    <xf numFmtId="3" fontId="33" fillId="22" borderId="29" xfId="0" applyNumberFormat="1" applyFont="1" applyFill="1" applyBorder="1" applyAlignment="1">
      <alignment horizontal="right" vertical="center"/>
    </xf>
    <xf numFmtId="3" fontId="33" fillId="22" borderId="34" xfId="0" applyNumberFormat="1" applyFont="1" applyFill="1" applyBorder="1" applyAlignment="1">
      <alignment horizontal="right" vertical="center"/>
    </xf>
    <xf numFmtId="4" fontId="33" fillId="22" borderId="29" xfId="0" applyNumberFormat="1" applyFont="1" applyFill="1" applyBorder="1" applyAlignment="1">
      <alignment horizontal="center" vertical="center"/>
    </xf>
    <xf numFmtId="4" fontId="33" fillId="22" borderId="34" xfId="0" applyNumberFormat="1" applyFont="1" applyFill="1" applyBorder="1" applyAlignment="1">
      <alignment horizontal="center" vertical="center"/>
    </xf>
    <xf numFmtId="3" fontId="33" fillId="14" borderId="29" xfId="0" applyNumberFormat="1" applyFont="1" applyFill="1" applyBorder="1" applyAlignment="1">
      <alignment horizontal="center"/>
    </xf>
    <xf numFmtId="3" fontId="33" fillId="14" borderId="34" xfId="0" applyNumberFormat="1" applyFont="1" applyFill="1" applyBorder="1" applyAlignment="1">
      <alignment horizontal="center"/>
    </xf>
    <xf numFmtId="3" fontId="33" fillId="14" borderId="29" xfId="0" applyNumberFormat="1" applyFont="1" applyFill="1" applyBorder="1" applyAlignment="1">
      <alignment horizontal="right" vertical="center"/>
    </xf>
    <xf numFmtId="0" fontId="41" fillId="14" borderId="34" xfId="0" applyFont="1" applyFill="1" applyBorder="1" applyAlignment="1">
      <alignment horizontal="right" vertical="center"/>
    </xf>
    <xf numFmtId="0" fontId="0" fillId="11" borderId="0" xfId="0" applyFill="1" applyAlignment="1">
      <alignment horizontal="center" wrapText="1"/>
    </xf>
    <xf numFmtId="0" fontId="12" fillId="22" borderId="70" xfId="0" applyFont="1" applyFill="1" applyBorder="1" applyAlignment="1">
      <alignment vertical="center"/>
    </xf>
    <xf numFmtId="0" fontId="41" fillId="22" borderId="28" xfId="0" applyFont="1" applyFill="1" applyBorder="1" applyAlignment="1">
      <alignment vertical="center"/>
    </xf>
    <xf numFmtId="0" fontId="0" fillId="27" borderId="67" xfId="0" applyFill="1" applyBorder="1" applyAlignment="1">
      <alignment horizontal="center" vertical="center"/>
    </xf>
    <xf numFmtId="0" fontId="0" fillId="27" borderId="71" xfId="0" applyFill="1" applyBorder="1" applyAlignment="1">
      <alignment horizontal="center" vertical="center"/>
    </xf>
    <xf numFmtId="0" fontId="77" fillId="11" borderId="0" xfId="0" applyFont="1" applyFill="1" applyAlignment="1">
      <alignment horizontal="center" wrapText="1"/>
    </xf>
    <xf numFmtId="0" fontId="12" fillId="22" borderId="70" xfId="0" applyFont="1" applyFill="1" applyBorder="1" applyAlignment="1">
      <alignment horizontal="left" vertical="center"/>
    </xf>
    <xf numFmtId="0" fontId="41" fillId="22" borderId="28" xfId="0" applyFont="1" applyFill="1" applyBorder="1" applyAlignment="1">
      <alignment horizontal="left" vertical="center"/>
    </xf>
    <xf numFmtId="0" fontId="89" fillId="11" borderId="0" xfId="0" applyFont="1" applyFill="1" applyBorder="1" applyAlignment="1">
      <alignment horizontal="center" vertical="center" wrapText="1"/>
    </xf>
    <xf numFmtId="0" fontId="8" fillId="11" borderId="0" xfId="0" applyFont="1" applyFill="1" applyBorder="1" applyAlignment="1">
      <alignment horizontal="center" vertical="center" wrapText="1"/>
    </xf>
    <xf numFmtId="3" fontId="33" fillId="12" borderId="29" xfId="0" applyNumberFormat="1" applyFont="1" applyFill="1" applyBorder="1" applyAlignment="1">
      <alignment horizontal="right" vertical="center"/>
    </xf>
    <xf numFmtId="0" fontId="41" fillId="12" borderId="34" xfId="0" applyFont="1" applyFill="1" applyBorder="1" applyAlignment="1">
      <alignment horizontal="right" vertical="center"/>
    </xf>
    <xf numFmtId="0" fontId="88" fillId="24" borderId="67" xfId="0" applyFont="1" applyFill="1" applyBorder="1" applyAlignment="1">
      <alignment horizontal="center"/>
    </xf>
    <xf numFmtId="0" fontId="88" fillId="24" borderId="68" xfId="0" applyFont="1" applyFill="1" applyBorder="1" applyAlignment="1">
      <alignment horizontal="center"/>
    </xf>
    <xf numFmtId="4" fontId="25" fillId="12" borderId="29" xfId="0" applyNumberFormat="1" applyFont="1" applyFill="1" applyBorder="1" applyAlignment="1">
      <alignment horizontal="center"/>
    </xf>
    <xf numFmtId="4" fontId="25" fillId="12" borderId="34" xfId="0" applyNumberFormat="1" applyFont="1" applyFill="1" applyBorder="1" applyAlignment="1">
      <alignment horizontal="center"/>
    </xf>
  </cellXfs>
  <cellStyles count="6">
    <cellStyle name="Excel Built-in Normal" xfId="1"/>
    <cellStyle name="Normálne" xfId="0" builtinId="0"/>
    <cellStyle name="normálne 2" xfId="2"/>
    <cellStyle name="normálne 2 2" xfId="3"/>
    <cellStyle name="normálne 4" xfId="4"/>
    <cellStyle name="normálne 9" xfId="5"/>
  </cellStyles>
  <dxfs count="0"/>
  <tableStyles count="0" defaultTableStyle="TableStyleMedium9" defaultPivotStyle="PivotStyleLight16"/>
  <colors>
    <mruColors>
      <color rgb="FF99FFCC"/>
      <color rgb="FF99FF66"/>
      <color rgb="FFFF99CC"/>
      <color rgb="FFFF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tabColor rgb="FFFFFF00"/>
  </sheetPr>
  <dimension ref="A2:J286"/>
  <sheetViews>
    <sheetView tabSelected="1" zoomScaleNormal="100" zoomScaleSheetLayoutView="100" workbookViewId="0"/>
  </sheetViews>
  <sheetFormatPr defaultRowHeight="12.75" x14ac:dyDescent="0.2"/>
  <cols>
    <col min="1" max="1" width="1.42578125" style="17" customWidth="1"/>
    <col min="2" max="2" width="3.28515625" style="15" customWidth="1"/>
    <col min="3" max="3" width="3.5703125" style="16" customWidth="1"/>
    <col min="4" max="4" width="4" style="16" customWidth="1"/>
    <col min="5" max="5" width="4.140625" style="16" customWidth="1"/>
    <col min="6" max="6" width="4.5703125" style="15" customWidth="1"/>
    <col min="7" max="7" width="48.85546875" style="15" customWidth="1"/>
    <col min="8" max="8" width="12.85546875" customWidth="1"/>
    <col min="9" max="9" width="13.7109375" customWidth="1"/>
    <col min="10" max="10" width="13.5703125" customWidth="1"/>
  </cols>
  <sheetData>
    <row r="2" spans="1:10" ht="105.75" customHeight="1" thickBot="1" x14ac:dyDescent="0.25">
      <c r="B2" s="894" t="s">
        <v>859</v>
      </c>
      <c r="C2" s="894"/>
      <c r="D2" s="894"/>
      <c r="E2" s="894"/>
      <c r="F2" s="894"/>
      <c r="G2" s="894"/>
      <c r="H2" s="894"/>
      <c r="I2" s="894"/>
      <c r="J2" s="894"/>
    </row>
    <row r="3" spans="1:10" ht="15.75" customHeight="1" x14ac:dyDescent="0.2">
      <c r="B3" s="884" t="s">
        <v>9</v>
      </c>
      <c r="C3" s="885"/>
      <c r="D3" s="885"/>
      <c r="E3" s="885"/>
      <c r="F3" s="885"/>
      <c r="G3" s="885"/>
      <c r="H3" s="881" t="s">
        <v>721</v>
      </c>
      <c r="I3" s="881" t="s">
        <v>860</v>
      </c>
      <c r="J3" s="881" t="s">
        <v>721</v>
      </c>
    </row>
    <row r="4" spans="1:10" ht="10.5" customHeight="1" x14ac:dyDescent="0.2">
      <c r="B4" s="886"/>
      <c r="C4" s="887"/>
      <c r="D4" s="887"/>
      <c r="E4" s="887"/>
      <c r="F4" s="887"/>
      <c r="G4" s="887"/>
      <c r="H4" s="882"/>
      <c r="I4" s="882"/>
      <c r="J4" s="882"/>
    </row>
    <row r="5" spans="1:10" ht="15.75" customHeight="1" x14ac:dyDescent="0.2">
      <c r="A5" s="237"/>
      <c r="B5" s="79"/>
      <c r="C5" s="888" t="s">
        <v>10</v>
      </c>
      <c r="D5" s="80" t="s">
        <v>11</v>
      </c>
      <c r="E5" s="80" t="s">
        <v>12</v>
      </c>
      <c r="F5" s="81"/>
      <c r="G5" s="81"/>
      <c r="H5" s="882"/>
      <c r="I5" s="882"/>
      <c r="J5" s="882"/>
    </row>
    <row r="6" spans="1:10" ht="36" customHeight="1" thickBot="1" x14ac:dyDescent="0.25">
      <c r="A6" s="237"/>
      <c r="B6" s="83"/>
      <c r="C6" s="889"/>
      <c r="D6" s="85"/>
      <c r="E6" s="84" t="s">
        <v>13</v>
      </c>
      <c r="F6" s="86" t="s">
        <v>14</v>
      </c>
      <c r="G6" s="309"/>
      <c r="H6" s="883"/>
      <c r="I6" s="883"/>
      <c r="J6" s="883"/>
    </row>
    <row r="7" spans="1:10" ht="19.5" customHeight="1" thickTop="1" x14ac:dyDescent="0.2">
      <c r="B7" s="33">
        <v>1</v>
      </c>
      <c r="C7" s="103" t="s">
        <v>15</v>
      </c>
      <c r="D7" s="104"/>
      <c r="E7" s="105"/>
      <c r="F7" s="110" t="s">
        <v>16</v>
      </c>
      <c r="G7" s="325"/>
      <c r="H7" s="553">
        <f>H9+H12+H18</f>
        <v>22438100</v>
      </c>
      <c r="I7" s="553">
        <f t="shared" ref="I7" si="0">I9+I12+I18</f>
        <v>0</v>
      </c>
      <c r="J7" s="553">
        <f>H7+I7</f>
        <v>22438100</v>
      </c>
    </row>
    <row r="8" spans="1:10" ht="13.5" customHeight="1" x14ac:dyDescent="0.2">
      <c r="A8" s="237"/>
      <c r="B8" s="34">
        <f>B7+1</f>
        <v>2</v>
      </c>
      <c r="C8" s="3"/>
      <c r="D8" s="35"/>
      <c r="E8" s="7"/>
      <c r="F8" s="36"/>
      <c r="G8" s="36"/>
      <c r="H8" s="554"/>
      <c r="I8" s="554"/>
      <c r="J8" s="554"/>
    </row>
    <row r="9" spans="1:10" ht="13.5" customHeight="1" x14ac:dyDescent="0.2">
      <c r="B9" s="34">
        <f t="shared" ref="B9:B78" si="1">B8+1</f>
        <v>3</v>
      </c>
      <c r="C9" s="8" t="s">
        <v>17</v>
      </c>
      <c r="D9" s="37"/>
      <c r="E9" s="38"/>
      <c r="F9" s="39" t="s">
        <v>18</v>
      </c>
      <c r="G9" s="40"/>
      <c r="H9" s="481">
        <f>H10</f>
        <v>14432100</v>
      </c>
      <c r="I9" s="481">
        <f t="shared" ref="I9" si="2">I10</f>
        <v>0</v>
      </c>
      <c r="J9" s="481">
        <f>H9+I9</f>
        <v>14432100</v>
      </c>
    </row>
    <row r="10" spans="1:10" ht="12.75" customHeight="1" x14ac:dyDescent="0.2">
      <c r="B10" s="34">
        <f t="shared" si="1"/>
        <v>4</v>
      </c>
      <c r="C10" s="8"/>
      <c r="D10" s="37" t="s">
        <v>19</v>
      </c>
      <c r="E10" s="38" t="s">
        <v>20</v>
      </c>
      <c r="F10" s="32" t="s">
        <v>21</v>
      </c>
      <c r="G10" s="40"/>
      <c r="H10" s="478">
        <f>14200000+232100</f>
        <v>14432100</v>
      </c>
      <c r="I10" s="478"/>
      <c r="J10" s="793">
        <f t="shared" ref="J10:J22" si="3">H10+I10</f>
        <v>14432100</v>
      </c>
    </row>
    <row r="11" spans="1:10" x14ac:dyDescent="0.2">
      <c r="B11" s="34">
        <f t="shared" si="1"/>
        <v>5</v>
      </c>
      <c r="C11" s="9"/>
      <c r="D11" s="41"/>
      <c r="E11" s="42"/>
      <c r="F11" s="43"/>
      <c r="G11" s="44"/>
      <c r="H11" s="555"/>
      <c r="I11" s="555"/>
      <c r="J11" s="481"/>
    </row>
    <row r="12" spans="1:10" x14ac:dyDescent="0.2">
      <c r="B12" s="34">
        <f t="shared" si="1"/>
        <v>6</v>
      </c>
      <c r="C12" s="8" t="s">
        <v>22</v>
      </c>
      <c r="D12" s="41"/>
      <c r="E12" s="45"/>
      <c r="F12" s="39" t="s">
        <v>23</v>
      </c>
      <c r="G12" s="44"/>
      <c r="H12" s="538">
        <f>H13</f>
        <v>5450000</v>
      </c>
      <c r="I12" s="538">
        <f t="shared" ref="I12" si="4">I13</f>
        <v>0</v>
      </c>
      <c r="J12" s="481">
        <f t="shared" si="3"/>
        <v>5450000</v>
      </c>
    </row>
    <row r="13" spans="1:10" x14ac:dyDescent="0.2">
      <c r="B13" s="34">
        <f t="shared" si="1"/>
        <v>7</v>
      </c>
      <c r="C13" s="9"/>
      <c r="D13" s="41" t="s">
        <v>24</v>
      </c>
      <c r="E13" s="45"/>
      <c r="F13" s="32" t="s">
        <v>25</v>
      </c>
      <c r="G13" s="44"/>
      <c r="H13" s="556">
        <f>SUM(H14:H16)</f>
        <v>5450000</v>
      </c>
      <c r="I13" s="556"/>
      <c r="J13" s="793">
        <f t="shared" si="3"/>
        <v>5450000</v>
      </c>
    </row>
    <row r="14" spans="1:10" x14ac:dyDescent="0.2">
      <c r="B14" s="34">
        <f t="shared" si="1"/>
        <v>8</v>
      </c>
      <c r="C14" s="9"/>
      <c r="D14" s="41"/>
      <c r="E14" s="45" t="s">
        <v>26</v>
      </c>
      <c r="F14" s="36" t="s">
        <v>27</v>
      </c>
      <c r="G14" s="44"/>
      <c r="H14" s="557">
        <v>610000</v>
      </c>
      <c r="I14" s="557"/>
      <c r="J14" s="793">
        <f t="shared" si="3"/>
        <v>610000</v>
      </c>
    </row>
    <row r="15" spans="1:10" x14ac:dyDescent="0.2">
      <c r="B15" s="34">
        <f t="shared" si="1"/>
        <v>9</v>
      </c>
      <c r="C15" s="9"/>
      <c r="D15" s="41"/>
      <c r="E15" s="45" t="s">
        <v>28</v>
      </c>
      <c r="F15" s="36" t="s">
        <v>29</v>
      </c>
      <c r="G15" s="44"/>
      <c r="H15" s="557">
        <v>4445000</v>
      </c>
      <c r="I15" s="557"/>
      <c r="J15" s="793">
        <f t="shared" si="3"/>
        <v>4445000</v>
      </c>
    </row>
    <row r="16" spans="1:10" x14ac:dyDescent="0.2">
      <c r="B16" s="34">
        <f t="shared" si="1"/>
        <v>10</v>
      </c>
      <c r="C16" s="9"/>
      <c r="D16" s="41"/>
      <c r="E16" s="45" t="s">
        <v>20</v>
      </c>
      <c r="F16" s="36" t="s">
        <v>30</v>
      </c>
      <c r="G16" s="44"/>
      <c r="H16" s="557">
        <v>395000</v>
      </c>
      <c r="I16" s="557"/>
      <c r="J16" s="793">
        <f t="shared" si="3"/>
        <v>395000</v>
      </c>
    </row>
    <row r="17" spans="2:10" x14ac:dyDescent="0.2">
      <c r="B17" s="34">
        <f t="shared" si="1"/>
        <v>11</v>
      </c>
      <c r="C17" s="46"/>
      <c r="D17" s="41"/>
      <c r="E17" s="45"/>
      <c r="F17" s="47"/>
      <c r="G17" s="44"/>
      <c r="H17" s="558"/>
      <c r="I17" s="558"/>
      <c r="J17" s="481"/>
    </row>
    <row r="18" spans="2:10" x14ac:dyDescent="0.2">
      <c r="B18" s="34">
        <f t="shared" si="1"/>
        <v>12</v>
      </c>
      <c r="C18" s="8" t="s">
        <v>31</v>
      </c>
      <c r="D18" s="41"/>
      <c r="E18" s="45"/>
      <c r="F18" s="39" t="s">
        <v>32</v>
      </c>
      <c r="G18" s="44"/>
      <c r="H18" s="559">
        <f>SUM(H19:H22)</f>
        <v>2556000</v>
      </c>
      <c r="I18" s="559">
        <f t="shared" ref="I18" si="5">SUM(I19:I22)</f>
        <v>0</v>
      </c>
      <c r="J18" s="481">
        <f t="shared" si="3"/>
        <v>2556000</v>
      </c>
    </row>
    <row r="19" spans="2:10" x14ac:dyDescent="0.2">
      <c r="B19" s="34">
        <f t="shared" si="1"/>
        <v>13</v>
      </c>
      <c r="C19" s="26"/>
      <c r="D19" s="1" t="s">
        <v>33</v>
      </c>
      <c r="E19" s="2" t="s">
        <v>34</v>
      </c>
      <c r="F19" s="36" t="s">
        <v>35</v>
      </c>
      <c r="G19" s="36"/>
      <c r="H19" s="556">
        <v>65000</v>
      </c>
      <c r="I19" s="556"/>
      <c r="J19" s="793">
        <f t="shared" si="3"/>
        <v>65000</v>
      </c>
    </row>
    <row r="20" spans="2:10" x14ac:dyDescent="0.2">
      <c r="B20" s="34">
        <f t="shared" si="1"/>
        <v>14</v>
      </c>
      <c r="C20" s="26"/>
      <c r="D20" s="1" t="s">
        <v>33</v>
      </c>
      <c r="E20" s="2" t="s">
        <v>26</v>
      </c>
      <c r="F20" s="36" t="s">
        <v>124</v>
      </c>
      <c r="G20" s="36"/>
      <c r="H20" s="556">
        <v>53000</v>
      </c>
      <c r="I20" s="556"/>
      <c r="J20" s="793">
        <f t="shared" si="3"/>
        <v>53000</v>
      </c>
    </row>
    <row r="21" spans="2:10" x14ac:dyDescent="0.2">
      <c r="B21" s="34">
        <f t="shared" si="1"/>
        <v>15</v>
      </c>
      <c r="C21" s="26"/>
      <c r="D21" s="1" t="s">
        <v>33</v>
      </c>
      <c r="E21" s="2" t="s">
        <v>36</v>
      </c>
      <c r="F21" s="36" t="s">
        <v>178</v>
      </c>
      <c r="G21" s="36"/>
      <c r="H21" s="556">
        <v>2400000</v>
      </c>
      <c r="I21" s="556"/>
      <c r="J21" s="793">
        <f t="shared" si="3"/>
        <v>2400000</v>
      </c>
    </row>
    <row r="22" spans="2:10" x14ac:dyDescent="0.2">
      <c r="B22" s="34">
        <f t="shared" si="1"/>
        <v>16</v>
      </c>
      <c r="C22" s="26"/>
      <c r="D22" s="1" t="s">
        <v>33</v>
      </c>
      <c r="E22" s="2"/>
      <c r="F22" s="36" t="s">
        <v>279</v>
      </c>
      <c r="G22" s="36"/>
      <c r="H22" s="556">
        <v>38000</v>
      </c>
      <c r="I22" s="556"/>
      <c r="J22" s="793">
        <f t="shared" si="3"/>
        <v>38000</v>
      </c>
    </row>
    <row r="23" spans="2:10" x14ac:dyDescent="0.2">
      <c r="B23" s="34">
        <f t="shared" si="1"/>
        <v>17</v>
      </c>
      <c r="C23" s="9"/>
      <c r="D23" s="41"/>
      <c r="E23" s="45"/>
      <c r="F23" s="43"/>
      <c r="G23" s="44"/>
      <c r="H23" s="555"/>
      <c r="I23" s="555"/>
      <c r="J23" s="793"/>
    </row>
    <row r="24" spans="2:10" ht="19.5" customHeight="1" x14ac:dyDescent="0.2">
      <c r="B24" s="34">
        <f t="shared" si="1"/>
        <v>18</v>
      </c>
      <c r="C24" s="106" t="s">
        <v>37</v>
      </c>
      <c r="D24" s="107"/>
      <c r="E24" s="108"/>
      <c r="F24" s="109" t="s">
        <v>38</v>
      </c>
      <c r="G24" s="317"/>
      <c r="H24" s="560">
        <f>H26+H36+H44+H46+H50+H86+H117+H150+H202+H204+H203</f>
        <v>3084784</v>
      </c>
      <c r="I24" s="560">
        <f>I26+I36+I44+I46+I50+I86+I117+I150+I202+I203+I204</f>
        <v>577</v>
      </c>
      <c r="J24" s="560">
        <f>H24+I24</f>
        <v>3085361</v>
      </c>
    </row>
    <row r="25" spans="2:10" x14ac:dyDescent="0.2">
      <c r="B25" s="34">
        <f t="shared" si="1"/>
        <v>19</v>
      </c>
      <c r="C25" s="48"/>
      <c r="D25" s="48"/>
      <c r="E25" s="49"/>
      <c r="F25" s="36"/>
      <c r="G25" s="40"/>
      <c r="H25" s="478"/>
      <c r="I25" s="478"/>
      <c r="J25" s="478"/>
    </row>
    <row r="26" spans="2:10" x14ac:dyDescent="0.2">
      <c r="B26" s="34">
        <f t="shared" si="1"/>
        <v>20</v>
      </c>
      <c r="C26" s="8" t="s">
        <v>39</v>
      </c>
      <c r="D26" s="8"/>
      <c r="E26" s="10"/>
      <c r="F26" s="39" t="s">
        <v>40</v>
      </c>
      <c r="G26" s="40"/>
      <c r="H26" s="538">
        <f>H27</f>
        <v>435200</v>
      </c>
      <c r="I26" s="538">
        <f t="shared" ref="I26" si="6">I27</f>
        <v>0</v>
      </c>
      <c r="J26" s="794">
        <f>H26+I26</f>
        <v>435200</v>
      </c>
    </row>
    <row r="27" spans="2:10" x14ac:dyDescent="0.2">
      <c r="B27" s="34">
        <f t="shared" si="1"/>
        <v>21</v>
      </c>
      <c r="C27" s="8"/>
      <c r="D27" s="8" t="s">
        <v>41</v>
      </c>
      <c r="E27" s="10"/>
      <c r="F27" s="73" t="s">
        <v>90</v>
      </c>
      <c r="G27" s="40"/>
      <c r="H27" s="557">
        <f>H28+H29</f>
        <v>435200</v>
      </c>
      <c r="I27" s="557">
        <f t="shared" ref="I27" si="7">I28+I29</f>
        <v>0</v>
      </c>
      <c r="J27" s="795">
        <f t="shared" ref="J27:J48" si="8">H27+I27</f>
        <v>435200</v>
      </c>
    </row>
    <row r="28" spans="2:10" x14ac:dyDescent="0.2">
      <c r="B28" s="34">
        <f t="shared" si="1"/>
        <v>22</v>
      </c>
      <c r="C28" s="48"/>
      <c r="D28" s="37"/>
      <c r="E28" s="11" t="s">
        <v>28</v>
      </c>
      <c r="F28" s="44" t="s">
        <v>42</v>
      </c>
      <c r="G28" s="40"/>
      <c r="H28" s="557">
        <v>79200</v>
      </c>
      <c r="I28" s="557"/>
      <c r="J28" s="795">
        <f t="shared" si="8"/>
        <v>79200</v>
      </c>
    </row>
    <row r="29" spans="2:10" x14ac:dyDescent="0.2">
      <c r="B29" s="34">
        <f t="shared" si="1"/>
        <v>23</v>
      </c>
      <c r="C29" s="48"/>
      <c r="D29" s="37"/>
      <c r="E29" s="11" t="s">
        <v>20</v>
      </c>
      <c r="F29" s="44" t="s">
        <v>43</v>
      </c>
      <c r="G29" s="40"/>
      <c r="H29" s="478">
        <f>SUM(H30:H34)</f>
        <v>356000</v>
      </c>
      <c r="I29" s="478">
        <f t="shared" ref="I29" si="9">SUM(I30:I34)</f>
        <v>0</v>
      </c>
      <c r="J29" s="795">
        <f t="shared" si="8"/>
        <v>356000</v>
      </c>
    </row>
    <row r="30" spans="2:10" x14ac:dyDescent="0.2">
      <c r="B30" s="34">
        <f t="shared" si="1"/>
        <v>24</v>
      </c>
      <c r="C30" s="48"/>
      <c r="D30" s="37"/>
      <c r="E30" s="49"/>
      <c r="F30" s="32"/>
      <c r="G30" s="40" t="s">
        <v>44</v>
      </c>
      <c r="H30" s="478">
        <v>36000</v>
      </c>
      <c r="I30" s="478"/>
      <c r="J30" s="795">
        <f t="shared" si="8"/>
        <v>36000</v>
      </c>
    </row>
    <row r="31" spans="2:10" x14ac:dyDescent="0.2">
      <c r="B31" s="34">
        <f t="shared" si="1"/>
        <v>25</v>
      </c>
      <c r="C31" s="48"/>
      <c r="D31" s="37"/>
      <c r="E31" s="49"/>
      <c r="F31" s="44"/>
      <c r="G31" s="40" t="s">
        <v>45</v>
      </c>
      <c r="H31" s="478">
        <f>219000-19000</f>
        <v>200000</v>
      </c>
      <c r="I31" s="478"/>
      <c r="J31" s="795">
        <f t="shared" si="8"/>
        <v>200000</v>
      </c>
    </row>
    <row r="32" spans="2:10" x14ac:dyDescent="0.2">
      <c r="B32" s="34">
        <f t="shared" si="1"/>
        <v>26</v>
      </c>
      <c r="C32" s="48"/>
      <c r="D32" s="48"/>
      <c r="E32" s="49"/>
      <c r="F32" s="44"/>
      <c r="G32" s="40" t="s">
        <v>123</v>
      </c>
      <c r="H32" s="539">
        <v>40000</v>
      </c>
      <c r="I32" s="539"/>
      <c r="J32" s="795">
        <f t="shared" si="8"/>
        <v>40000</v>
      </c>
    </row>
    <row r="33" spans="2:10" x14ac:dyDescent="0.2">
      <c r="B33" s="34">
        <f t="shared" si="1"/>
        <v>27</v>
      </c>
      <c r="C33" s="48"/>
      <c r="D33" s="48"/>
      <c r="E33" s="49"/>
      <c r="F33" s="44"/>
      <c r="G33" s="40" t="s">
        <v>234</v>
      </c>
      <c r="H33" s="478">
        <v>70000</v>
      </c>
      <c r="I33" s="478"/>
      <c r="J33" s="795">
        <f t="shared" si="8"/>
        <v>70000</v>
      </c>
    </row>
    <row r="34" spans="2:10" x14ac:dyDescent="0.2">
      <c r="B34" s="34">
        <f t="shared" si="1"/>
        <v>28</v>
      </c>
      <c r="C34" s="48"/>
      <c r="D34" s="48"/>
      <c r="E34" s="49"/>
      <c r="F34" s="44"/>
      <c r="G34" s="40" t="s">
        <v>455</v>
      </c>
      <c r="H34" s="556">
        <v>10000</v>
      </c>
      <c r="I34" s="556"/>
      <c r="J34" s="795">
        <f t="shared" si="8"/>
        <v>10000</v>
      </c>
    </row>
    <row r="35" spans="2:10" x14ac:dyDescent="0.2">
      <c r="B35" s="34">
        <f t="shared" si="1"/>
        <v>29</v>
      </c>
      <c r="C35" s="48"/>
      <c r="D35" s="48"/>
      <c r="E35" s="49" t="s">
        <v>49</v>
      </c>
      <c r="F35" s="44" t="s">
        <v>667</v>
      </c>
      <c r="G35" s="40"/>
      <c r="H35" s="478"/>
      <c r="I35" s="478"/>
      <c r="J35" s="795"/>
    </row>
    <row r="36" spans="2:10" x14ac:dyDescent="0.2">
      <c r="B36" s="34">
        <f t="shared" si="1"/>
        <v>30</v>
      </c>
      <c r="C36" s="8" t="s">
        <v>46</v>
      </c>
      <c r="D36" s="48"/>
      <c r="E36" s="49"/>
      <c r="F36" s="39" t="s">
        <v>47</v>
      </c>
      <c r="G36" s="40"/>
      <c r="H36" s="491">
        <f>H37+H40+H41+H42</f>
        <v>501600</v>
      </c>
      <c r="I36" s="491">
        <f t="shared" ref="I36" si="10">I37+I40+I41+I42</f>
        <v>0</v>
      </c>
      <c r="J36" s="794">
        <f t="shared" si="8"/>
        <v>501600</v>
      </c>
    </row>
    <row r="37" spans="2:10" x14ac:dyDescent="0.2">
      <c r="B37" s="34">
        <f t="shared" si="1"/>
        <v>31</v>
      </c>
      <c r="C37" s="48"/>
      <c r="D37" s="37" t="s">
        <v>48</v>
      </c>
      <c r="E37" s="11"/>
      <c r="F37" s="44" t="s">
        <v>457</v>
      </c>
      <c r="G37" s="40"/>
      <c r="H37" s="478">
        <f>SUM(H38:H39)</f>
        <v>330000</v>
      </c>
      <c r="I37" s="478">
        <f t="shared" ref="I37" si="11">SUM(I38:I39)</f>
        <v>0</v>
      </c>
      <c r="J37" s="795">
        <f t="shared" si="8"/>
        <v>330000</v>
      </c>
    </row>
    <row r="38" spans="2:10" x14ac:dyDescent="0.2">
      <c r="B38" s="34">
        <f t="shared" si="1"/>
        <v>32</v>
      </c>
      <c r="C38" s="48"/>
      <c r="D38" s="48"/>
      <c r="E38" s="38" t="s">
        <v>56</v>
      </c>
      <c r="F38" s="32"/>
      <c r="G38" s="40" t="s">
        <v>91</v>
      </c>
      <c r="H38" s="556">
        <v>150000</v>
      </c>
      <c r="I38" s="556"/>
      <c r="J38" s="795">
        <f t="shared" si="8"/>
        <v>150000</v>
      </c>
    </row>
    <row r="39" spans="2:10" x14ac:dyDescent="0.2">
      <c r="B39" s="34">
        <f t="shared" si="1"/>
        <v>33</v>
      </c>
      <c r="C39" s="48"/>
      <c r="D39" s="48"/>
      <c r="E39" s="38" t="s">
        <v>49</v>
      </c>
      <c r="F39" s="32"/>
      <c r="G39" s="40" t="s">
        <v>50</v>
      </c>
      <c r="H39" s="556">
        <v>180000</v>
      </c>
      <c r="I39" s="556"/>
      <c r="J39" s="795">
        <f t="shared" si="8"/>
        <v>180000</v>
      </c>
    </row>
    <row r="40" spans="2:10" x14ac:dyDescent="0.2">
      <c r="B40" s="34">
        <f t="shared" si="1"/>
        <v>34</v>
      </c>
      <c r="C40" s="48"/>
      <c r="D40" s="9" t="s">
        <v>51</v>
      </c>
      <c r="E40" s="38" t="s">
        <v>20</v>
      </c>
      <c r="F40" s="50" t="s">
        <v>52</v>
      </c>
      <c r="G40" s="40"/>
      <c r="H40" s="556">
        <v>90000</v>
      </c>
      <c r="I40" s="556"/>
      <c r="J40" s="795">
        <f t="shared" si="8"/>
        <v>90000</v>
      </c>
    </row>
    <row r="41" spans="2:10" x14ac:dyDescent="0.2">
      <c r="B41" s="34">
        <f t="shared" si="1"/>
        <v>35</v>
      </c>
      <c r="C41" s="48"/>
      <c r="D41" s="37" t="s">
        <v>53</v>
      </c>
      <c r="E41" s="11" t="s">
        <v>26</v>
      </c>
      <c r="F41" s="44" t="s">
        <v>54</v>
      </c>
      <c r="G41" s="40"/>
      <c r="H41" s="556">
        <v>80000</v>
      </c>
      <c r="I41" s="556"/>
      <c r="J41" s="795">
        <f t="shared" si="8"/>
        <v>80000</v>
      </c>
    </row>
    <row r="42" spans="2:10" x14ac:dyDescent="0.2">
      <c r="B42" s="34">
        <f t="shared" si="1"/>
        <v>36</v>
      </c>
      <c r="C42" s="74"/>
      <c r="D42" s="52" t="s">
        <v>55</v>
      </c>
      <c r="E42" s="30" t="s">
        <v>56</v>
      </c>
      <c r="F42" s="31" t="s">
        <v>92</v>
      </c>
      <c r="G42" s="257"/>
      <c r="H42" s="478">
        <v>1600</v>
      </c>
      <c r="I42" s="478"/>
      <c r="J42" s="795">
        <f t="shared" si="8"/>
        <v>1600</v>
      </c>
    </row>
    <row r="43" spans="2:10" x14ac:dyDescent="0.2">
      <c r="B43" s="34">
        <f t="shared" si="1"/>
        <v>37</v>
      </c>
      <c r="C43" s="53"/>
      <c r="D43" s="54"/>
      <c r="E43" s="12"/>
      <c r="F43" s="51"/>
      <c r="G43" s="318"/>
      <c r="H43" s="539"/>
      <c r="I43" s="539"/>
      <c r="J43" s="795"/>
    </row>
    <row r="44" spans="2:10" x14ac:dyDescent="0.2">
      <c r="B44" s="34">
        <f t="shared" si="1"/>
        <v>38</v>
      </c>
      <c r="C44" s="55" t="s">
        <v>57</v>
      </c>
      <c r="D44" s="54"/>
      <c r="E44" s="56"/>
      <c r="F44" s="57" t="s">
        <v>58</v>
      </c>
      <c r="G44" s="318"/>
      <c r="H44" s="491">
        <v>3000</v>
      </c>
      <c r="I44" s="491"/>
      <c r="J44" s="794">
        <f t="shared" si="8"/>
        <v>3000</v>
      </c>
    </row>
    <row r="45" spans="2:10" x14ac:dyDescent="0.2">
      <c r="B45" s="34">
        <f t="shared" si="1"/>
        <v>39</v>
      </c>
      <c r="C45" s="55"/>
      <c r="D45" s="12"/>
      <c r="E45" s="56"/>
      <c r="F45" s="58"/>
      <c r="G45" s="318"/>
      <c r="H45" s="539"/>
      <c r="I45" s="539"/>
      <c r="J45" s="795"/>
    </row>
    <row r="46" spans="2:10" x14ac:dyDescent="0.2">
      <c r="B46" s="34">
        <f t="shared" si="1"/>
        <v>40</v>
      </c>
      <c r="C46" s="55" t="s">
        <v>59</v>
      </c>
      <c r="D46" s="54"/>
      <c r="E46" s="56"/>
      <c r="F46" s="57" t="s">
        <v>60</v>
      </c>
      <c r="G46" s="318"/>
      <c r="H46" s="491">
        <f>SUM(H47:H48)</f>
        <v>405000</v>
      </c>
      <c r="I46" s="491">
        <f t="shared" ref="I46" si="12">SUM(I47:I48)</f>
        <v>0</v>
      </c>
      <c r="J46" s="794">
        <f t="shared" si="8"/>
        <v>405000</v>
      </c>
    </row>
    <row r="47" spans="2:10" ht="12.75" customHeight="1" x14ac:dyDescent="0.2">
      <c r="B47" s="34">
        <f t="shared" si="1"/>
        <v>41</v>
      </c>
      <c r="C47" s="8"/>
      <c r="D47" s="38" t="s">
        <v>61</v>
      </c>
      <c r="E47" s="11" t="s">
        <v>62</v>
      </c>
      <c r="F47" s="44" t="s">
        <v>63</v>
      </c>
      <c r="G47" s="40"/>
      <c r="H47" s="478">
        <v>275000</v>
      </c>
      <c r="I47" s="478"/>
      <c r="J47" s="795">
        <f t="shared" si="8"/>
        <v>275000</v>
      </c>
    </row>
    <row r="48" spans="2:10" x14ac:dyDescent="0.2">
      <c r="B48" s="34">
        <f t="shared" si="1"/>
        <v>42</v>
      </c>
      <c r="C48" s="55"/>
      <c r="D48" s="371"/>
      <c r="E48" s="12"/>
      <c r="F48" s="51" t="s">
        <v>64</v>
      </c>
      <c r="G48" s="318"/>
      <c r="H48" s="540">
        <v>130000</v>
      </c>
      <c r="I48" s="540"/>
      <c r="J48" s="795">
        <f t="shared" si="8"/>
        <v>130000</v>
      </c>
    </row>
    <row r="49" spans="2:10" x14ac:dyDescent="0.2">
      <c r="B49" s="34">
        <f t="shared" si="1"/>
        <v>43</v>
      </c>
      <c r="C49" s="60"/>
      <c r="D49" s="61"/>
      <c r="E49" s="12"/>
      <c r="F49" s="51"/>
      <c r="G49" s="318"/>
      <c r="H49" s="539"/>
      <c r="I49" s="539"/>
      <c r="J49" s="795"/>
    </row>
    <row r="50" spans="2:10" x14ac:dyDescent="0.2">
      <c r="B50" s="34">
        <f t="shared" si="1"/>
        <v>44</v>
      </c>
      <c r="C50" s="62"/>
      <c r="D50" s="63"/>
      <c r="E50" s="62"/>
      <c r="F50" s="117" t="s">
        <v>676</v>
      </c>
      <c r="G50" s="326"/>
      <c r="H50" s="476">
        <f>H52+H72+H83+H84</f>
        <v>500200</v>
      </c>
      <c r="I50" s="476">
        <f>I52+I84+I96+I97</f>
        <v>0</v>
      </c>
      <c r="J50" s="476">
        <f>H50+I50</f>
        <v>500200</v>
      </c>
    </row>
    <row r="51" spans="2:10" x14ac:dyDescent="0.2">
      <c r="B51" s="34">
        <f t="shared" si="1"/>
        <v>45</v>
      </c>
      <c r="C51" s="64"/>
      <c r="D51" s="65"/>
      <c r="E51" s="62"/>
      <c r="F51" s="66"/>
      <c r="G51" s="66"/>
      <c r="H51" s="537"/>
      <c r="I51" s="537"/>
      <c r="J51" s="537"/>
    </row>
    <row r="52" spans="2:10" x14ac:dyDescent="0.2">
      <c r="B52" s="34">
        <f t="shared" si="1"/>
        <v>46</v>
      </c>
      <c r="C52" s="8" t="s">
        <v>39</v>
      </c>
      <c r="D52" s="65"/>
      <c r="E52" s="62"/>
      <c r="F52" s="39" t="s">
        <v>40</v>
      </c>
      <c r="G52" s="66"/>
      <c r="H52" s="538">
        <f>SUM(H53:H56)</f>
        <v>91600</v>
      </c>
      <c r="I52" s="538">
        <f t="shared" ref="I52" si="13">SUM(I53:I56)</f>
        <v>0</v>
      </c>
      <c r="J52" s="538">
        <f>H52+I52</f>
        <v>91600</v>
      </c>
    </row>
    <row r="53" spans="2:10" x14ac:dyDescent="0.2">
      <c r="B53" s="34">
        <f t="shared" si="1"/>
        <v>47</v>
      </c>
      <c r="C53" s="14"/>
      <c r="D53" s="13" t="s">
        <v>41</v>
      </c>
      <c r="E53" s="2" t="s">
        <v>28</v>
      </c>
      <c r="F53" s="68" t="s">
        <v>42</v>
      </c>
      <c r="G53" s="321"/>
      <c r="H53" s="478">
        <f>900-400</f>
        <v>500</v>
      </c>
      <c r="I53" s="478"/>
      <c r="J53" s="478">
        <f>H53+I53</f>
        <v>500</v>
      </c>
    </row>
    <row r="54" spans="2:10" x14ac:dyDescent="0.2">
      <c r="B54" s="34">
        <f t="shared" si="1"/>
        <v>48</v>
      </c>
      <c r="C54" s="67"/>
      <c r="D54" s="13" t="s">
        <v>41</v>
      </c>
      <c r="E54" s="2" t="s">
        <v>20</v>
      </c>
      <c r="F54" s="68" t="s">
        <v>43</v>
      </c>
      <c r="G54" s="321"/>
      <c r="H54" s="478">
        <f>900+19700+5000</f>
        <v>25600</v>
      </c>
      <c r="I54" s="478"/>
      <c r="J54" s="478">
        <f t="shared" ref="J54:J56" si="14">H54+I54</f>
        <v>25600</v>
      </c>
    </row>
    <row r="55" spans="2:10" x14ac:dyDescent="0.2">
      <c r="B55" s="34">
        <f t="shared" si="1"/>
        <v>49</v>
      </c>
      <c r="C55" s="642"/>
      <c r="D55" s="643" t="s">
        <v>81</v>
      </c>
      <c r="E55" s="644" t="s">
        <v>20</v>
      </c>
      <c r="F55" s="645" t="s">
        <v>724</v>
      </c>
      <c r="G55" s="646"/>
      <c r="H55" s="647">
        <f>17500-2000</f>
        <v>15500</v>
      </c>
      <c r="I55" s="647"/>
      <c r="J55" s="478">
        <f t="shared" si="14"/>
        <v>15500</v>
      </c>
    </row>
    <row r="56" spans="2:10" ht="13.5" thickBot="1" x14ac:dyDescent="0.25">
      <c r="B56" s="34">
        <f t="shared" si="1"/>
        <v>50</v>
      </c>
      <c r="C56" s="611"/>
      <c r="D56" s="612" t="s">
        <v>41</v>
      </c>
      <c r="E56" s="613" t="s">
        <v>20</v>
      </c>
      <c r="F56" s="614" t="s">
        <v>543</v>
      </c>
      <c r="G56" s="327"/>
      <c r="H56" s="615">
        <f>88100-38100</f>
        <v>50000</v>
      </c>
      <c r="I56" s="615"/>
      <c r="J56" s="615">
        <f t="shared" si="14"/>
        <v>50000</v>
      </c>
    </row>
    <row r="57" spans="2:10" x14ac:dyDescent="0.2">
      <c r="B57" s="248"/>
      <c r="C57" s="249"/>
      <c r="D57" s="250"/>
      <c r="E57" s="250"/>
      <c r="F57" s="251"/>
      <c r="G57" s="251"/>
      <c r="H57" s="252"/>
    </row>
    <row r="58" spans="2:10" x14ac:dyDescent="0.2">
      <c r="B58" s="248"/>
      <c r="C58" s="249"/>
      <c r="D58" s="250"/>
      <c r="E58" s="250"/>
      <c r="F58" s="251"/>
      <c r="G58" s="251"/>
      <c r="H58" s="252"/>
    </row>
    <row r="59" spans="2:10" x14ac:dyDescent="0.2">
      <c r="B59" s="248"/>
      <c r="C59" s="249"/>
      <c r="D59" s="250"/>
      <c r="E59" s="250"/>
      <c r="F59" s="251"/>
      <c r="G59" s="251"/>
      <c r="H59" s="252"/>
    </row>
    <row r="60" spans="2:10" x14ac:dyDescent="0.2">
      <c r="B60" s="248"/>
      <c r="C60" s="249"/>
      <c r="D60" s="250"/>
      <c r="E60" s="250"/>
      <c r="F60" s="251"/>
      <c r="G60" s="251"/>
      <c r="H60" s="252"/>
    </row>
    <row r="61" spans="2:10" x14ac:dyDescent="0.2">
      <c r="B61" s="248"/>
      <c r="C61" s="249"/>
      <c r="D61" s="250"/>
      <c r="E61" s="250"/>
      <c r="F61" s="251"/>
      <c r="G61" s="251"/>
      <c r="H61" s="252"/>
    </row>
    <row r="62" spans="2:10" x14ac:dyDescent="0.2">
      <c r="B62" s="248"/>
      <c r="C62" s="249"/>
      <c r="D62" s="250"/>
      <c r="E62" s="250"/>
      <c r="F62" s="251"/>
      <c r="G62" s="251"/>
      <c r="H62" s="252"/>
    </row>
    <row r="63" spans="2:10" x14ac:dyDescent="0.2">
      <c r="B63" s="248"/>
      <c r="C63" s="249"/>
      <c r="D63" s="250"/>
      <c r="E63" s="250"/>
      <c r="F63" s="251"/>
      <c r="G63" s="251"/>
      <c r="H63" s="252"/>
    </row>
    <row r="64" spans="2:10" x14ac:dyDescent="0.2">
      <c r="B64" s="248"/>
      <c r="C64" s="249"/>
      <c r="D64" s="250"/>
      <c r="E64" s="250"/>
      <c r="F64" s="251"/>
      <c r="G64" s="251"/>
      <c r="H64" s="252"/>
    </row>
    <row r="65" spans="2:10" x14ac:dyDescent="0.2">
      <c r="B65" s="248"/>
      <c r="C65" s="249"/>
      <c r="D65" s="250"/>
      <c r="E65" s="250"/>
      <c r="F65" s="251"/>
      <c r="G65" s="251"/>
      <c r="H65" s="252"/>
    </row>
    <row r="66" spans="2:10" x14ac:dyDescent="0.2">
      <c r="B66" s="248"/>
      <c r="C66" s="249"/>
      <c r="D66" s="250"/>
      <c r="E66" s="250"/>
      <c r="F66" s="251"/>
      <c r="G66" s="251"/>
      <c r="H66" s="252"/>
    </row>
    <row r="67" spans="2:10" ht="13.5" thickBot="1" x14ac:dyDescent="0.25">
      <c r="B67" s="248"/>
      <c r="C67" s="249"/>
      <c r="D67" s="250"/>
      <c r="E67" s="250"/>
      <c r="F67" s="251"/>
      <c r="G67" s="251"/>
      <c r="H67" s="252"/>
    </row>
    <row r="68" spans="2:10" ht="12.75" customHeight="1" x14ac:dyDescent="0.2">
      <c r="B68" s="884" t="s">
        <v>9</v>
      </c>
      <c r="C68" s="885"/>
      <c r="D68" s="885"/>
      <c r="E68" s="885"/>
      <c r="F68" s="885"/>
      <c r="G68" s="885"/>
      <c r="H68" s="881" t="s">
        <v>721</v>
      </c>
      <c r="I68" s="881" t="s">
        <v>860</v>
      </c>
      <c r="J68" s="881" t="s">
        <v>721</v>
      </c>
    </row>
    <row r="69" spans="2:10" ht="11.25" customHeight="1" x14ac:dyDescent="0.2">
      <c r="B69" s="886"/>
      <c r="C69" s="887"/>
      <c r="D69" s="887"/>
      <c r="E69" s="887"/>
      <c r="F69" s="887"/>
      <c r="G69" s="887"/>
      <c r="H69" s="882"/>
      <c r="I69" s="882"/>
      <c r="J69" s="882"/>
    </row>
    <row r="70" spans="2:10" ht="14.25" customHeight="1" x14ac:dyDescent="0.2">
      <c r="B70" s="79"/>
      <c r="C70" s="888" t="s">
        <v>10</v>
      </c>
      <c r="D70" s="80" t="s">
        <v>11</v>
      </c>
      <c r="E70" s="80" t="s">
        <v>12</v>
      </c>
      <c r="F70" s="81"/>
      <c r="G70" s="81"/>
      <c r="H70" s="882"/>
      <c r="I70" s="882"/>
      <c r="J70" s="882"/>
    </row>
    <row r="71" spans="2:10" ht="14.25" customHeight="1" thickBot="1" x14ac:dyDescent="0.25">
      <c r="B71" s="83"/>
      <c r="C71" s="889"/>
      <c r="D71" s="85"/>
      <c r="E71" s="84" t="s">
        <v>13</v>
      </c>
      <c r="F71" s="86" t="s">
        <v>14</v>
      </c>
      <c r="G71" s="309"/>
      <c r="H71" s="883"/>
      <c r="I71" s="883"/>
      <c r="J71" s="883"/>
    </row>
    <row r="72" spans="2:10" ht="14.25" customHeight="1" thickTop="1" x14ac:dyDescent="0.2">
      <c r="B72" s="34">
        <f>B56+1</f>
        <v>51</v>
      </c>
      <c r="C72" s="8" t="s">
        <v>46</v>
      </c>
      <c r="D72" s="183"/>
      <c r="E72" s="184"/>
      <c r="F72" s="39" t="s">
        <v>47</v>
      </c>
      <c r="G72" s="320"/>
      <c r="H72" s="491">
        <f>H73</f>
        <v>390600</v>
      </c>
      <c r="I72" s="491">
        <f t="shared" ref="I72" si="15">I73</f>
        <v>0</v>
      </c>
      <c r="J72" s="491">
        <f>H72+I72</f>
        <v>390600</v>
      </c>
    </row>
    <row r="73" spans="2:10" x14ac:dyDescent="0.2">
      <c r="B73" s="34">
        <f>B72+1</f>
        <v>52</v>
      </c>
      <c r="C73" s="64"/>
      <c r="D73" s="13" t="s">
        <v>53</v>
      </c>
      <c r="E73" s="2" t="s">
        <v>26</v>
      </c>
      <c r="F73" s="44" t="s">
        <v>65</v>
      </c>
      <c r="G73" s="321"/>
      <c r="H73" s="478">
        <f>SUM(H74:H81)</f>
        <v>390600</v>
      </c>
      <c r="I73" s="478">
        <f>SUM(I74:I81)</f>
        <v>0</v>
      </c>
      <c r="J73" s="481">
        <f>H73+I73</f>
        <v>390600</v>
      </c>
    </row>
    <row r="74" spans="2:10" x14ac:dyDescent="0.2">
      <c r="B74" s="34">
        <f t="shared" si="1"/>
        <v>53</v>
      </c>
      <c r="C74" s="67"/>
      <c r="D74" s="2"/>
      <c r="E74" s="2"/>
      <c r="F74" s="44"/>
      <c r="G74" s="320" t="s">
        <v>93</v>
      </c>
      <c r="H74" s="478">
        <v>65000</v>
      </c>
      <c r="I74" s="478"/>
      <c r="J74" s="478">
        <f t="shared" ref="J74:J81" si="16">H74+I74</f>
        <v>65000</v>
      </c>
    </row>
    <row r="75" spans="2:10" x14ac:dyDescent="0.2">
      <c r="B75" s="34">
        <f t="shared" si="1"/>
        <v>54</v>
      </c>
      <c r="C75" s="67"/>
      <c r="D75" s="2"/>
      <c r="E75" s="2"/>
      <c r="F75" s="44"/>
      <c r="G75" s="320" t="s">
        <v>423</v>
      </c>
      <c r="H75" s="478">
        <v>17000</v>
      </c>
      <c r="I75" s="478"/>
      <c r="J75" s="478">
        <f t="shared" si="16"/>
        <v>17000</v>
      </c>
    </row>
    <row r="76" spans="2:10" x14ac:dyDescent="0.2">
      <c r="B76" s="34">
        <f t="shared" si="1"/>
        <v>55</v>
      </c>
      <c r="C76" s="64"/>
      <c r="D76" s="124"/>
      <c r="E76" s="124"/>
      <c r="F76" s="51"/>
      <c r="G76" s="321" t="s">
        <v>542</v>
      </c>
      <c r="H76" s="539">
        <f>70000-10000</f>
        <v>60000</v>
      </c>
      <c r="I76" s="539"/>
      <c r="J76" s="478">
        <f t="shared" si="16"/>
        <v>60000</v>
      </c>
    </row>
    <row r="77" spans="2:10" x14ac:dyDescent="0.2">
      <c r="B77" s="34">
        <f t="shared" si="1"/>
        <v>56</v>
      </c>
      <c r="C77" s="67"/>
      <c r="D77" s="2"/>
      <c r="E77" s="2"/>
      <c r="F77" s="44"/>
      <c r="G77" s="320" t="s">
        <v>94</v>
      </c>
      <c r="H77" s="478">
        <v>79100</v>
      </c>
      <c r="I77" s="478"/>
      <c r="J77" s="478">
        <f t="shared" si="16"/>
        <v>79100</v>
      </c>
    </row>
    <row r="78" spans="2:10" x14ac:dyDescent="0.2">
      <c r="B78" s="34">
        <f t="shared" si="1"/>
        <v>57</v>
      </c>
      <c r="C78" s="67"/>
      <c r="D78" s="2"/>
      <c r="E78" s="2"/>
      <c r="F78" s="44"/>
      <c r="G78" s="320" t="s">
        <v>264</v>
      </c>
      <c r="H78" s="478">
        <v>145000</v>
      </c>
      <c r="I78" s="478"/>
      <c r="J78" s="478">
        <f t="shared" si="16"/>
        <v>145000</v>
      </c>
    </row>
    <row r="79" spans="2:10" ht="12.75" customHeight="1" x14ac:dyDescent="0.2">
      <c r="B79" s="34">
        <f t="shared" ref="B79:B91" si="17">B78+1</f>
        <v>58</v>
      </c>
      <c r="C79" s="67"/>
      <c r="D79" s="2"/>
      <c r="E79" s="2"/>
      <c r="F79" s="44"/>
      <c r="G79" s="320" t="s">
        <v>265</v>
      </c>
      <c r="H79" s="539">
        <f>10400-400</f>
        <v>10000</v>
      </c>
      <c r="I79" s="539"/>
      <c r="J79" s="478">
        <f t="shared" si="16"/>
        <v>10000</v>
      </c>
    </row>
    <row r="80" spans="2:10" ht="12.75" customHeight="1" x14ac:dyDescent="0.2">
      <c r="B80" s="34">
        <f t="shared" si="17"/>
        <v>59</v>
      </c>
      <c r="C80" s="64"/>
      <c r="D80" s="124"/>
      <c r="E80" s="124"/>
      <c r="F80" s="51"/>
      <c r="G80" s="321" t="s">
        <v>295</v>
      </c>
      <c r="H80" s="539">
        <v>12500</v>
      </c>
      <c r="I80" s="539"/>
      <c r="J80" s="478">
        <f t="shared" si="16"/>
        <v>12500</v>
      </c>
    </row>
    <row r="81" spans="1:10" ht="13.5" customHeight="1" x14ac:dyDescent="0.2">
      <c r="B81" s="34">
        <f t="shared" si="17"/>
        <v>60</v>
      </c>
      <c r="C81" s="64"/>
      <c r="D81" s="124"/>
      <c r="E81" s="124"/>
      <c r="F81" s="51"/>
      <c r="G81" s="321" t="s">
        <v>66</v>
      </c>
      <c r="H81" s="539">
        <f>20000-18000</f>
        <v>2000</v>
      </c>
      <c r="I81" s="539"/>
      <c r="J81" s="478">
        <f t="shared" si="16"/>
        <v>2000</v>
      </c>
    </row>
    <row r="82" spans="1:10" ht="13.5" customHeight="1" x14ac:dyDescent="0.2">
      <c r="B82" s="34">
        <f t="shared" si="17"/>
        <v>61</v>
      </c>
      <c r="C82" s="67"/>
      <c r="D82" s="2"/>
      <c r="E82" s="2"/>
      <c r="F82" s="44"/>
      <c r="G82" s="320"/>
      <c r="H82" s="478"/>
      <c r="I82" s="478"/>
      <c r="J82" s="478"/>
    </row>
    <row r="83" spans="1:10" ht="13.5" customHeight="1" x14ac:dyDescent="0.2">
      <c r="B83" s="34">
        <f t="shared" si="17"/>
        <v>62</v>
      </c>
      <c r="C83" s="8" t="s">
        <v>59</v>
      </c>
      <c r="D83" s="2" t="s">
        <v>61</v>
      </c>
      <c r="E83" s="2" t="s">
        <v>848</v>
      </c>
      <c r="F83" s="44" t="s">
        <v>849</v>
      </c>
      <c r="G83" s="320"/>
      <c r="H83" s="478">
        <v>9000</v>
      </c>
      <c r="I83" s="478"/>
      <c r="J83" s="478">
        <f>I83+H83</f>
        <v>9000</v>
      </c>
    </row>
    <row r="84" spans="1:10" ht="13.5" customHeight="1" x14ac:dyDescent="0.2">
      <c r="B84" s="34">
        <f t="shared" si="17"/>
        <v>63</v>
      </c>
      <c r="C84" s="67"/>
      <c r="D84" s="2" t="s">
        <v>61</v>
      </c>
      <c r="E84" s="2" t="s">
        <v>850</v>
      </c>
      <c r="F84" s="44" t="s">
        <v>851</v>
      </c>
      <c r="G84" s="320"/>
      <c r="H84" s="478">
        <v>9000</v>
      </c>
      <c r="I84" s="478"/>
      <c r="J84" s="478">
        <f>I84+H84</f>
        <v>9000</v>
      </c>
    </row>
    <row r="85" spans="1:10" x14ac:dyDescent="0.2">
      <c r="B85" s="34">
        <f t="shared" si="17"/>
        <v>64</v>
      </c>
      <c r="C85" s="67"/>
      <c r="D85" s="183"/>
      <c r="E85" s="184"/>
      <c r="F85" s="68"/>
      <c r="G85" s="68"/>
      <c r="H85" s="556"/>
      <c r="I85" s="556"/>
      <c r="J85" s="556"/>
    </row>
    <row r="86" spans="1:10" ht="13.5" customHeight="1" x14ac:dyDescent="0.2">
      <c r="B86" s="34">
        <f t="shared" si="17"/>
        <v>65</v>
      </c>
      <c r="C86" s="8"/>
      <c r="D86" s="8"/>
      <c r="E86" s="10"/>
      <c r="F86" s="118" t="s">
        <v>67</v>
      </c>
      <c r="G86" s="314"/>
      <c r="H86" s="561">
        <f>H88+H94+H99+H100+H102+H107+H111+H112+H113+H114+H115</f>
        <v>715261</v>
      </c>
      <c r="I86" s="561">
        <f>I88+I94+I99+I100+I102+I107+I111+I112+I113+I114+I115</f>
        <v>0</v>
      </c>
      <c r="J86" s="561">
        <f>H86+I86</f>
        <v>715261</v>
      </c>
    </row>
    <row r="87" spans="1:10" s="133" customFormat="1" ht="1.5" customHeight="1" x14ac:dyDescent="0.2">
      <c r="A87" s="172"/>
      <c r="B87" s="34">
        <f t="shared" si="17"/>
        <v>66</v>
      </c>
      <c r="C87" s="185"/>
      <c r="D87" s="185"/>
      <c r="E87" s="186"/>
      <c r="F87" s="187"/>
      <c r="G87" s="322"/>
      <c r="H87" s="562"/>
      <c r="I87" s="562"/>
      <c r="J87" s="562"/>
    </row>
    <row r="88" spans="1:10" ht="12.75" customHeight="1" x14ac:dyDescent="0.2">
      <c r="B88" s="34">
        <f t="shared" si="17"/>
        <v>67</v>
      </c>
      <c r="C88" s="37"/>
      <c r="D88" s="37"/>
      <c r="E88" s="2"/>
      <c r="F88" s="69" t="s">
        <v>68</v>
      </c>
      <c r="G88" s="323"/>
      <c r="H88" s="554">
        <f>SUM(H89:H92)</f>
        <v>125600</v>
      </c>
      <c r="I88" s="554">
        <f t="shared" ref="I88" si="18">SUM(I89:I92)</f>
        <v>0</v>
      </c>
      <c r="J88" s="554">
        <f>H88+I88</f>
        <v>125600</v>
      </c>
    </row>
    <row r="89" spans="1:10" ht="12.75" customHeight="1" x14ac:dyDescent="0.2">
      <c r="B89" s="34">
        <f t="shared" si="17"/>
        <v>68</v>
      </c>
      <c r="C89" s="13"/>
      <c r="D89" s="13" t="s">
        <v>53</v>
      </c>
      <c r="E89" s="2" t="s">
        <v>28</v>
      </c>
      <c r="F89" s="50" t="s">
        <v>148</v>
      </c>
      <c r="G89" s="323"/>
      <c r="H89" s="556">
        <v>109000</v>
      </c>
      <c r="I89" s="556"/>
      <c r="J89" s="796">
        <f t="shared" ref="J89:J115" si="19">H89+I89</f>
        <v>109000</v>
      </c>
    </row>
    <row r="90" spans="1:10" ht="13.5" customHeight="1" x14ac:dyDescent="0.2">
      <c r="B90" s="34">
        <f t="shared" si="17"/>
        <v>69</v>
      </c>
      <c r="C90" s="37"/>
      <c r="D90" s="37" t="s">
        <v>53</v>
      </c>
      <c r="E90" s="38" t="s">
        <v>20</v>
      </c>
      <c r="F90" s="32" t="s">
        <v>149</v>
      </c>
      <c r="G90" s="32"/>
      <c r="H90" s="478">
        <v>9000</v>
      </c>
      <c r="I90" s="478"/>
      <c r="J90" s="796">
        <f t="shared" si="19"/>
        <v>9000</v>
      </c>
    </row>
    <row r="91" spans="1:10" x14ac:dyDescent="0.2">
      <c r="B91" s="34">
        <f t="shared" si="17"/>
        <v>70</v>
      </c>
      <c r="C91" s="37"/>
      <c r="D91" s="37" t="s">
        <v>53</v>
      </c>
      <c r="E91" s="38" t="s">
        <v>20</v>
      </c>
      <c r="F91" s="32" t="s">
        <v>150</v>
      </c>
      <c r="G91" s="32"/>
      <c r="H91" s="478">
        <v>6600</v>
      </c>
      <c r="I91" s="478"/>
      <c r="J91" s="796">
        <f t="shared" si="19"/>
        <v>6600</v>
      </c>
    </row>
    <row r="92" spans="1:10" x14ac:dyDescent="0.2">
      <c r="B92" s="34">
        <f t="shared" ref="B92:B136" si="20">B91+1</f>
        <v>71</v>
      </c>
      <c r="C92" s="37"/>
      <c r="D92" s="37" t="s">
        <v>53</v>
      </c>
      <c r="E92" s="38" t="s">
        <v>20</v>
      </c>
      <c r="F92" s="32" t="s">
        <v>521</v>
      </c>
      <c r="G92" s="32"/>
      <c r="H92" s="478">
        <v>1000</v>
      </c>
      <c r="I92" s="478"/>
      <c r="J92" s="796">
        <f t="shared" si="19"/>
        <v>1000</v>
      </c>
    </row>
    <row r="93" spans="1:10" x14ac:dyDescent="0.2">
      <c r="B93" s="34">
        <f t="shared" si="20"/>
        <v>72</v>
      </c>
      <c r="C93" s="37"/>
      <c r="D93" s="37"/>
      <c r="E93" s="38"/>
      <c r="F93" s="32"/>
      <c r="G93" s="32"/>
      <c r="H93" s="478"/>
      <c r="I93" s="478"/>
      <c r="J93" s="554"/>
    </row>
    <row r="94" spans="1:10" x14ac:dyDescent="0.2">
      <c r="B94" s="34">
        <f t="shared" si="20"/>
        <v>73</v>
      </c>
      <c r="C94" s="37"/>
      <c r="D94" s="37"/>
      <c r="E94" s="38"/>
      <c r="F94" s="70" t="s">
        <v>70</v>
      </c>
      <c r="G94" s="32"/>
      <c r="H94" s="491">
        <f>SUM(H95:H97)</f>
        <v>108000</v>
      </c>
      <c r="I94" s="491">
        <f t="shared" ref="I94" si="21">SUM(I95:I97)</f>
        <v>0</v>
      </c>
      <c r="J94" s="554">
        <f t="shared" si="19"/>
        <v>108000</v>
      </c>
    </row>
    <row r="95" spans="1:10" x14ac:dyDescent="0.2">
      <c r="B95" s="34">
        <f t="shared" si="20"/>
        <v>74</v>
      </c>
      <c r="C95" s="37"/>
      <c r="D95" s="37" t="s">
        <v>53</v>
      </c>
      <c r="E95" s="38" t="s">
        <v>26</v>
      </c>
      <c r="F95" s="32" t="s">
        <v>299</v>
      </c>
      <c r="G95" s="32"/>
      <c r="H95" s="478">
        <v>95200</v>
      </c>
      <c r="I95" s="478"/>
      <c r="J95" s="796">
        <f t="shared" si="19"/>
        <v>95200</v>
      </c>
    </row>
    <row r="96" spans="1:10" x14ac:dyDescent="0.2">
      <c r="B96" s="34">
        <f t="shared" si="20"/>
        <v>75</v>
      </c>
      <c r="C96" s="37"/>
      <c r="D96" s="37" t="s">
        <v>53</v>
      </c>
      <c r="E96" s="38" t="s">
        <v>26</v>
      </c>
      <c r="F96" s="32" t="s">
        <v>154</v>
      </c>
      <c r="G96" s="32"/>
      <c r="H96" s="478">
        <v>5500</v>
      </c>
      <c r="I96" s="478"/>
      <c r="J96" s="796">
        <f t="shared" si="19"/>
        <v>5500</v>
      </c>
    </row>
    <row r="97" spans="2:10" ht="12.75" customHeight="1" x14ac:dyDescent="0.2">
      <c r="B97" s="34">
        <f t="shared" si="20"/>
        <v>76</v>
      </c>
      <c r="C97" s="37"/>
      <c r="D97" s="37" t="s">
        <v>53</v>
      </c>
      <c r="E97" s="38" t="s">
        <v>26</v>
      </c>
      <c r="F97" s="32" t="s">
        <v>71</v>
      </c>
      <c r="G97" s="32"/>
      <c r="H97" s="478">
        <v>7300</v>
      </c>
      <c r="I97" s="478"/>
      <c r="J97" s="796">
        <f t="shared" si="19"/>
        <v>7300</v>
      </c>
    </row>
    <row r="98" spans="2:10" ht="12.75" customHeight="1" x14ac:dyDescent="0.2">
      <c r="B98" s="34">
        <f t="shared" si="20"/>
        <v>77</v>
      </c>
      <c r="C98" s="37"/>
      <c r="D98" s="37"/>
      <c r="E98" s="38"/>
      <c r="F98" s="32"/>
      <c r="G98" s="32"/>
      <c r="H98" s="478"/>
      <c r="I98" s="478"/>
      <c r="J98" s="554"/>
    </row>
    <row r="99" spans="2:10" ht="12.75" customHeight="1" x14ac:dyDescent="0.2">
      <c r="B99" s="34">
        <f t="shared" si="20"/>
        <v>78</v>
      </c>
      <c r="C99" s="37"/>
      <c r="D99" s="37"/>
      <c r="E99" s="38"/>
      <c r="F99" s="70" t="s">
        <v>125</v>
      </c>
      <c r="G99" s="32"/>
      <c r="H99" s="491">
        <v>2000</v>
      </c>
      <c r="I99" s="491"/>
      <c r="J99" s="797">
        <f t="shared" si="19"/>
        <v>2000</v>
      </c>
    </row>
    <row r="100" spans="2:10" ht="12.75" customHeight="1" x14ac:dyDescent="0.2">
      <c r="B100" s="34">
        <f t="shared" si="20"/>
        <v>79</v>
      </c>
      <c r="C100" s="37"/>
      <c r="D100" s="37"/>
      <c r="E100" s="38"/>
      <c r="F100" s="70" t="s">
        <v>583</v>
      </c>
      <c r="G100" s="32"/>
      <c r="H100" s="491">
        <v>5800</v>
      </c>
      <c r="I100" s="491"/>
      <c r="J100" s="797">
        <f t="shared" si="19"/>
        <v>5800</v>
      </c>
    </row>
    <row r="101" spans="2:10" ht="12.75" customHeight="1" x14ac:dyDescent="0.2">
      <c r="B101" s="34">
        <f t="shared" si="20"/>
        <v>80</v>
      </c>
      <c r="C101" s="37"/>
      <c r="D101" s="37"/>
      <c r="E101" s="38"/>
      <c r="F101" s="70"/>
      <c r="G101" s="32"/>
      <c r="H101" s="490"/>
      <c r="I101" s="490"/>
      <c r="J101" s="554"/>
    </row>
    <row r="102" spans="2:10" ht="12.75" customHeight="1" x14ac:dyDescent="0.2">
      <c r="B102" s="34">
        <f t="shared" si="20"/>
        <v>81</v>
      </c>
      <c r="C102" s="37"/>
      <c r="D102" s="37"/>
      <c r="E102" s="38"/>
      <c r="F102" s="70" t="s">
        <v>69</v>
      </c>
      <c r="G102" s="32"/>
      <c r="H102" s="491">
        <f>SUM(H103:H105)</f>
        <v>334500</v>
      </c>
      <c r="I102" s="491">
        <f>SUM(I103:I105)</f>
        <v>0</v>
      </c>
      <c r="J102" s="554">
        <f t="shared" si="19"/>
        <v>334500</v>
      </c>
    </row>
    <row r="103" spans="2:10" ht="13.5" customHeight="1" x14ac:dyDescent="0.2">
      <c r="B103" s="34">
        <f t="shared" si="20"/>
        <v>82</v>
      </c>
      <c r="C103" s="37"/>
      <c r="D103" s="37" t="s">
        <v>53</v>
      </c>
      <c r="E103" s="38" t="s">
        <v>26</v>
      </c>
      <c r="F103" s="32" t="s">
        <v>153</v>
      </c>
      <c r="G103" s="32"/>
      <c r="H103" s="478">
        <v>9300</v>
      </c>
      <c r="I103" s="478"/>
      <c r="J103" s="796">
        <f t="shared" si="19"/>
        <v>9300</v>
      </c>
    </row>
    <row r="104" spans="2:10" x14ac:dyDescent="0.2">
      <c r="B104" s="34">
        <f t="shared" si="20"/>
        <v>83</v>
      </c>
      <c r="C104" s="37"/>
      <c r="D104" s="37" t="s">
        <v>53</v>
      </c>
      <c r="E104" s="38" t="s">
        <v>26</v>
      </c>
      <c r="F104" s="32" t="s">
        <v>152</v>
      </c>
      <c r="G104" s="32"/>
      <c r="H104" s="478">
        <v>134000</v>
      </c>
      <c r="I104" s="478"/>
      <c r="J104" s="796">
        <f t="shared" si="19"/>
        <v>134000</v>
      </c>
    </row>
    <row r="105" spans="2:10" x14ac:dyDescent="0.2">
      <c r="B105" s="34">
        <f t="shared" si="20"/>
        <v>84</v>
      </c>
      <c r="C105" s="37"/>
      <c r="D105" s="37" t="s">
        <v>53</v>
      </c>
      <c r="E105" s="38" t="s">
        <v>26</v>
      </c>
      <c r="F105" s="32" t="s">
        <v>177</v>
      </c>
      <c r="G105" s="32"/>
      <c r="H105" s="478">
        <v>191200</v>
      </c>
      <c r="I105" s="478"/>
      <c r="J105" s="796">
        <f t="shared" si="19"/>
        <v>191200</v>
      </c>
    </row>
    <row r="106" spans="2:10" x14ac:dyDescent="0.2">
      <c r="B106" s="34">
        <f t="shared" si="20"/>
        <v>85</v>
      </c>
      <c r="C106" s="37"/>
      <c r="D106" s="37"/>
      <c r="E106" s="38"/>
      <c r="F106" s="50"/>
      <c r="G106" s="32"/>
      <c r="H106" s="478"/>
      <c r="I106" s="478"/>
      <c r="J106" s="554"/>
    </row>
    <row r="107" spans="2:10" x14ac:dyDescent="0.2">
      <c r="B107" s="34">
        <f t="shared" si="20"/>
        <v>86</v>
      </c>
      <c r="C107" s="37"/>
      <c r="D107" s="38"/>
      <c r="E107" s="38"/>
      <c r="F107" s="70" t="s">
        <v>188</v>
      </c>
      <c r="G107" s="32"/>
      <c r="H107" s="491">
        <f>H108+H109</f>
        <v>129100</v>
      </c>
      <c r="I107" s="491">
        <f t="shared" ref="I107" si="22">I108+I109</f>
        <v>0</v>
      </c>
      <c r="J107" s="554">
        <f t="shared" si="19"/>
        <v>129100</v>
      </c>
    </row>
    <row r="108" spans="2:10" ht="12.75" customHeight="1" x14ac:dyDescent="0.2">
      <c r="B108" s="34">
        <f t="shared" si="20"/>
        <v>87</v>
      </c>
      <c r="C108" s="37"/>
      <c r="D108" s="2" t="s">
        <v>53</v>
      </c>
      <c r="E108" s="2" t="s">
        <v>26</v>
      </c>
      <c r="F108" s="32" t="s">
        <v>316</v>
      </c>
      <c r="G108" s="323"/>
      <c r="H108" s="478">
        <v>108000</v>
      </c>
      <c r="I108" s="478"/>
      <c r="J108" s="796">
        <f t="shared" si="19"/>
        <v>108000</v>
      </c>
    </row>
    <row r="109" spans="2:10" ht="13.5" customHeight="1" x14ac:dyDescent="0.2">
      <c r="B109" s="34">
        <f t="shared" si="20"/>
        <v>88</v>
      </c>
      <c r="C109" s="37"/>
      <c r="D109" s="2" t="s">
        <v>53</v>
      </c>
      <c r="E109" s="2" t="s">
        <v>26</v>
      </c>
      <c r="F109" s="32" t="s">
        <v>317</v>
      </c>
      <c r="G109" s="323"/>
      <c r="H109" s="478">
        <v>21100</v>
      </c>
      <c r="I109" s="478"/>
      <c r="J109" s="796">
        <f t="shared" si="19"/>
        <v>21100</v>
      </c>
    </row>
    <row r="110" spans="2:10" x14ac:dyDescent="0.2">
      <c r="B110" s="34">
        <f t="shared" si="20"/>
        <v>89</v>
      </c>
      <c r="C110" s="37"/>
      <c r="D110" s="2"/>
      <c r="E110" s="2"/>
      <c r="F110" s="32"/>
      <c r="G110" s="323"/>
      <c r="H110" s="478"/>
      <c r="I110" s="478"/>
      <c r="J110" s="554"/>
    </row>
    <row r="111" spans="2:10" x14ac:dyDescent="0.2">
      <c r="B111" s="34">
        <f t="shared" si="20"/>
        <v>90</v>
      </c>
      <c r="C111" s="37"/>
      <c r="D111" s="37" t="s">
        <v>41</v>
      </c>
      <c r="E111" s="38" t="s">
        <v>20</v>
      </c>
      <c r="F111" s="50" t="s">
        <v>72</v>
      </c>
      <c r="G111" s="32"/>
      <c r="H111" s="481">
        <v>1000</v>
      </c>
      <c r="I111" s="793"/>
      <c r="J111" s="796">
        <f t="shared" si="19"/>
        <v>1000</v>
      </c>
    </row>
    <row r="112" spans="2:10" x14ac:dyDescent="0.2">
      <c r="B112" s="34">
        <f t="shared" si="20"/>
        <v>91</v>
      </c>
      <c r="C112" s="37"/>
      <c r="D112" s="37" t="s">
        <v>61</v>
      </c>
      <c r="E112" s="38" t="s">
        <v>34</v>
      </c>
      <c r="F112" s="50" t="s">
        <v>853</v>
      </c>
      <c r="G112" s="32"/>
      <c r="H112" s="481">
        <v>3835</v>
      </c>
      <c r="I112" s="793"/>
      <c r="J112" s="796">
        <f t="shared" si="19"/>
        <v>3835</v>
      </c>
    </row>
    <row r="113" spans="1:10" x14ac:dyDescent="0.2">
      <c r="B113" s="34">
        <f t="shared" si="20"/>
        <v>92</v>
      </c>
      <c r="C113" s="37"/>
      <c r="D113" s="37" t="s">
        <v>61</v>
      </c>
      <c r="E113" s="38" t="s">
        <v>850</v>
      </c>
      <c r="F113" s="50" t="s">
        <v>854</v>
      </c>
      <c r="G113" s="32"/>
      <c r="H113" s="481">
        <v>585</v>
      </c>
      <c r="I113" s="793"/>
      <c r="J113" s="796">
        <f t="shared" si="19"/>
        <v>585</v>
      </c>
    </row>
    <row r="114" spans="1:10" x14ac:dyDescent="0.2">
      <c r="B114" s="34">
        <f t="shared" si="20"/>
        <v>93</v>
      </c>
      <c r="C114" s="37"/>
      <c r="D114" s="37" t="s">
        <v>61</v>
      </c>
      <c r="E114" s="38" t="s">
        <v>852</v>
      </c>
      <c r="F114" s="50" t="s">
        <v>855</v>
      </c>
      <c r="G114" s="32"/>
      <c r="H114" s="481">
        <v>2141</v>
      </c>
      <c r="I114" s="793"/>
      <c r="J114" s="796">
        <f t="shared" si="19"/>
        <v>2141</v>
      </c>
    </row>
    <row r="115" spans="1:10" x14ac:dyDescent="0.2">
      <c r="B115" s="34">
        <f t="shared" si="20"/>
        <v>94</v>
      </c>
      <c r="C115" s="37"/>
      <c r="D115" s="37" t="s">
        <v>602</v>
      </c>
      <c r="E115" s="38"/>
      <c r="F115" s="50" t="s">
        <v>856</v>
      </c>
      <c r="G115" s="32"/>
      <c r="H115" s="481">
        <v>2700</v>
      </c>
      <c r="I115" s="793"/>
      <c r="J115" s="796">
        <f t="shared" si="19"/>
        <v>2700</v>
      </c>
    </row>
    <row r="116" spans="1:10" x14ac:dyDescent="0.2">
      <c r="B116" s="34">
        <f t="shared" si="20"/>
        <v>95</v>
      </c>
      <c r="C116" s="37"/>
      <c r="D116" s="37"/>
      <c r="E116" s="38"/>
      <c r="F116" s="50"/>
      <c r="G116" s="32"/>
      <c r="H116" s="478"/>
      <c r="I116" s="478"/>
      <c r="J116" s="478"/>
    </row>
    <row r="117" spans="1:10" ht="12.75" customHeight="1" x14ac:dyDescent="0.2">
      <c r="B117" s="34">
        <f t="shared" si="20"/>
        <v>96</v>
      </c>
      <c r="C117" s="8"/>
      <c r="D117" s="55"/>
      <c r="E117" s="71"/>
      <c r="F117" s="118" t="s">
        <v>73</v>
      </c>
      <c r="G117" s="314"/>
      <c r="H117" s="477">
        <f>H119+H121+H123+H142+H141</f>
        <v>145000</v>
      </c>
      <c r="I117" s="477">
        <f t="shared" ref="I117" si="23">I119+I121+I123+I142+I141</f>
        <v>0</v>
      </c>
      <c r="J117" s="477">
        <f>H117+I117</f>
        <v>145000</v>
      </c>
    </row>
    <row r="118" spans="1:10" ht="1.5" customHeight="1" x14ac:dyDescent="0.2">
      <c r="B118" s="34">
        <f t="shared" si="20"/>
        <v>97</v>
      </c>
      <c r="C118" s="37"/>
      <c r="D118" s="37"/>
      <c r="E118" s="38"/>
      <c r="F118" s="50"/>
      <c r="G118" s="32"/>
      <c r="H118" s="478"/>
      <c r="I118" s="478"/>
      <c r="J118" s="478"/>
    </row>
    <row r="119" spans="1:10" s="153" customFormat="1" ht="12.75" customHeight="1" x14ac:dyDescent="0.2">
      <c r="A119" s="238"/>
      <c r="B119" s="34">
        <f t="shared" si="20"/>
        <v>98</v>
      </c>
      <c r="C119" s="144"/>
      <c r="D119" s="144"/>
      <c r="E119" s="49"/>
      <c r="F119" s="188" t="s">
        <v>436</v>
      </c>
      <c r="G119" s="324"/>
      <c r="H119" s="491">
        <f>H120</f>
        <v>600</v>
      </c>
      <c r="I119" s="491">
        <f t="shared" ref="I119" si="24">I120</f>
        <v>0</v>
      </c>
      <c r="J119" s="491">
        <f>H119+I119</f>
        <v>600</v>
      </c>
    </row>
    <row r="120" spans="1:10" ht="13.5" customHeight="1" x14ac:dyDescent="0.2">
      <c r="B120" s="34">
        <f t="shared" si="20"/>
        <v>99</v>
      </c>
      <c r="C120" s="37" t="s">
        <v>46</v>
      </c>
      <c r="D120" s="37" t="s">
        <v>53</v>
      </c>
      <c r="E120" s="38" t="s">
        <v>28</v>
      </c>
      <c r="F120" s="50" t="s">
        <v>251</v>
      </c>
      <c r="G120" s="32"/>
      <c r="H120" s="540">
        <v>600</v>
      </c>
      <c r="I120" s="540"/>
      <c r="J120" s="793">
        <f t="shared" ref="J120:J142" si="25">H120+I120</f>
        <v>600</v>
      </c>
    </row>
    <row r="121" spans="1:10" x14ac:dyDescent="0.2">
      <c r="B121" s="34">
        <f t="shared" si="20"/>
        <v>100</v>
      </c>
      <c r="C121" s="8" t="s">
        <v>39</v>
      </c>
      <c r="D121" s="8"/>
      <c r="E121" s="10"/>
      <c r="F121" s="39" t="s">
        <v>40</v>
      </c>
      <c r="G121" s="40"/>
      <c r="H121" s="481">
        <f>H122</f>
        <v>8100</v>
      </c>
      <c r="I121" s="481">
        <f t="shared" ref="I121" si="26">I122</f>
        <v>0</v>
      </c>
      <c r="J121" s="491">
        <f t="shared" si="25"/>
        <v>8100</v>
      </c>
    </row>
    <row r="122" spans="1:10" ht="14.25" customHeight="1" x14ac:dyDescent="0.2">
      <c r="B122" s="34">
        <f t="shared" si="20"/>
        <v>101</v>
      </c>
      <c r="C122" s="48"/>
      <c r="D122" s="37" t="s">
        <v>41</v>
      </c>
      <c r="E122" s="11" t="s">
        <v>20</v>
      </c>
      <c r="F122" s="44" t="s">
        <v>76</v>
      </c>
      <c r="G122" s="40"/>
      <c r="H122" s="478">
        <v>8100</v>
      </c>
      <c r="I122" s="478"/>
      <c r="J122" s="793">
        <f t="shared" si="25"/>
        <v>8100</v>
      </c>
    </row>
    <row r="123" spans="1:10" x14ac:dyDescent="0.2">
      <c r="B123" s="34">
        <f t="shared" si="20"/>
        <v>102</v>
      </c>
      <c r="C123" s="8" t="s">
        <v>46</v>
      </c>
      <c r="D123" s="48"/>
      <c r="E123" s="49"/>
      <c r="F123" s="39" t="s">
        <v>47</v>
      </c>
      <c r="G123" s="40"/>
      <c r="H123" s="481">
        <f>H124+H140</f>
        <v>128700</v>
      </c>
      <c r="I123" s="481">
        <f t="shared" ref="I123" si="27">I124+I140</f>
        <v>0</v>
      </c>
      <c r="J123" s="491">
        <f t="shared" si="25"/>
        <v>128700</v>
      </c>
    </row>
    <row r="124" spans="1:10" ht="14.25" customHeight="1" x14ac:dyDescent="0.2">
      <c r="B124" s="34">
        <f t="shared" si="20"/>
        <v>103</v>
      </c>
      <c r="C124" s="48"/>
      <c r="D124" s="38" t="s">
        <v>53</v>
      </c>
      <c r="E124" s="38" t="s">
        <v>28</v>
      </c>
      <c r="F124" s="44" t="s">
        <v>77</v>
      </c>
      <c r="G124" s="40"/>
      <c r="H124" s="478">
        <f>SUM(H125:H139)</f>
        <v>128200</v>
      </c>
      <c r="I124" s="478">
        <f t="shared" ref="I124" si="28">SUM(I125:I139)</f>
        <v>0</v>
      </c>
      <c r="J124" s="793">
        <f t="shared" si="25"/>
        <v>128200</v>
      </c>
    </row>
    <row r="125" spans="1:10" ht="14.25" customHeight="1" x14ac:dyDescent="0.2">
      <c r="B125" s="34">
        <f t="shared" si="20"/>
        <v>104</v>
      </c>
      <c r="C125" s="48"/>
      <c r="D125" s="38"/>
      <c r="E125" s="38"/>
      <c r="F125" s="44"/>
      <c r="G125" s="315" t="s">
        <v>324</v>
      </c>
      <c r="H125" s="478">
        <v>7500</v>
      </c>
      <c r="I125" s="478"/>
      <c r="J125" s="793">
        <f t="shared" si="25"/>
        <v>7500</v>
      </c>
    </row>
    <row r="126" spans="1:10" ht="14.25" customHeight="1" x14ac:dyDescent="0.2">
      <c r="B126" s="34">
        <f t="shared" si="20"/>
        <v>105</v>
      </c>
      <c r="C126" s="48"/>
      <c r="D126" s="38"/>
      <c r="E126" s="38"/>
      <c r="F126" s="44"/>
      <c r="G126" s="315" t="s">
        <v>325</v>
      </c>
      <c r="H126" s="478">
        <v>8900</v>
      </c>
      <c r="I126" s="478"/>
      <c r="J126" s="793">
        <f t="shared" si="25"/>
        <v>8900</v>
      </c>
    </row>
    <row r="127" spans="1:10" ht="14.25" customHeight="1" x14ac:dyDescent="0.2">
      <c r="B127" s="34">
        <f t="shared" si="20"/>
        <v>106</v>
      </c>
      <c r="C127" s="48"/>
      <c r="D127" s="38"/>
      <c r="E127" s="38"/>
      <c r="F127" s="44"/>
      <c r="G127" s="315" t="s">
        <v>326</v>
      </c>
      <c r="H127" s="478">
        <v>6700</v>
      </c>
      <c r="I127" s="478"/>
      <c r="J127" s="793">
        <f t="shared" si="25"/>
        <v>6700</v>
      </c>
    </row>
    <row r="128" spans="1:10" ht="14.25" customHeight="1" x14ac:dyDescent="0.2">
      <c r="B128" s="34">
        <f t="shared" si="20"/>
        <v>107</v>
      </c>
      <c r="C128" s="48"/>
      <c r="D128" s="38"/>
      <c r="E128" s="38"/>
      <c r="F128" s="44"/>
      <c r="G128" s="315" t="s">
        <v>327</v>
      </c>
      <c r="H128" s="478">
        <v>10000</v>
      </c>
      <c r="I128" s="478"/>
      <c r="J128" s="793">
        <f t="shared" si="25"/>
        <v>10000</v>
      </c>
    </row>
    <row r="129" spans="1:10" ht="14.25" customHeight="1" x14ac:dyDescent="0.2">
      <c r="B129" s="34">
        <f t="shared" si="20"/>
        <v>108</v>
      </c>
      <c r="C129" s="48"/>
      <c r="D129" s="38"/>
      <c r="E129" s="38"/>
      <c r="F129" s="44"/>
      <c r="G129" s="315" t="s">
        <v>328</v>
      </c>
      <c r="H129" s="478">
        <v>8400</v>
      </c>
      <c r="I129" s="478"/>
      <c r="J129" s="793">
        <f t="shared" si="25"/>
        <v>8400</v>
      </c>
    </row>
    <row r="130" spans="1:10" ht="14.25" customHeight="1" x14ac:dyDescent="0.2">
      <c r="B130" s="34">
        <f t="shared" si="20"/>
        <v>109</v>
      </c>
      <c r="C130" s="48"/>
      <c r="D130" s="38"/>
      <c r="E130" s="38"/>
      <c r="F130" s="44"/>
      <c r="G130" s="315" t="s">
        <v>329</v>
      </c>
      <c r="H130" s="478">
        <v>14500</v>
      </c>
      <c r="I130" s="478"/>
      <c r="J130" s="793">
        <f t="shared" si="25"/>
        <v>14500</v>
      </c>
    </row>
    <row r="131" spans="1:10" ht="14.25" customHeight="1" x14ac:dyDescent="0.2">
      <c r="B131" s="34">
        <f t="shared" si="20"/>
        <v>110</v>
      </c>
      <c r="C131" s="48"/>
      <c r="D131" s="38"/>
      <c r="E131" s="38"/>
      <c r="F131" s="44"/>
      <c r="G131" s="315" t="s">
        <v>330</v>
      </c>
      <c r="H131" s="478">
        <v>14500</v>
      </c>
      <c r="I131" s="478"/>
      <c r="J131" s="793">
        <f t="shared" si="25"/>
        <v>14500</v>
      </c>
    </row>
    <row r="132" spans="1:10" ht="14.25" customHeight="1" x14ac:dyDescent="0.2">
      <c r="B132" s="34">
        <f t="shared" si="20"/>
        <v>111</v>
      </c>
      <c r="C132" s="48"/>
      <c r="D132" s="38"/>
      <c r="E132" s="38"/>
      <c r="F132" s="44"/>
      <c r="G132" s="315" t="s">
        <v>331</v>
      </c>
      <c r="H132" s="478">
        <v>6000</v>
      </c>
      <c r="I132" s="478"/>
      <c r="J132" s="793">
        <f t="shared" si="25"/>
        <v>6000</v>
      </c>
    </row>
    <row r="133" spans="1:10" ht="14.25" customHeight="1" x14ac:dyDescent="0.2">
      <c r="B133" s="34">
        <f t="shared" si="20"/>
        <v>112</v>
      </c>
      <c r="C133" s="48"/>
      <c r="D133" s="38"/>
      <c r="E133" s="38"/>
      <c r="F133" s="44"/>
      <c r="G133" s="315" t="s">
        <v>332</v>
      </c>
      <c r="H133" s="478">
        <v>11500</v>
      </c>
      <c r="I133" s="478"/>
      <c r="J133" s="793">
        <f t="shared" si="25"/>
        <v>11500</v>
      </c>
    </row>
    <row r="134" spans="1:10" ht="14.25" customHeight="1" x14ac:dyDescent="0.2">
      <c r="B134" s="34">
        <f t="shared" si="20"/>
        <v>113</v>
      </c>
      <c r="C134" s="48"/>
      <c r="D134" s="38"/>
      <c r="E134" s="38"/>
      <c r="F134" s="44"/>
      <c r="G134" s="315" t="s">
        <v>333</v>
      </c>
      <c r="H134" s="478">
        <v>10500</v>
      </c>
      <c r="I134" s="478"/>
      <c r="J134" s="793">
        <f t="shared" si="25"/>
        <v>10500</v>
      </c>
    </row>
    <row r="135" spans="1:10" ht="14.25" customHeight="1" x14ac:dyDescent="0.2">
      <c r="B135" s="34">
        <f t="shared" si="20"/>
        <v>114</v>
      </c>
      <c r="C135" s="48"/>
      <c r="D135" s="38"/>
      <c r="E135" s="38"/>
      <c r="F135" s="44"/>
      <c r="G135" s="315" t="s">
        <v>334</v>
      </c>
      <c r="H135" s="478">
        <v>8600</v>
      </c>
      <c r="I135" s="478"/>
      <c r="J135" s="793">
        <f t="shared" si="25"/>
        <v>8600</v>
      </c>
    </row>
    <row r="136" spans="1:10" ht="14.25" customHeight="1" x14ac:dyDescent="0.2">
      <c r="B136" s="34">
        <f t="shared" si="20"/>
        <v>115</v>
      </c>
      <c r="C136" s="48"/>
      <c r="D136" s="38"/>
      <c r="E136" s="38"/>
      <c r="F136" s="44"/>
      <c r="G136" s="315" t="s">
        <v>335</v>
      </c>
      <c r="H136" s="478">
        <v>3700</v>
      </c>
      <c r="I136" s="478"/>
      <c r="J136" s="793">
        <f t="shared" si="25"/>
        <v>3700</v>
      </c>
    </row>
    <row r="137" spans="1:10" ht="14.25" customHeight="1" x14ac:dyDescent="0.2">
      <c r="B137" s="59">
        <f t="shared" ref="B137:B142" si="29">B136+1</f>
        <v>116</v>
      </c>
      <c r="C137" s="48"/>
      <c r="D137" s="38"/>
      <c r="E137" s="38"/>
      <c r="F137" s="44"/>
      <c r="G137" s="315" t="s">
        <v>336</v>
      </c>
      <c r="H137" s="478">
        <v>4200</v>
      </c>
      <c r="I137" s="478"/>
      <c r="J137" s="793">
        <f t="shared" si="25"/>
        <v>4200</v>
      </c>
    </row>
    <row r="138" spans="1:10" ht="14.25" customHeight="1" x14ac:dyDescent="0.2">
      <c r="B138" s="59">
        <f t="shared" si="29"/>
        <v>117</v>
      </c>
      <c r="C138" s="48"/>
      <c r="D138" s="38"/>
      <c r="E138" s="38"/>
      <c r="F138" s="44"/>
      <c r="G138" s="315" t="s">
        <v>337</v>
      </c>
      <c r="H138" s="478">
        <v>3500</v>
      </c>
      <c r="I138" s="478"/>
      <c r="J138" s="793">
        <f t="shared" si="25"/>
        <v>3500</v>
      </c>
    </row>
    <row r="139" spans="1:10" ht="14.25" customHeight="1" x14ac:dyDescent="0.2">
      <c r="B139" s="59">
        <f t="shared" si="29"/>
        <v>118</v>
      </c>
      <c r="C139" s="48"/>
      <c r="D139" s="38"/>
      <c r="E139" s="38"/>
      <c r="F139" s="44"/>
      <c r="G139" s="315" t="s">
        <v>338</v>
      </c>
      <c r="H139" s="478">
        <v>9700</v>
      </c>
      <c r="I139" s="478"/>
      <c r="J139" s="793">
        <f t="shared" si="25"/>
        <v>9700</v>
      </c>
    </row>
    <row r="140" spans="1:10" ht="14.25" customHeight="1" x14ac:dyDescent="0.2">
      <c r="B140" s="59">
        <f t="shared" si="29"/>
        <v>119</v>
      </c>
      <c r="C140" s="48"/>
      <c r="D140" s="38" t="s">
        <v>53</v>
      </c>
      <c r="E140" s="38" t="s">
        <v>28</v>
      </c>
      <c r="F140" s="44" t="s">
        <v>122</v>
      </c>
      <c r="G140" s="40"/>
      <c r="H140" s="478">
        <v>500</v>
      </c>
      <c r="I140" s="478"/>
      <c r="J140" s="793">
        <f t="shared" si="25"/>
        <v>500</v>
      </c>
    </row>
    <row r="141" spans="1:10" ht="14.25" customHeight="1" x14ac:dyDescent="0.2">
      <c r="B141" s="59">
        <f t="shared" si="29"/>
        <v>120</v>
      </c>
      <c r="C141" s="53"/>
      <c r="D141" s="371"/>
      <c r="E141" s="371"/>
      <c r="F141" s="51" t="s">
        <v>64</v>
      </c>
      <c r="G141" s="318"/>
      <c r="H141" s="539">
        <v>7585</v>
      </c>
      <c r="I141" s="539"/>
      <c r="J141" s="793">
        <f t="shared" si="25"/>
        <v>7585</v>
      </c>
    </row>
    <row r="142" spans="1:10" ht="14.25" customHeight="1" thickBot="1" x14ac:dyDescent="0.25">
      <c r="B142" s="59">
        <f t="shared" si="29"/>
        <v>121</v>
      </c>
      <c r="C142" s="190" t="s">
        <v>57</v>
      </c>
      <c r="D142" s="501" t="s">
        <v>118</v>
      </c>
      <c r="E142" s="502"/>
      <c r="F142" s="191" t="s">
        <v>58</v>
      </c>
      <c r="G142" s="503"/>
      <c r="H142" s="563">
        <v>15</v>
      </c>
      <c r="I142" s="563"/>
      <c r="J142" s="833">
        <f t="shared" si="25"/>
        <v>15</v>
      </c>
    </row>
    <row r="143" spans="1:10" s="19" customFormat="1" ht="12.75" customHeight="1" x14ac:dyDescent="0.2">
      <c r="A143" s="239"/>
      <c r="B143" s="248"/>
      <c r="C143" s="253"/>
      <c r="D143" s="254"/>
      <c r="E143" s="255"/>
      <c r="F143" s="256"/>
      <c r="G143" s="257"/>
      <c r="H143" s="252"/>
    </row>
    <row r="144" spans="1:10" s="19" customFormat="1" ht="12.75" customHeight="1" thickBot="1" x14ac:dyDescent="0.25">
      <c r="A144" s="239"/>
      <c r="B144" s="248"/>
      <c r="C144" s="253"/>
      <c r="D144" s="254"/>
      <c r="E144" s="255"/>
      <c r="F144" s="256"/>
      <c r="G144" s="257"/>
      <c r="H144" s="252"/>
    </row>
    <row r="145" spans="2:10" ht="12.75" customHeight="1" x14ac:dyDescent="0.2">
      <c r="B145" s="884" t="s">
        <v>9</v>
      </c>
      <c r="C145" s="885"/>
      <c r="D145" s="885"/>
      <c r="E145" s="885"/>
      <c r="F145" s="885"/>
      <c r="G145" s="885"/>
      <c r="H145" s="881" t="s">
        <v>721</v>
      </c>
      <c r="I145" s="881" t="s">
        <v>860</v>
      </c>
      <c r="J145" s="881" t="s">
        <v>721</v>
      </c>
    </row>
    <row r="146" spans="2:10" ht="12.75" customHeight="1" x14ac:dyDescent="0.2">
      <c r="B146" s="886"/>
      <c r="C146" s="887"/>
      <c r="D146" s="887"/>
      <c r="E146" s="887"/>
      <c r="F146" s="887"/>
      <c r="G146" s="887"/>
      <c r="H146" s="882"/>
      <c r="I146" s="882"/>
      <c r="J146" s="882"/>
    </row>
    <row r="147" spans="2:10" ht="16.5" customHeight="1" x14ac:dyDescent="0.2">
      <c r="B147" s="79"/>
      <c r="C147" s="888" t="s">
        <v>10</v>
      </c>
      <c r="D147" s="80" t="s">
        <v>11</v>
      </c>
      <c r="E147" s="80" t="s">
        <v>12</v>
      </c>
      <c r="F147" s="81"/>
      <c r="G147" s="81"/>
      <c r="H147" s="882"/>
      <c r="I147" s="882"/>
      <c r="J147" s="882"/>
    </row>
    <row r="148" spans="2:10" ht="19.5" customHeight="1" thickBot="1" x14ac:dyDescent="0.25">
      <c r="B148" s="83"/>
      <c r="C148" s="889"/>
      <c r="D148" s="85"/>
      <c r="E148" s="84" t="s">
        <v>13</v>
      </c>
      <c r="F148" s="86" t="s">
        <v>14</v>
      </c>
      <c r="G148" s="309"/>
      <c r="H148" s="883"/>
      <c r="I148" s="883"/>
      <c r="J148" s="883"/>
    </row>
    <row r="149" spans="2:10" ht="12.75" customHeight="1" thickTop="1" x14ac:dyDescent="0.2">
      <c r="B149" s="59">
        <f>B142+1</f>
        <v>122</v>
      </c>
      <c r="C149" s="8"/>
      <c r="D149" s="14"/>
      <c r="E149" s="72"/>
      <c r="F149" s="189" t="s">
        <v>120</v>
      </c>
      <c r="G149" s="313"/>
      <c r="H149" s="564"/>
      <c r="I149" s="564"/>
      <c r="J149" s="564"/>
    </row>
    <row r="150" spans="2:10" ht="13.5" customHeight="1" x14ac:dyDescent="0.2">
      <c r="B150" s="59">
        <f t="shared" ref="B150:B246" si="30">B149+1</f>
        <v>123</v>
      </c>
      <c r="C150" s="8"/>
      <c r="D150" s="14"/>
      <c r="E150" s="72"/>
      <c r="F150" s="118" t="s">
        <v>121</v>
      </c>
      <c r="G150" s="314"/>
      <c r="H150" s="561">
        <f>H151+H162+H173+H184+H200</f>
        <v>261435</v>
      </c>
      <c r="I150" s="561">
        <f t="shared" ref="I150" si="31">I151+I162+I173+I184+I200</f>
        <v>97</v>
      </c>
      <c r="J150" s="561">
        <f>I150+H150</f>
        <v>261532</v>
      </c>
    </row>
    <row r="151" spans="2:10" x14ac:dyDescent="0.2">
      <c r="B151" s="59">
        <f t="shared" si="30"/>
        <v>124</v>
      </c>
      <c r="C151" s="8" t="s">
        <v>39</v>
      </c>
      <c r="D151" s="8"/>
      <c r="E151" s="10"/>
      <c r="F151" s="39" t="s">
        <v>40</v>
      </c>
      <c r="G151" s="40"/>
      <c r="H151" s="481">
        <f>H152</f>
        <v>86000</v>
      </c>
      <c r="I151" s="481">
        <f t="shared" ref="I151" si="32">I152</f>
        <v>0</v>
      </c>
      <c r="J151" s="481">
        <f>H151+I151</f>
        <v>86000</v>
      </c>
    </row>
    <row r="152" spans="2:10" x14ac:dyDescent="0.2">
      <c r="B152" s="59">
        <f t="shared" si="30"/>
        <v>125</v>
      </c>
      <c r="C152" s="48"/>
      <c r="D152" s="37" t="s">
        <v>41</v>
      </c>
      <c r="E152" s="45" t="s">
        <v>20</v>
      </c>
      <c r="F152" s="44" t="s">
        <v>76</v>
      </c>
      <c r="G152" s="40"/>
      <c r="H152" s="478">
        <f>SUM(H153:H160)</f>
        <v>86000</v>
      </c>
      <c r="I152" s="478">
        <f t="shared" ref="I152" si="33">SUM(I153:I160)</f>
        <v>0</v>
      </c>
      <c r="J152" s="478">
        <f>H152+I152</f>
        <v>86000</v>
      </c>
    </row>
    <row r="153" spans="2:10" x14ac:dyDescent="0.2">
      <c r="B153" s="59">
        <f t="shared" si="30"/>
        <v>126</v>
      </c>
      <c r="C153" s="48"/>
      <c r="D153" s="37"/>
      <c r="E153" s="45"/>
      <c r="F153" s="44"/>
      <c r="G153" s="315" t="s">
        <v>458</v>
      </c>
      <c r="H153" s="478">
        <v>40000</v>
      </c>
      <c r="I153" s="478"/>
      <c r="J153" s="478">
        <f t="shared" ref="J153:J200" si="34">H153+I153</f>
        <v>40000</v>
      </c>
    </row>
    <row r="154" spans="2:10" x14ac:dyDescent="0.2">
      <c r="B154" s="59">
        <f t="shared" si="30"/>
        <v>127</v>
      </c>
      <c r="C154" s="48"/>
      <c r="D154" s="37"/>
      <c r="E154" s="45"/>
      <c r="F154" s="44"/>
      <c r="G154" s="315" t="s">
        <v>459</v>
      </c>
      <c r="H154" s="478">
        <v>2000</v>
      </c>
      <c r="I154" s="478"/>
      <c r="J154" s="478">
        <f t="shared" si="34"/>
        <v>2000</v>
      </c>
    </row>
    <row r="155" spans="2:10" x14ac:dyDescent="0.2">
      <c r="B155" s="59">
        <f t="shared" si="30"/>
        <v>128</v>
      </c>
      <c r="C155" s="48"/>
      <c r="D155" s="37"/>
      <c r="E155" s="45"/>
      <c r="F155" s="44"/>
      <c r="G155" s="315" t="s">
        <v>460</v>
      </c>
      <c r="H155" s="478">
        <v>3000</v>
      </c>
      <c r="I155" s="478"/>
      <c r="J155" s="478">
        <f t="shared" si="34"/>
        <v>3000</v>
      </c>
    </row>
    <row r="156" spans="2:10" x14ac:dyDescent="0.2">
      <c r="B156" s="59">
        <f t="shared" si="30"/>
        <v>129</v>
      </c>
      <c r="C156" s="48"/>
      <c r="D156" s="37"/>
      <c r="E156" s="45"/>
      <c r="F156" s="44"/>
      <c r="G156" s="315" t="s">
        <v>461</v>
      </c>
      <c r="H156" s="478">
        <v>2400</v>
      </c>
      <c r="I156" s="478"/>
      <c r="J156" s="478">
        <f t="shared" si="34"/>
        <v>2400</v>
      </c>
    </row>
    <row r="157" spans="2:10" x14ac:dyDescent="0.2">
      <c r="B157" s="59">
        <f t="shared" si="30"/>
        <v>130</v>
      </c>
      <c r="C157" s="48"/>
      <c r="D157" s="37"/>
      <c r="E157" s="45"/>
      <c r="F157" s="44"/>
      <c r="G157" s="315" t="s">
        <v>462</v>
      </c>
      <c r="H157" s="478">
        <v>1500</v>
      </c>
      <c r="I157" s="478"/>
      <c r="J157" s="478">
        <f t="shared" si="34"/>
        <v>1500</v>
      </c>
    </row>
    <row r="158" spans="2:10" x14ac:dyDescent="0.2">
      <c r="B158" s="59">
        <f t="shared" si="30"/>
        <v>131</v>
      </c>
      <c r="C158" s="48"/>
      <c r="D158" s="37"/>
      <c r="E158" s="45"/>
      <c r="F158" s="44"/>
      <c r="G158" s="315" t="s">
        <v>463</v>
      </c>
      <c r="H158" s="478">
        <v>6000</v>
      </c>
      <c r="I158" s="478"/>
      <c r="J158" s="478">
        <f t="shared" si="34"/>
        <v>6000</v>
      </c>
    </row>
    <row r="159" spans="2:10" x14ac:dyDescent="0.2">
      <c r="B159" s="59">
        <f t="shared" si="30"/>
        <v>132</v>
      </c>
      <c r="C159" s="48"/>
      <c r="D159" s="37"/>
      <c r="E159" s="45"/>
      <c r="F159" s="44"/>
      <c r="G159" s="315" t="s">
        <v>464</v>
      </c>
      <c r="H159" s="478">
        <v>15000</v>
      </c>
      <c r="I159" s="478"/>
      <c r="J159" s="478">
        <f t="shared" si="34"/>
        <v>15000</v>
      </c>
    </row>
    <row r="160" spans="2:10" x14ac:dyDescent="0.2">
      <c r="B160" s="59">
        <f t="shared" si="30"/>
        <v>133</v>
      </c>
      <c r="C160" s="48"/>
      <c r="D160" s="37"/>
      <c r="E160" s="45"/>
      <c r="F160" s="44"/>
      <c r="G160" s="315" t="s">
        <v>465</v>
      </c>
      <c r="H160" s="478">
        <v>16100</v>
      </c>
      <c r="I160" s="478"/>
      <c r="J160" s="478">
        <f t="shared" si="34"/>
        <v>16100</v>
      </c>
    </row>
    <row r="161" spans="2:10" x14ac:dyDescent="0.2">
      <c r="B161" s="59">
        <f t="shared" si="30"/>
        <v>134</v>
      </c>
      <c r="C161" s="48"/>
      <c r="D161" s="37"/>
      <c r="E161" s="45"/>
      <c r="F161" s="44"/>
      <c r="G161" s="315"/>
      <c r="H161" s="478"/>
      <c r="I161" s="478"/>
      <c r="J161" s="478"/>
    </row>
    <row r="162" spans="2:10" x14ac:dyDescent="0.2">
      <c r="B162" s="59">
        <f t="shared" si="30"/>
        <v>135</v>
      </c>
      <c r="C162" s="8" t="s">
        <v>46</v>
      </c>
      <c r="D162" s="48"/>
      <c r="E162" s="49"/>
      <c r="F162" s="39" t="s">
        <v>47</v>
      </c>
      <c r="G162" s="40"/>
      <c r="H162" s="481">
        <f>H163</f>
        <v>77200</v>
      </c>
      <c r="I162" s="481">
        <f t="shared" ref="I162" si="35">I163</f>
        <v>0</v>
      </c>
      <c r="J162" s="481">
        <f t="shared" si="34"/>
        <v>77200</v>
      </c>
    </row>
    <row r="163" spans="2:10" x14ac:dyDescent="0.2">
      <c r="B163" s="59">
        <f t="shared" si="30"/>
        <v>136</v>
      </c>
      <c r="C163" s="48"/>
      <c r="D163" s="38" t="s">
        <v>53</v>
      </c>
      <c r="E163" s="38" t="s">
        <v>28</v>
      </c>
      <c r="F163" s="164" t="s">
        <v>78</v>
      </c>
      <c r="G163" s="40"/>
      <c r="H163" s="478">
        <f>SUM(H164:H171)</f>
        <v>77200</v>
      </c>
      <c r="I163" s="478">
        <f t="shared" ref="I163" si="36">SUM(I164:I171)</f>
        <v>0</v>
      </c>
      <c r="J163" s="478">
        <f t="shared" si="34"/>
        <v>77200</v>
      </c>
    </row>
    <row r="164" spans="2:10" x14ac:dyDescent="0.2">
      <c r="B164" s="59">
        <f t="shared" si="30"/>
        <v>137</v>
      </c>
      <c r="C164" s="48"/>
      <c r="D164" s="38"/>
      <c r="E164" s="38"/>
      <c r="F164" s="44"/>
      <c r="G164" s="315" t="s">
        <v>458</v>
      </c>
      <c r="H164" s="478">
        <v>10300</v>
      </c>
      <c r="I164" s="478"/>
      <c r="J164" s="478">
        <f t="shared" si="34"/>
        <v>10300</v>
      </c>
    </row>
    <row r="165" spans="2:10" x14ac:dyDescent="0.2">
      <c r="B165" s="59">
        <f t="shared" si="30"/>
        <v>138</v>
      </c>
      <c r="C165" s="48"/>
      <c r="D165" s="38"/>
      <c r="E165" s="38"/>
      <c r="F165" s="44"/>
      <c r="G165" s="315" t="s">
        <v>459</v>
      </c>
      <c r="H165" s="478">
        <v>11000</v>
      </c>
      <c r="I165" s="478"/>
      <c r="J165" s="478">
        <f t="shared" si="34"/>
        <v>11000</v>
      </c>
    </row>
    <row r="166" spans="2:10" x14ac:dyDescent="0.2">
      <c r="B166" s="59">
        <f t="shared" si="30"/>
        <v>139</v>
      </c>
      <c r="C166" s="48"/>
      <c r="D166" s="38"/>
      <c r="E166" s="38"/>
      <c r="F166" s="44"/>
      <c r="G166" s="316" t="s">
        <v>460</v>
      </c>
      <c r="H166" s="478">
        <v>8100</v>
      </c>
      <c r="I166" s="478"/>
      <c r="J166" s="478">
        <f t="shared" si="34"/>
        <v>8100</v>
      </c>
    </row>
    <row r="167" spans="2:10" ht="12.75" customHeight="1" x14ac:dyDescent="0.2">
      <c r="B167" s="59">
        <f t="shared" si="30"/>
        <v>140</v>
      </c>
      <c r="C167" s="48"/>
      <c r="D167" s="38"/>
      <c r="E167" s="38"/>
      <c r="F167" s="44"/>
      <c r="G167" s="316" t="s">
        <v>461</v>
      </c>
      <c r="H167" s="478">
        <v>6500</v>
      </c>
      <c r="I167" s="478"/>
      <c r="J167" s="478">
        <f t="shared" si="34"/>
        <v>6500</v>
      </c>
    </row>
    <row r="168" spans="2:10" ht="12.75" customHeight="1" x14ac:dyDescent="0.2">
      <c r="B168" s="59">
        <f t="shared" si="30"/>
        <v>141</v>
      </c>
      <c r="C168" s="48"/>
      <c r="D168" s="38"/>
      <c r="E168" s="38"/>
      <c r="F168" s="44"/>
      <c r="G168" s="316" t="s">
        <v>462</v>
      </c>
      <c r="H168" s="478">
        <v>12000</v>
      </c>
      <c r="I168" s="478"/>
      <c r="J168" s="478">
        <f t="shared" si="34"/>
        <v>12000</v>
      </c>
    </row>
    <row r="169" spans="2:10" ht="12.75" customHeight="1" x14ac:dyDescent="0.2">
      <c r="B169" s="59">
        <f t="shared" si="30"/>
        <v>142</v>
      </c>
      <c r="C169" s="48"/>
      <c r="D169" s="38"/>
      <c r="E169" s="38"/>
      <c r="F169" s="44"/>
      <c r="G169" s="316" t="s">
        <v>463</v>
      </c>
      <c r="H169" s="478">
        <v>4400</v>
      </c>
      <c r="I169" s="478"/>
      <c r="J169" s="478">
        <f t="shared" si="34"/>
        <v>4400</v>
      </c>
    </row>
    <row r="170" spans="2:10" ht="12.75" customHeight="1" x14ac:dyDescent="0.2">
      <c r="B170" s="59">
        <f t="shared" si="30"/>
        <v>143</v>
      </c>
      <c r="C170" s="48"/>
      <c r="D170" s="38"/>
      <c r="E170" s="38"/>
      <c r="F170" s="44"/>
      <c r="G170" s="315" t="s">
        <v>464</v>
      </c>
      <c r="H170" s="478">
        <v>4900</v>
      </c>
      <c r="I170" s="478"/>
      <c r="J170" s="478">
        <f t="shared" si="34"/>
        <v>4900</v>
      </c>
    </row>
    <row r="171" spans="2:10" ht="12.75" customHeight="1" x14ac:dyDescent="0.2">
      <c r="B171" s="59">
        <f t="shared" si="30"/>
        <v>144</v>
      </c>
      <c r="C171" s="48"/>
      <c r="D171" s="38"/>
      <c r="E171" s="38"/>
      <c r="F171" s="44"/>
      <c r="G171" s="315" t="s">
        <v>465</v>
      </c>
      <c r="H171" s="478">
        <v>20000</v>
      </c>
      <c r="I171" s="478"/>
      <c r="J171" s="478">
        <f t="shared" si="34"/>
        <v>20000</v>
      </c>
    </row>
    <row r="172" spans="2:10" x14ac:dyDescent="0.2">
      <c r="B172" s="59">
        <f t="shared" si="30"/>
        <v>145</v>
      </c>
      <c r="C172" s="48"/>
      <c r="D172" s="38"/>
      <c r="E172" s="38"/>
      <c r="F172" s="40"/>
      <c r="G172" s="315"/>
      <c r="H172" s="478"/>
      <c r="I172" s="478"/>
      <c r="J172" s="478"/>
    </row>
    <row r="173" spans="2:10" x14ac:dyDescent="0.2">
      <c r="B173" s="59">
        <f t="shared" si="30"/>
        <v>146</v>
      </c>
      <c r="C173" s="55" t="s">
        <v>57</v>
      </c>
      <c r="D173" s="54"/>
      <c r="E173" s="56"/>
      <c r="F173" s="57" t="s">
        <v>58</v>
      </c>
      <c r="G173" s="329"/>
      <c r="H173" s="491">
        <f>H174</f>
        <v>30</v>
      </c>
      <c r="I173" s="491">
        <f t="shared" ref="I173" si="37">I174</f>
        <v>0</v>
      </c>
      <c r="J173" s="481">
        <f t="shared" si="34"/>
        <v>30</v>
      </c>
    </row>
    <row r="174" spans="2:10" x14ac:dyDescent="0.2">
      <c r="B174" s="59">
        <f t="shared" si="30"/>
        <v>147</v>
      </c>
      <c r="C174" s="48"/>
      <c r="D174" s="38" t="s">
        <v>502</v>
      </c>
      <c r="E174" s="38"/>
      <c r="F174" s="163" t="s">
        <v>503</v>
      </c>
      <c r="G174" s="315"/>
      <c r="H174" s="478">
        <f>SUM(H175:H182)</f>
        <v>30</v>
      </c>
      <c r="I174" s="478">
        <f t="shared" ref="I174" si="38">SUM(I175:I182)</f>
        <v>0</v>
      </c>
      <c r="J174" s="478">
        <f t="shared" si="34"/>
        <v>30</v>
      </c>
    </row>
    <row r="175" spans="2:10" x14ac:dyDescent="0.2">
      <c r="B175" s="59">
        <f t="shared" si="30"/>
        <v>148</v>
      </c>
      <c r="C175" s="48"/>
      <c r="D175" s="38"/>
      <c r="E175" s="38"/>
      <c r="F175" s="40"/>
      <c r="G175" s="315" t="s">
        <v>458</v>
      </c>
      <c r="H175" s="478">
        <v>5</v>
      </c>
      <c r="I175" s="478"/>
      <c r="J175" s="478">
        <f t="shared" si="34"/>
        <v>5</v>
      </c>
    </row>
    <row r="176" spans="2:10" x14ac:dyDescent="0.2">
      <c r="B176" s="59">
        <f t="shared" si="30"/>
        <v>149</v>
      </c>
      <c r="C176" s="48"/>
      <c r="D176" s="38"/>
      <c r="E176" s="38"/>
      <c r="F176" s="40"/>
      <c r="G176" s="315" t="s">
        <v>459</v>
      </c>
      <c r="H176" s="478">
        <v>2</v>
      </c>
      <c r="I176" s="478"/>
      <c r="J176" s="478">
        <f t="shared" si="34"/>
        <v>2</v>
      </c>
    </row>
    <row r="177" spans="2:10" x14ac:dyDescent="0.2">
      <c r="B177" s="59">
        <f t="shared" si="30"/>
        <v>150</v>
      </c>
      <c r="C177" s="48"/>
      <c r="D177" s="38"/>
      <c r="E177" s="38"/>
      <c r="F177" s="40"/>
      <c r="G177" s="315" t="s">
        <v>460</v>
      </c>
      <c r="H177" s="478">
        <v>5</v>
      </c>
      <c r="I177" s="478"/>
      <c r="J177" s="478">
        <f t="shared" si="34"/>
        <v>5</v>
      </c>
    </row>
    <row r="178" spans="2:10" x14ac:dyDescent="0.2">
      <c r="B178" s="59">
        <f t="shared" si="30"/>
        <v>151</v>
      </c>
      <c r="C178" s="48"/>
      <c r="D178" s="38"/>
      <c r="E178" s="38"/>
      <c r="F178" s="40"/>
      <c r="G178" s="315" t="s">
        <v>461</v>
      </c>
      <c r="H178" s="478">
        <v>3</v>
      </c>
      <c r="I178" s="478"/>
      <c r="J178" s="478">
        <f t="shared" si="34"/>
        <v>3</v>
      </c>
    </row>
    <row r="179" spans="2:10" x14ac:dyDescent="0.2">
      <c r="B179" s="59">
        <f t="shared" si="30"/>
        <v>152</v>
      </c>
      <c r="C179" s="48"/>
      <c r="D179" s="38"/>
      <c r="E179" s="38"/>
      <c r="F179" s="40"/>
      <c r="G179" s="315" t="s">
        <v>463</v>
      </c>
      <c r="H179" s="478">
        <v>2</v>
      </c>
      <c r="I179" s="478"/>
      <c r="J179" s="478">
        <f t="shared" si="34"/>
        <v>2</v>
      </c>
    </row>
    <row r="180" spans="2:10" x14ac:dyDescent="0.2">
      <c r="B180" s="59">
        <f t="shared" si="30"/>
        <v>153</v>
      </c>
      <c r="C180" s="48"/>
      <c r="D180" s="38"/>
      <c r="E180" s="38"/>
      <c r="F180" s="40"/>
      <c r="G180" s="315" t="s">
        <v>462</v>
      </c>
      <c r="H180" s="478">
        <v>2</v>
      </c>
      <c r="I180" s="478"/>
      <c r="J180" s="478">
        <f t="shared" si="34"/>
        <v>2</v>
      </c>
    </row>
    <row r="181" spans="2:10" x14ac:dyDescent="0.2">
      <c r="B181" s="59">
        <f t="shared" si="30"/>
        <v>154</v>
      </c>
      <c r="C181" s="48"/>
      <c r="D181" s="38"/>
      <c r="E181" s="38"/>
      <c r="F181" s="40"/>
      <c r="G181" s="315" t="s">
        <v>464</v>
      </c>
      <c r="H181" s="478">
        <v>5</v>
      </c>
      <c r="I181" s="478"/>
      <c r="J181" s="478">
        <f t="shared" si="34"/>
        <v>5</v>
      </c>
    </row>
    <row r="182" spans="2:10" x14ac:dyDescent="0.2">
      <c r="B182" s="59">
        <f t="shared" si="30"/>
        <v>155</v>
      </c>
      <c r="C182" s="48"/>
      <c r="D182" s="38"/>
      <c r="E182" s="38"/>
      <c r="F182" s="40"/>
      <c r="G182" s="315" t="s">
        <v>465</v>
      </c>
      <c r="H182" s="478">
        <v>6</v>
      </c>
      <c r="I182" s="478"/>
      <c r="J182" s="478">
        <f t="shared" si="34"/>
        <v>6</v>
      </c>
    </row>
    <row r="183" spans="2:10" x14ac:dyDescent="0.2">
      <c r="B183" s="59">
        <f t="shared" si="30"/>
        <v>156</v>
      </c>
      <c r="C183" s="48"/>
      <c r="D183" s="38"/>
      <c r="E183" s="38"/>
      <c r="F183" s="40"/>
      <c r="G183" s="315"/>
      <c r="H183" s="478"/>
      <c r="I183" s="478"/>
      <c r="J183" s="478">
        <f t="shared" si="34"/>
        <v>0</v>
      </c>
    </row>
    <row r="184" spans="2:10" x14ac:dyDescent="0.2">
      <c r="B184" s="59">
        <f t="shared" si="30"/>
        <v>157</v>
      </c>
      <c r="C184" s="8" t="s">
        <v>79</v>
      </c>
      <c r="D184" s="48"/>
      <c r="E184" s="49"/>
      <c r="F184" s="39" t="s">
        <v>597</v>
      </c>
      <c r="G184" s="40"/>
      <c r="H184" s="481">
        <f>H185+H194+H197</f>
        <v>73980</v>
      </c>
      <c r="I184" s="481">
        <f t="shared" ref="I184" si="39">I185+I194+I197</f>
        <v>97</v>
      </c>
      <c r="J184" s="481">
        <f t="shared" si="34"/>
        <v>74077</v>
      </c>
    </row>
    <row r="185" spans="2:10" x14ac:dyDescent="0.2">
      <c r="B185" s="59">
        <f t="shared" si="30"/>
        <v>158</v>
      </c>
      <c r="C185" s="48"/>
      <c r="D185" s="38" t="s">
        <v>81</v>
      </c>
      <c r="E185" s="38" t="s">
        <v>598</v>
      </c>
      <c r="F185" s="164" t="s">
        <v>599</v>
      </c>
      <c r="G185" s="40"/>
      <c r="H185" s="478">
        <f>SUM(H186:H192)</f>
        <v>72545</v>
      </c>
      <c r="I185" s="478">
        <f t="shared" ref="I185" si="40">SUM(I186:I192)</f>
        <v>0</v>
      </c>
      <c r="J185" s="478">
        <f t="shared" si="34"/>
        <v>72545</v>
      </c>
    </row>
    <row r="186" spans="2:10" x14ac:dyDescent="0.2">
      <c r="B186" s="59">
        <f t="shared" si="30"/>
        <v>159</v>
      </c>
      <c r="C186" s="48"/>
      <c r="D186" s="38"/>
      <c r="E186" s="38"/>
      <c r="F186" s="44"/>
      <c r="G186" s="315" t="s">
        <v>458</v>
      </c>
      <c r="H186" s="478">
        <v>14645</v>
      </c>
      <c r="I186" s="478"/>
      <c r="J186" s="478">
        <f t="shared" si="34"/>
        <v>14645</v>
      </c>
    </row>
    <row r="187" spans="2:10" x14ac:dyDescent="0.2">
      <c r="B187" s="59">
        <f t="shared" si="30"/>
        <v>160</v>
      </c>
      <c r="C187" s="48"/>
      <c r="D187" s="38"/>
      <c r="E187" s="38"/>
      <c r="F187" s="44"/>
      <c r="G187" s="315" t="s">
        <v>459</v>
      </c>
      <c r="H187" s="478">
        <v>12000</v>
      </c>
      <c r="I187" s="478"/>
      <c r="J187" s="478">
        <f t="shared" si="34"/>
        <v>12000</v>
      </c>
    </row>
    <row r="188" spans="2:10" x14ac:dyDescent="0.2">
      <c r="B188" s="59">
        <f t="shared" si="30"/>
        <v>161</v>
      </c>
      <c r="C188" s="48"/>
      <c r="D188" s="38"/>
      <c r="E188" s="38"/>
      <c r="F188" s="44"/>
      <c r="G188" s="316" t="s">
        <v>460</v>
      </c>
      <c r="H188" s="478">
        <v>8200</v>
      </c>
      <c r="I188" s="478"/>
      <c r="J188" s="478">
        <f t="shared" si="34"/>
        <v>8200</v>
      </c>
    </row>
    <row r="189" spans="2:10" x14ac:dyDescent="0.2">
      <c r="B189" s="59">
        <f t="shared" si="30"/>
        <v>162</v>
      </c>
      <c r="C189" s="48"/>
      <c r="D189" s="38"/>
      <c r="E189" s="38"/>
      <c r="F189" s="44"/>
      <c r="G189" s="316" t="s">
        <v>461</v>
      </c>
      <c r="H189" s="478">
        <v>5400</v>
      </c>
      <c r="I189" s="478"/>
      <c r="J189" s="478">
        <f t="shared" si="34"/>
        <v>5400</v>
      </c>
    </row>
    <row r="190" spans="2:10" x14ac:dyDescent="0.2">
      <c r="B190" s="59">
        <f t="shared" si="30"/>
        <v>163</v>
      </c>
      <c r="C190" s="48"/>
      <c r="D190" s="38"/>
      <c r="E190" s="38"/>
      <c r="F190" s="44"/>
      <c r="G190" s="316" t="s">
        <v>462</v>
      </c>
      <c r="H190" s="478">
        <v>11000</v>
      </c>
      <c r="I190" s="478"/>
      <c r="J190" s="478">
        <f t="shared" si="34"/>
        <v>11000</v>
      </c>
    </row>
    <row r="191" spans="2:10" x14ac:dyDescent="0.2">
      <c r="B191" s="59">
        <f t="shared" si="30"/>
        <v>164</v>
      </c>
      <c r="C191" s="48"/>
      <c r="D191" s="38"/>
      <c r="E191" s="38"/>
      <c r="F191" s="44"/>
      <c r="G191" s="316" t="s">
        <v>463</v>
      </c>
      <c r="H191" s="478">
        <v>8300</v>
      </c>
      <c r="I191" s="478"/>
      <c r="J191" s="478">
        <f t="shared" si="34"/>
        <v>8300</v>
      </c>
    </row>
    <row r="192" spans="2:10" x14ac:dyDescent="0.2">
      <c r="B192" s="59">
        <f t="shared" si="30"/>
        <v>165</v>
      </c>
      <c r="C192" s="48"/>
      <c r="D192" s="38"/>
      <c r="E192" s="38"/>
      <c r="F192" s="44"/>
      <c r="G192" s="315" t="s">
        <v>464</v>
      </c>
      <c r="H192" s="478">
        <v>13000</v>
      </c>
      <c r="I192" s="478"/>
      <c r="J192" s="478">
        <f t="shared" si="34"/>
        <v>13000</v>
      </c>
    </row>
    <row r="193" spans="2:10" x14ac:dyDescent="0.2">
      <c r="B193" s="59">
        <f t="shared" si="30"/>
        <v>166</v>
      </c>
      <c r="C193" s="48"/>
      <c r="D193" s="38"/>
      <c r="E193" s="38"/>
      <c r="F193" s="44"/>
      <c r="G193" s="315"/>
      <c r="H193" s="478"/>
      <c r="I193" s="478"/>
      <c r="J193" s="478"/>
    </row>
    <row r="194" spans="2:10" x14ac:dyDescent="0.2">
      <c r="B194" s="59">
        <f t="shared" si="30"/>
        <v>167</v>
      </c>
      <c r="C194" s="48"/>
      <c r="D194" s="38" t="s">
        <v>602</v>
      </c>
      <c r="E194" s="38"/>
      <c r="F194" s="164" t="s">
        <v>743</v>
      </c>
      <c r="G194" s="315"/>
      <c r="H194" s="478">
        <f>H195+H196</f>
        <v>539</v>
      </c>
      <c r="I194" s="478">
        <f t="shared" ref="I194" si="41">I195+I196</f>
        <v>97</v>
      </c>
      <c r="J194" s="478">
        <f t="shared" si="34"/>
        <v>636</v>
      </c>
    </row>
    <row r="195" spans="2:10" x14ac:dyDescent="0.2">
      <c r="B195" s="59">
        <f t="shared" si="30"/>
        <v>168</v>
      </c>
      <c r="C195" s="48"/>
      <c r="D195" s="38"/>
      <c r="E195" s="38"/>
      <c r="F195" s="44"/>
      <c r="G195" s="316" t="s">
        <v>463</v>
      </c>
      <c r="H195" s="478">
        <f>85+54</f>
        <v>139</v>
      </c>
      <c r="I195" s="478">
        <v>97</v>
      </c>
      <c r="J195" s="478">
        <f t="shared" si="34"/>
        <v>236</v>
      </c>
    </row>
    <row r="196" spans="2:10" x14ac:dyDescent="0.2">
      <c r="B196" s="59">
        <f t="shared" si="30"/>
        <v>169</v>
      </c>
      <c r="C196" s="48"/>
      <c r="D196" s="38"/>
      <c r="E196" s="38"/>
      <c r="F196" s="44"/>
      <c r="G196" s="315" t="s">
        <v>459</v>
      </c>
      <c r="H196" s="478">
        <f>200+200</f>
        <v>400</v>
      </c>
      <c r="I196" s="478"/>
      <c r="J196" s="478">
        <f t="shared" si="34"/>
        <v>400</v>
      </c>
    </row>
    <row r="197" spans="2:10" x14ac:dyDescent="0.2">
      <c r="B197" s="59">
        <f t="shared" si="30"/>
        <v>170</v>
      </c>
      <c r="C197" s="48"/>
      <c r="D197" s="38" t="s">
        <v>81</v>
      </c>
      <c r="E197" s="38"/>
      <c r="F197" s="164" t="s">
        <v>267</v>
      </c>
      <c r="G197" s="316"/>
      <c r="H197" s="478">
        <f>H198</f>
        <v>896</v>
      </c>
      <c r="I197" s="478">
        <f t="shared" ref="I197" si="42">I198</f>
        <v>0</v>
      </c>
      <c r="J197" s="478">
        <f t="shared" si="34"/>
        <v>896</v>
      </c>
    </row>
    <row r="198" spans="2:10" x14ac:dyDescent="0.2">
      <c r="B198" s="59">
        <f t="shared" si="30"/>
        <v>171</v>
      </c>
      <c r="C198" s="48"/>
      <c r="D198" s="38"/>
      <c r="E198" s="38"/>
      <c r="F198" s="44"/>
      <c r="G198" s="316" t="s">
        <v>460</v>
      </c>
      <c r="H198" s="478">
        <v>896</v>
      </c>
      <c r="I198" s="478"/>
      <c r="J198" s="478">
        <f t="shared" si="34"/>
        <v>896</v>
      </c>
    </row>
    <row r="199" spans="2:10" x14ac:dyDescent="0.2">
      <c r="B199" s="59">
        <f t="shared" si="30"/>
        <v>172</v>
      </c>
      <c r="C199" s="48"/>
      <c r="D199" s="38"/>
      <c r="E199" s="38"/>
      <c r="F199" s="44"/>
      <c r="G199" s="316"/>
      <c r="H199" s="478"/>
      <c r="I199" s="478"/>
      <c r="J199" s="478"/>
    </row>
    <row r="200" spans="2:10" x14ac:dyDescent="0.2">
      <c r="B200" s="59">
        <f t="shared" si="30"/>
        <v>173</v>
      </c>
      <c r="C200" s="48"/>
      <c r="D200" s="38"/>
      <c r="E200" s="38"/>
      <c r="F200" s="44" t="s">
        <v>663</v>
      </c>
      <c r="G200" s="315"/>
      <c r="H200" s="481">
        <v>24225</v>
      </c>
      <c r="I200" s="481"/>
      <c r="J200" s="481">
        <f t="shared" si="34"/>
        <v>24225</v>
      </c>
    </row>
    <row r="201" spans="2:10" x14ac:dyDescent="0.2">
      <c r="B201" s="59">
        <f t="shared" si="30"/>
        <v>174</v>
      </c>
      <c r="C201" s="48"/>
      <c r="D201" s="38"/>
      <c r="E201" s="38"/>
      <c r="F201" s="40"/>
      <c r="G201" s="315"/>
      <c r="H201" s="478"/>
      <c r="I201" s="478"/>
      <c r="J201" s="478"/>
    </row>
    <row r="202" spans="2:10" ht="12.75" customHeight="1" x14ac:dyDescent="0.2">
      <c r="B202" s="59">
        <f t="shared" si="30"/>
        <v>175</v>
      </c>
      <c r="C202" s="8"/>
      <c r="D202" s="14"/>
      <c r="E202" s="10"/>
      <c r="F202" s="118" t="s">
        <v>119</v>
      </c>
      <c r="G202" s="314"/>
      <c r="H202" s="477">
        <f>91000+194</f>
        <v>91194</v>
      </c>
      <c r="I202" s="477"/>
      <c r="J202" s="477">
        <f>H202+I202</f>
        <v>91194</v>
      </c>
    </row>
    <row r="203" spans="2:10" ht="12.75" customHeight="1" x14ac:dyDescent="0.2">
      <c r="B203" s="59">
        <f t="shared" si="30"/>
        <v>176</v>
      </c>
      <c r="C203" s="8"/>
      <c r="D203" s="14"/>
      <c r="E203" s="10"/>
      <c r="F203" s="118" t="s">
        <v>677</v>
      </c>
      <c r="G203" s="314"/>
      <c r="H203" s="477">
        <f>2364+4130</f>
        <v>6494</v>
      </c>
      <c r="I203" s="477">
        <v>480</v>
      </c>
      <c r="J203" s="477">
        <f t="shared" ref="J203:J204" si="43">H203+I203</f>
        <v>6974</v>
      </c>
    </row>
    <row r="204" spans="2:10" ht="12.75" customHeight="1" thickBot="1" x14ac:dyDescent="0.25">
      <c r="B204" s="582">
        <f t="shared" si="30"/>
        <v>177</v>
      </c>
      <c r="C204" s="303"/>
      <c r="D204" s="368"/>
      <c r="E204" s="369"/>
      <c r="F204" s="189" t="s">
        <v>678</v>
      </c>
      <c r="G204" s="313"/>
      <c r="H204" s="583">
        <v>20400</v>
      </c>
      <c r="I204" s="798"/>
      <c r="J204" s="798">
        <f t="shared" si="43"/>
        <v>20400</v>
      </c>
    </row>
    <row r="205" spans="2:10" ht="12" customHeight="1" x14ac:dyDescent="0.2">
      <c r="B205" s="584"/>
      <c r="C205" s="585"/>
      <c r="D205" s="586"/>
      <c r="E205" s="587"/>
      <c r="F205" s="588"/>
      <c r="G205" s="589"/>
      <c r="H205" s="590"/>
    </row>
    <row r="206" spans="2:10" ht="12" customHeight="1" x14ac:dyDescent="0.2">
      <c r="B206" s="591"/>
      <c r="C206" s="253"/>
      <c r="D206" s="592"/>
      <c r="E206" s="255"/>
      <c r="F206" s="593"/>
      <c r="G206" s="257"/>
      <c r="H206" s="252"/>
    </row>
    <row r="207" spans="2:10" ht="12" customHeight="1" x14ac:dyDescent="0.2">
      <c r="B207" s="591"/>
      <c r="C207" s="253"/>
      <c r="D207" s="592"/>
      <c r="E207" s="255"/>
      <c r="F207" s="593"/>
      <c r="G207" s="257"/>
      <c r="H207" s="252"/>
    </row>
    <row r="208" spans="2:10" ht="12" customHeight="1" x14ac:dyDescent="0.2">
      <c r="B208" s="591"/>
      <c r="C208" s="253"/>
      <c r="D208" s="592"/>
      <c r="E208" s="255"/>
      <c r="F208" s="593"/>
      <c r="G208" s="257"/>
      <c r="H208" s="252"/>
    </row>
    <row r="209" spans="2:8" ht="12" customHeight="1" x14ac:dyDescent="0.2">
      <c r="B209" s="591"/>
      <c r="C209" s="253"/>
      <c r="D209" s="592"/>
      <c r="E209" s="255"/>
      <c r="F209" s="593"/>
      <c r="G209" s="257"/>
      <c r="H209" s="252"/>
    </row>
    <row r="210" spans="2:8" ht="12" customHeight="1" x14ac:dyDescent="0.2">
      <c r="B210" s="591"/>
      <c r="C210" s="253"/>
      <c r="D210" s="592"/>
      <c r="E210" s="255"/>
      <c r="F210" s="593"/>
      <c r="G210" s="257"/>
      <c r="H210" s="252"/>
    </row>
    <row r="211" spans="2:8" ht="12" customHeight="1" x14ac:dyDescent="0.2">
      <c r="B211" s="591"/>
      <c r="C211" s="253"/>
      <c r="D211" s="592"/>
      <c r="E211" s="255"/>
      <c r="F211" s="593"/>
      <c r="G211" s="257"/>
      <c r="H211" s="252"/>
    </row>
    <row r="212" spans="2:8" ht="12" customHeight="1" x14ac:dyDescent="0.2">
      <c r="B212" s="591"/>
      <c r="C212" s="253"/>
      <c r="D212" s="592"/>
      <c r="E212" s="255"/>
      <c r="F212" s="593"/>
      <c r="G212" s="257"/>
      <c r="H212" s="252"/>
    </row>
    <row r="213" spans="2:8" ht="12" customHeight="1" x14ac:dyDescent="0.2">
      <c r="B213" s="591"/>
      <c r="C213" s="253"/>
      <c r="D213" s="592"/>
      <c r="E213" s="255"/>
      <c r="F213" s="593"/>
      <c r="G213" s="257"/>
      <c r="H213" s="252"/>
    </row>
    <row r="214" spans="2:8" ht="12" customHeight="1" x14ac:dyDescent="0.2">
      <c r="B214" s="591"/>
      <c r="C214" s="253"/>
      <c r="D214" s="592"/>
      <c r="E214" s="255"/>
      <c r="F214" s="593"/>
      <c r="G214" s="257"/>
      <c r="H214" s="252"/>
    </row>
    <row r="215" spans="2:8" ht="12" customHeight="1" x14ac:dyDescent="0.2">
      <c r="B215" s="591"/>
      <c r="C215" s="253"/>
      <c r="D215" s="592"/>
      <c r="E215" s="255"/>
      <c r="F215" s="593"/>
      <c r="G215" s="257"/>
      <c r="H215" s="252"/>
    </row>
    <row r="216" spans="2:8" ht="12" customHeight="1" x14ac:dyDescent="0.2">
      <c r="B216" s="591"/>
      <c r="C216" s="253"/>
      <c r="D216" s="592"/>
      <c r="E216" s="255"/>
      <c r="F216" s="593"/>
      <c r="G216" s="257"/>
      <c r="H216" s="252"/>
    </row>
    <row r="217" spans="2:8" ht="12" customHeight="1" x14ac:dyDescent="0.2">
      <c r="B217" s="591"/>
      <c r="C217" s="253"/>
      <c r="D217" s="592"/>
      <c r="E217" s="255"/>
      <c r="F217" s="593"/>
      <c r="G217" s="257"/>
      <c r="H217" s="252"/>
    </row>
    <row r="218" spans="2:8" ht="12" customHeight="1" x14ac:dyDescent="0.2">
      <c r="B218" s="591"/>
      <c r="C218" s="253"/>
      <c r="D218" s="592"/>
      <c r="E218" s="255"/>
      <c r="F218" s="593"/>
      <c r="G218" s="257"/>
      <c r="H218" s="252"/>
    </row>
    <row r="219" spans="2:8" ht="12" customHeight="1" x14ac:dyDescent="0.2">
      <c r="B219" s="591"/>
      <c r="C219" s="253"/>
      <c r="D219" s="592"/>
      <c r="E219" s="255"/>
      <c r="F219" s="593"/>
      <c r="G219" s="257"/>
      <c r="H219" s="252"/>
    </row>
    <row r="220" spans="2:8" ht="12" customHeight="1" x14ac:dyDescent="0.2">
      <c r="B220" s="591"/>
      <c r="C220" s="253"/>
      <c r="D220" s="592"/>
      <c r="E220" s="255"/>
      <c r="F220" s="593"/>
      <c r="G220" s="257"/>
      <c r="H220" s="252"/>
    </row>
    <row r="221" spans="2:8" ht="12" customHeight="1" x14ac:dyDescent="0.2">
      <c r="B221" s="591"/>
      <c r="C221" s="253"/>
      <c r="D221" s="592"/>
      <c r="E221" s="255"/>
      <c r="F221" s="593"/>
      <c r="G221" s="257"/>
      <c r="H221" s="252"/>
    </row>
    <row r="222" spans="2:8" ht="12" customHeight="1" x14ac:dyDescent="0.2">
      <c r="B222" s="591"/>
      <c r="C222" s="253"/>
      <c r="D222" s="592"/>
      <c r="E222" s="255"/>
      <c r="F222" s="593"/>
      <c r="G222" s="257"/>
      <c r="H222" s="252"/>
    </row>
    <row r="223" spans="2:8" ht="12" customHeight="1" x14ac:dyDescent="0.2">
      <c r="B223" s="591"/>
      <c r="C223" s="253"/>
      <c r="D223" s="592"/>
      <c r="E223" s="255"/>
      <c r="F223" s="593"/>
      <c r="G223" s="257"/>
      <c r="H223" s="252"/>
    </row>
    <row r="224" spans="2:8" ht="12" customHeight="1" x14ac:dyDescent="0.2">
      <c r="B224" s="591"/>
      <c r="C224" s="253"/>
      <c r="D224" s="592"/>
      <c r="E224" s="255"/>
      <c r="F224" s="593"/>
      <c r="G224" s="257"/>
      <c r="H224" s="252"/>
    </row>
    <row r="225" spans="2:10" ht="12" customHeight="1" thickBot="1" x14ac:dyDescent="0.25">
      <c r="B225" s="594"/>
      <c r="C225" s="595"/>
      <c r="D225" s="596"/>
      <c r="E225" s="597"/>
      <c r="F225" s="598"/>
      <c r="G225" s="503"/>
      <c r="H225" s="599"/>
    </row>
    <row r="226" spans="2:10" ht="12" customHeight="1" x14ac:dyDescent="0.2">
      <c r="B226" s="884" t="s">
        <v>9</v>
      </c>
      <c r="C226" s="885"/>
      <c r="D226" s="885"/>
      <c r="E226" s="885"/>
      <c r="F226" s="885"/>
      <c r="G226" s="885"/>
      <c r="H226" s="881" t="s">
        <v>721</v>
      </c>
      <c r="I226" s="881" t="s">
        <v>860</v>
      </c>
      <c r="J226" s="881" t="s">
        <v>721</v>
      </c>
    </row>
    <row r="227" spans="2:10" ht="12" customHeight="1" x14ac:dyDescent="0.2">
      <c r="B227" s="886"/>
      <c r="C227" s="887"/>
      <c r="D227" s="887"/>
      <c r="E227" s="887"/>
      <c r="F227" s="887"/>
      <c r="G227" s="887"/>
      <c r="H227" s="882"/>
      <c r="I227" s="882"/>
      <c r="J227" s="882"/>
    </row>
    <row r="228" spans="2:10" ht="12" customHeight="1" x14ac:dyDescent="0.2">
      <c r="B228" s="79"/>
      <c r="C228" s="888" t="s">
        <v>10</v>
      </c>
      <c r="D228" s="80" t="s">
        <v>11</v>
      </c>
      <c r="E228" s="80" t="s">
        <v>12</v>
      </c>
      <c r="F228" s="81"/>
      <c r="G228" s="81"/>
      <c r="H228" s="882"/>
      <c r="I228" s="882"/>
      <c r="J228" s="882"/>
    </row>
    <row r="229" spans="2:10" ht="12" customHeight="1" thickBot="1" x14ac:dyDescent="0.25">
      <c r="B229" s="83"/>
      <c r="C229" s="889"/>
      <c r="D229" s="85"/>
      <c r="E229" s="84" t="s">
        <v>13</v>
      </c>
      <c r="F229" s="86" t="s">
        <v>14</v>
      </c>
      <c r="G229" s="309"/>
      <c r="H229" s="883"/>
      <c r="I229" s="883"/>
      <c r="J229" s="883"/>
    </row>
    <row r="230" spans="2:10" ht="19.5" customHeight="1" thickTop="1" x14ac:dyDescent="0.2">
      <c r="B230" s="59">
        <f>B204+1</f>
        <v>178</v>
      </c>
      <c r="C230" s="106" t="s">
        <v>79</v>
      </c>
      <c r="D230" s="107"/>
      <c r="E230" s="108"/>
      <c r="F230" s="109" t="s">
        <v>80</v>
      </c>
      <c r="G230" s="317"/>
      <c r="H230" s="479">
        <f>H235+H232</f>
        <v>7181788</v>
      </c>
      <c r="I230" s="479">
        <f t="shared" ref="I230" si="44">I234+I232</f>
        <v>3080</v>
      </c>
      <c r="J230" s="479">
        <f>H230+I230</f>
        <v>7184868</v>
      </c>
    </row>
    <row r="231" spans="2:10" x14ac:dyDescent="0.2">
      <c r="B231" s="59">
        <f t="shared" si="30"/>
        <v>179</v>
      </c>
      <c r="C231" s="8"/>
      <c r="D231" s="9"/>
      <c r="E231" s="11"/>
      <c r="F231" s="69"/>
      <c r="G231" s="40"/>
      <c r="H231" s="480"/>
      <c r="I231" s="480"/>
      <c r="J231" s="480"/>
    </row>
    <row r="232" spans="2:10" x14ac:dyDescent="0.2">
      <c r="B232" s="59">
        <f t="shared" si="30"/>
        <v>180</v>
      </c>
      <c r="C232" s="8"/>
      <c r="D232" s="9" t="s">
        <v>602</v>
      </c>
      <c r="E232" s="11"/>
      <c r="F232" s="69" t="s">
        <v>664</v>
      </c>
      <c r="G232" s="40"/>
      <c r="H232" s="673">
        <f>H233+H234</f>
        <v>1100</v>
      </c>
      <c r="I232" s="673">
        <f t="shared" ref="I232" si="45">I233</f>
        <v>0</v>
      </c>
      <c r="J232" s="673">
        <f>H232+I232</f>
        <v>1100</v>
      </c>
    </row>
    <row r="233" spans="2:10" x14ac:dyDescent="0.2">
      <c r="B233" s="59">
        <f t="shared" si="30"/>
        <v>181</v>
      </c>
      <c r="C233" s="8"/>
      <c r="D233" s="9"/>
      <c r="E233" s="11"/>
      <c r="F233" s="534" t="s">
        <v>813</v>
      </c>
      <c r="G233" s="40"/>
      <c r="H233" s="480">
        <v>600</v>
      </c>
      <c r="I233" s="480"/>
      <c r="J233" s="480">
        <f>H233+I233</f>
        <v>600</v>
      </c>
    </row>
    <row r="234" spans="2:10" x14ac:dyDescent="0.2">
      <c r="B234" s="59">
        <f t="shared" si="30"/>
        <v>182</v>
      </c>
      <c r="C234" s="8"/>
      <c r="D234" s="9"/>
      <c r="E234" s="11"/>
      <c r="F234" s="534" t="s">
        <v>858</v>
      </c>
      <c r="G234" s="40"/>
      <c r="H234" s="480">
        <v>500</v>
      </c>
      <c r="I234" s="481">
        <f t="shared" ref="I234:J234" si="46">I235</f>
        <v>3080</v>
      </c>
      <c r="J234" s="481">
        <f t="shared" si="46"/>
        <v>7183768</v>
      </c>
    </row>
    <row r="235" spans="2:10" ht="12.75" customHeight="1" x14ac:dyDescent="0.2">
      <c r="B235" s="59">
        <f t="shared" si="30"/>
        <v>183</v>
      </c>
      <c r="C235" s="8"/>
      <c r="D235" s="9" t="s">
        <v>81</v>
      </c>
      <c r="E235" s="11"/>
      <c r="F235" s="69" t="s">
        <v>82</v>
      </c>
      <c r="G235" s="40"/>
      <c r="H235" s="481">
        <f>H236</f>
        <v>7180688</v>
      </c>
      <c r="I235" s="480">
        <f>SUM(I236:I249)</f>
        <v>3080</v>
      </c>
      <c r="J235" s="480">
        <f>H235+I235</f>
        <v>7183768</v>
      </c>
    </row>
    <row r="236" spans="2:10" x14ac:dyDescent="0.2">
      <c r="B236" s="59">
        <f t="shared" si="30"/>
        <v>184</v>
      </c>
      <c r="C236" s="8"/>
      <c r="D236" s="11"/>
      <c r="E236" s="7"/>
      <c r="F236" s="32" t="s">
        <v>83</v>
      </c>
      <c r="G236" s="40"/>
      <c r="H236" s="480">
        <f>SUM(H237:H250)</f>
        <v>7180688</v>
      </c>
      <c r="I236" s="539">
        <f>SUM(I237:I251)</f>
        <v>3080</v>
      </c>
      <c r="J236" s="480">
        <f t="shared" ref="J236:J249" si="47">H236+I236</f>
        <v>7183768</v>
      </c>
    </row>
    <row r="237" spans="2:10" x14ac:dyDescent="0.2">
      <c r="B237" s="59">
        <f t="shared" si="30"/>
        <v>185</v>
      </c>
      <c r="C237" s="55"/>
      <c r="D237" s="12"/>
      <c r="E237" s="500"/>
      <c r="F237" s="75" t="s">
        <v>84</v>
      </c>
      <c r="G237" s="318"/>
      <c r="H237" s="539">
        <f>5919630+85036</f>
        <v>6004666</v>
      </c>
      <c r="I237" s="478"/>
      <c r="J237" s="480">
        <f t="shared" si="47"/>
        <v>6004666</v>
      </c>
    </row>
    <row r="238" spans="2:10" ht="12.75" customHeight="1" x14ac:dyDescent="0.2">
      <c r="B238" s="59">
        <f t="shared" si="30"/>
        <v>186</v>
      </c>
      <c r="C238" s="8"/>
      <c r="D238" s="11"/>
      <c r="E238" s="11"/>
      <c r="F238" s="36" t="s">
        <v>155</v>
      </c>
      <c r="G238" s="40"/>
      <c r="H238" s="478">
        <v>81540</v>
      </c>
      <c r="I238" s="540"/>
      <c r="J238" s="480">
        <f t="shared" si="47"/>
        <v>81540</v>
      </c>
    </row>
    <row r="239" spans="2:10" ht="12.75" customHeight="1" x14ac:dyDescent="0.2">
      <c r="B239" s="59">
        <f t="shared" si="30"/>
        <v>187</v>
      </c>
      <c r="C239" s="8"/>
      <c r="D239" s="11"/>
      <c r="E239" s="11"/>
      <c r="F239" s="44" t="s">
        <v>85</v>
      </c>
      <c r="G239" s="40"/>
      <c r="H239" s="540">
        <v>833090</v>
      </c>
      <c r="I239" s="478"/>
      <c r="J239" s="480">
        <f t="shared" si="47"/>
        <v>833090</v>
      </c>
    </row>
    <row r="240" spans="2:10" x14ac:dyDescent="0.2">
      <c r="B240" s="59">
        <f t="shared" si="30"/>
        <v>188</v>
      </c>
      <c r="C240" s="8"/>
      <c r="D240" s="14"/>
      <c r="E240" s="10"/>
      <c r="F240" s="44" t="s">
        <v>86</v>
      </c>
      <c r="G240" s="40"/>
      <c r="H240" s="478">
        <f>71500+13500+2265</f>
        <v>87265</v>
      </c>
      <c r="I240" s="478"/>
      <c r="J240" s="480">
        <f t="shared" si="47"/>
        <v>87265</v>
      </c>
    </row>
    <row r="241" spans="2:10" x14ac:dyDescent="0.2">
      <c r="B241" s="59">
        <f t="shared" si="30"/>
        <v>189</v>
      </c>
      <c r="C241" s="8"/>
      <c r="D241" s="14"/>
      <c r="E241" s="10"/>
      <c r="F241" s="44" t="s">
        <v>75</v>
      </c>
      <c r="G241" s="40"/>
      <c r="H241" s="478">
        <v>52000</v>
      </c>
      <c r="I241" s="478"/>
      <c r="J241" s="480">
        <f t="shared" si="47"/>
        <v>52000</v>
      </c>
    </row>
    <row r="242" spans="2:10" x14ac:dyDescent="0.2">
      <c r="B242" s="59">
        <f t="shared" si="30"/>
        <v>190</v>
      </c>
      <c r="C242" s="8"/>
      <c r="D242" s="14"/>
      <c r="E242" s="10"/>
      <c r="F242" s="44" t="s">
        <v>87</v>
      </c>
      <c r="G242" s="40"/>
      <c r="H242" s="478">
        <v>38040</v>
      </c>
      <c r="I242" s="478"/>
      <c r="J242" s="480">
        <f t="shared" si="47"/>
        <v>38040</v>
      </c>
    </row>
    <row r="243" spans="2:10" x14ac:dyDescent="0.2">
      <c r="B243" s="59">
        <f t="shared" si="30"/>
        <v>191</v>
      </c>
      <c r="C243" s="8"/>
      <c r="D243" s="14"/>
      <c r="E243" s="10"/>
      <c r="F243" s="44" t="s">
        <v>1</v>
      </c>
      <c r="G243" s="40"/>
      <c r="H243" s="478">
        <v>18500</v>
      </c>
      <c r="I243" s="478"/>
      <c r="J243" s="480">
        <f t="shared" si="47"/>
        <v>18500</v>
      </c>
    </row>
    <row r="244" spans="2:10" ht="14.25" customHeight="1" x14ac:dyDescent="0.2">
      <c r="B244" s="59">
        <f t="shared" si="30"/>
        <v>192</v>
      </c>
      <c r="C244" s="8"/>
      <c r="D244" s="14"/>
      <c r="E244" s="10"/>
      <c r="F244" s="44" t="s">
        <v>88</v>
      </c>
      <c r="G244" s="40"/>
      <c r="H244" s="478">
        <v>24500</v>
      </c>
      <c r="I244" s="565"/>
      <c r="J244" s="480">
        <f t="shared" si="47"/>
        <v>24500</v>
      </c>
    </row>
    <row r="245" spans="2:10" x14ac:dyDescent="0.2">
      <c r="B245" s="59">
        <f t="shared" si="30"/>
        <v>193</v>
      </c>
      <c r="C245" s="467"/>
      <c r="D245" s="468"/>
      <c r="E245" s="469"/>
      <c r="F245" s="470" t="s">
        <v>651</v>
      </c>
      <c r="G245" s="471"/>
      <c r="H245" s="565">
        <f>4000+6000</f>
        <v>10000</v>
      </c>
      <c r="I245" s="565"/>
      <c r="J245" s="480">
        <f t="shared" si="47"/>
        <v>10000</v>
      </c>
    </row>
    <row r="246" spans="2:10" x14ac:dyDescent="0.2">
      <c r="B246" s="59">
        <f t="shared" si="30"/>
        <v>194</v>
      </c>
      <c r="C246" s="467"/>
      <c r="D246" s="468"/>
      <c r="E246" s="469"/>
      <c r="F246" s="470" t="s">
        <v>641</v>
      </c>
      <c r="G246" s="471"/>
      <c r="H246" s="565">
        <v>6694</v>
      </c>
      <c r="I246" s="539"/>
      <c r="J246" s="480">
        <f t="shared" si="47"/>
        <v>6694</v>
      </c>
    </row>
    <row r="247" spans="2:10" x14ac:dyDescent="0.2">
      <c r="B247" s="59">
        <f t="shared" ref="B247:B252" si="48">B246+1</f>
        <v>195</v>
      </c>
      <c r="C247" s="467"/>
      <c r="D247" s="468"/>
      <c r="E247" s="469"/>
      <c r="F247" s="773" t="s">
        <v>759</v>
      </c>
      <c r="G247" s="318"/>
      <c r="H247" s="539">
        <v>14893</v>
      </c>
      <c r="I247" s="647"/>
      <c r="J247" s="480">
        <f t="shared" si="47"/>
        <v>14893</v>
      </c>
    </row>
    <row r="248" spans="2:10" x14ac:dyDescent="0.2">
      <c r="B248" s="59">
        <f t="shared" si="48"/>
        <v>196</v>
      </c>
      <c r="C248" s="467"/>
      <c r="D248" s="468"/>
      <c r="E248" s="469"/>
      <c r="F248" s="31" t="s">
        <v>832</v>
      </c>
      <c r="G248" s="672"/>
      <c r="H248" s="647">
        <v>7000</v>
      </c>
      <c r="I248" s="565"/>
      <c r="J248" s="480">
        <f t="shared" si="47"/>
        <v>7000</v>
      </c>
    </row>
    <row r="249" spans="2:10" x14ac:dyDescent="0.2">
      <c r="B249" s="59">
        <f t="shared" si="48"/>
        <v>197</v>
      </c>
      <c r="C249" s="467"/>
      <c r="D249" s="468"/>
      <c r="E249" s="469"/>
      <c r="F249" s="470" t="s">
        <v>833</v>
      </c>
      <c r="G249" s="471"/>
      <c r="H249" s="565">
        <v>500</v>
      </c>
      <c r="I249" s="565"/>
      <c r="J249" s="480">
        <f t="shared" si="47"/>
        <v>500</v>
      </c>
    </row>
    <row r="250" spans="2:10" x14ac:dyDescent="0.2">
      <c r="B250" s="59">
        <f t="shared" si="48"/>
        <v>198</v>
      </c>
      <c r="C250" s="467"/>
      <c r="D250" s="468"/>
      <c r="E250" s="469"/>
      <c r="F250" s="470" t="s">
        <v>831</v>
      </c>
      <c r="G250" s="471"/>
      <c r="H250" s="565">
        <v>2000</v>
      </c>
      <c r="I250" s="565"/>
      <c r="J250" s="826">
        <f t="shared" ref="J250:J251" si="49">H250+I250</f>
        <v>2000</v>
      </c>
    </row>
    <row r="251" spans="2:10" ht="13.5" thickBot="1" x14ac:dyDescent="0.25">
      <c r="B251" s="59">
        <f t="shared" si="48"/>
        <v>199</v>
      </c>
      <c r="C251" s="114"/>
      <c r="D251" s="847"/>
      <c r="E251" s="115"/>
      <c r="F251" s="116" t="s">
        <v>867</v>
      </c>
      <c r="G251" s="319"/>
      <c r="H251" s="566">
        <v>0</v>
      </c>
      <c r="I251" s="566">
        <v>3080</v>
      </c>
      <c r="J251" s="848">
        <f t="shared" si="49"/>
        <v>3080</v>
      </c>
    </row>
    <row r="252" spans="2:10" ht="31.5" customHeight="1" thickTop="1" thickBot="1" x14ac:dyDescent="0.35">
      <c r="B252" s="59">
        <f t="shared" si="48"/>
        <v>200</v>
      </c>
      <c r="C252" s="827"/>
      <c r="D252" s="828"/>
      <c r="E252" s="829"/>
      <c r="F252" s="830" t="s">
        <v>89</v>
      </c>
      <c r="G252" s="831"/>
      <c r="H252" s="832">
        <f>H230+H24+H7</f>
        <v>32704672</v>
      </c>
      <c r="I252" s="832">
        <f>I230+I24+I7</f>
        <v>3657</v>
      </c>
      <c r="J252" s="832">
        <f>I252+H252</f>
        <v>32708329</v>
      </c>
    </row>
    <row r="253" spans="2:10" ht="15.75" customHeight="1" x14ac:dyDescent="0.2">
      <c r="H253" s="17"/>
    </row>
    <row r="254" spans="2:10" ht="15.75" customHeight="1" thickBot="1" x14ac:dyDescent="0.25"/>
    <row r="255" spans="2:10" ht="13.5" customHeight="1" x14ac:dyDescent="0.2">
      <c r="B255" s="884" t="s">
        <v>179</v>
      </c>
      <c r="C255" s="890"/>
      <c r="D255" s="890"/>
      <c r="E255" s="890"/>
      <c r="F255" s="890"/>
      <c r="G255" s="890"/>
      <c r="H255" s="881" t="s">
        <v>721</v>
      </c>
      <c r="I255" s="881" t="s">
        <v>860</v>
      </c>
      <c r="J255" s="881" t="s">
        <v>721</v>
      </c>
    </row>
    <row r="256" spans="2:10" ht="15" customHeight="1" x14ac:dyDescent="0.2">
      <c r="B256" s="891"/>
      <c r="C256" s="892"/>
      <c r="D256" s="892"/>
      <c r="E256" s="892"/>
      <c r="F256" s="892"/>
      <c r="G256" s="892"/>
      <c r="H256" s="882"/>
      <c r="I256" s="882"/>
      <c r="J256" s="882"/>
    </row>
    <row r="257" spans="2:10" ht="12.75" customHeight="1" x14ac:dyDescent="0.2">
      <c r="B257" s="79"/>
      <c r="C257" s="893" t="s">
        <v>10</v>
      </c>
      <c r="D257" s="80" t="s">
        <v>11</v>
      </c>
      <c r="E257" s="80" t="s">
        <v>12</v>
      </c>
      <c r="F257" s="82"/>
      <c r="G257" s="81"/>
      <c r="H257" s="882"/>
      <c r="I257" s="882"/>
      <c r="J257" s="882"/>
    </row>
    <row r="258" spans="2:10" ht="18.75" customHeight="1" thickBot="1" x14ac:dyDescent="0.25">
      <c r="B258" s="83"/>
      <c r="C258" s="889"/>
      <c r="D258" s="85"/>
      <c r="E258" s="84" t="s">
        <v>13</v>
      </c>
      <c r="F258" s="87" t="s">
        <v>14</v>
      </c>
      <c r="G258" s="309"/>
      <c r="H258" s="883"/>
      <c r="I258" s="883"/>
      <c r="J258" s="883"/>
    </row>
    <row r="259" spans="2:10" ht="16.5" thickTop="1" x14ac:dyDescent="0.2">
      <c r="B259" s="89">
        <v>1</v>
      </c>
      <c r="C259" s="90" t="s">
        <v>37</v>
      </c>
      <c r="D259" s="91"/>
      <c r="E259" s="299"/>
      <c r="F259" s="300" t="s">
        <v>38</v>
      </c>
      <c r="G259" s="312"/>
      <c r="H259" s="553">
        <f>H261</f>
        <v>786000</v>
      </c>
      <c r="I259" s="553">
        <f t="shared" ref="I259" si="50">I261</f>
        <v>0</v>
      </c>
      <c r="J259" s="553">
        <f>H259+I259</f>
        <v>786000</v>
      </c>
    </row>
    <row r="260" spans="2:10" ht="15" x14ac:dyDescent="0.25">
      <c r="B260" s="92">
        <f t="shared" ref="B260:B272" si="51">B259+1</f>
        <v>2</v>
      </c>
      <c r="C260" s="14"/>
      <c r="D260" s="8"/>
      <c r="E260" s="72"/>
      <c r="F260" s="39"/>
      <c r="G260" s="39"/>
      <c r="H260" s="567"/>
      <c r="I260" s="567"/>
      <c r="J260" s="567"/>
    </row>
    <row r="261" spans="2:10" x14ac:dyDescent="0.2">
      <c r="B261" s="92">
        <f t="shared" si="51"/>
        <v>3</v>
      </c>
      <c r="C261" s="55" t="s">
        <v>180</v>
      </c>
      <c r="D261" s="55"/>
      <c r="E261" s="72"/>
      <c r="F261" s="93" t="s">
        <v>181</v>
      </c>
      <c r="G261" s="44"/>
      <c r="H261" s="568">
        <f>H262+H265</f>
        <v>786000</v>
      </c>
      <c r="I261" s="568">
        <f t="shared" ref="I261" si="52">I262+I265</f>
        <v>0</v>
      </c>
      <c r="J261" s="568">
        <f>J262+J265</f>
        <v>786000</v>
      </c>
    </row>
    <row r="262" spans="2:10" ht="13.5" customHeight="1" x14ac:dyDescent="0.2">
      <c r="B262" s="92">
        <f t="shared" si="51"/>
        <v>4</v>
      </c>
      <c r="C262" s="8"/>
      <c r="D262" s="46" t="s">
        <v>182</v>
      </c>
      <c r="E262" s="9" t="s">
        <v>26</v>
      </c>
      <c r="F262" s="298" t="s">
        <v>183</v>
      </c>
      <c r="G262" s="51"/>
      <c r="H262" s="529">
        <f>SUM(H263:H264)</f>
        <v>779200</v>
      </c>
      <c r="I262" s="529">
        <f t="shared" ref="I262" si="53">SUM(I263:I264)</f>
        <v>0</v>
      </c>
      <c r="J262" s="529">
        <f>H262+I262</f>
        <v>779200</v>
      </c>
    </row>
    <row r="263" spans="2:10" x14ac:dyDescent="0.2">
      <c r="B263" s="92">
        <f t="shared" si="51"/>
        <v>5</v>
      </c>
      <c r="C263" s="9"/>
      <c r="D263" s="12"/>
      <c r="E263" s="46"/>
      <c r="F263" s="18" t="s">
        <v>184</v>
      </c>
      <c r="G263" s="44"/>
      <c r="H263" s="569">
        <f>350000+167000</f>
        <v>517000</v>
      </c>
      <c r="I263" s="569"/>
      <c r="J263" s="529">
        <f t="shared" ref="J263:J272" si="54">H263+I263</f>
        <v>517000</v>
      </c>
    </row>
    <row r="264" spans="2:10" x14ac:dyDescent="0.2">
      <c r="B264" s="92">
        <f t="shared" si="51"/>
        <v>6</v>
      </c>
      <c r="C264" s="9"/>
      <c r="D264" s="11"/>
      <c r="E264" s="46"/>
      <c r="F264" s="18" t="s">
        <v>760</v>
      </c>
      <c r="G264" s="44"/>
      <c r="H264" s="569">
        <f>245945+16255</f>
        <v>262200</v>
      </c>
      <c r="I264" s="569"/>
      <c r="J264" s="529">
        <f t="shared" si="54"/>
        <v>262200</v>
      </c>
    </row>
    <row r="265" spans="2:10" x14ac:dyDescent="0.2">
      <c r="B265" s="92">
        <f t="shared" si="51"/>
        <v>7</v>
      </c>
      <c r="C265" s="9"/>
      <c r="D265" s="11" t="s">
        <v>761</v>
      </c>
      <c r="E265" s="46"/>
      <c r="F265" s="18" t="s">
        <v>762</v>
      </c>
      <c r="G265" s="44"/>
      <c r="H265" s="569">
        <f>H266+H267</f>
        <v>6800</v>
      </c>
      <c r="I265" s="569">
        <f t="shared" ref="I265" si="55">I266+I267</f>
        <v>0</v>
      </c>
      <c r="J265" s="529">
        <f t="shared" si="54"/>
        <v>6800</v>
      </c>
    </row>
    <row r="266" spans="2:10" x14ac:dyDescent="0.2">
      <c r="B266" s="92">
        <f t="shared" si="51"/>
        <v>8</v>
      </c>
      <c r="C266" s="9"/>
      <c r="D266" s="11"/>
      <c r="E266" s="46"/>
      <c r="F266" s="18" t="s">
        <v>763</v>
      </c>
      <c r="G266" s="44"/>
      <c r="H266" s="569">
        <v>1500</v>
      </c>
      <c r="I266" s="569"/>
      <c r="J266" s="529">
        <f t="shared" si="54"/>
        <v>1500</v>
      </c>
    </row>
    <row r="267" spans="2:10" x14ac:dyDescent="0.2">
      <c r="B267" s="92">
        <f t="shared" si="51"/>
        <v>9</v>
      </c>
      <c r="C267" s="9"/>
      <c r="D267" s="11"/>
      <c r="E267" s="46"/>
      <c r="F267" s="18" t="s">
        <v>764</v>
      </c>
      <c r="G267" s="44"/>
      <c r="H267" s="569">
        <v>5300</v>
      </c>
      <c r="I267" s="569"/>
      <c r="J267" s="529">
        <f t="shared" si="54"/>
        <v>5300</v>
      </c>
    </row>
    <row r="268" spans="2:10" ht="15.75" customHeight="1" x14ac:dyDescent="0.25">
      <c r="B268" s="92">
        <f t="shared" si="51"/>
        <v>10</v>
      </c>
      <c r="C268" s="94"/>
      <c r="D268" s="7"/>
      <c r="E268" s="26"/>
      <c r="F268" s="18"/>
      <c r="G268" s="44"/>
      <c r="H268" s="570"/>
      <c r="I268" s="570"/>
      <c r="J268" s="570"/>
    </row>
    <row r="269" spans="2:10" ht="15.75" customHeight="1" thickBot="1" x14ac:dyDescent="0.25">
      <c r="B269" s="92">
        <f t="shared" si="51"/>
        <v>11</v>
      </c>
      <c r="C269" s="778" t="s">
        <v>79</v>
      </c>
      <c r="D269" s="779"/>
      <c r="E269" s="780"/>
      <c r="F269" s="783" t="s">
        <v>80</v>
      </c>
      <c r="G269" s="781"/>
      <c r="H269" s="560">
        <f>H270</f>
        <v>15000</v>
      </c>
      <c r="I269" s="560">
        <f>I270</f>
        <v>0</v>
      </c>
      <c r="J269" s="616">
        <f t="shared" si="54"/>
        <v>15000</v>
      </c>
    </row>
    <row r="270" spans="2:10" ht="15.75" customHeight="1" x14ac:dyDescent="0.2">
      <c r="B270" s="92">
        <f t="shared" si="51"/>
        <v>12</v>
      </c>
      <c r="C270" s="94"/>
      <c r="D270" s="7" t="s">
        <v>846</v>
      </c>
      <c r="E270" s="26"/>
      <c r="F270" s="18" t="s">
        <v>847</v>
      </c>
      <c r="G270" s="44"/>
      <c r="H270" s="782">
        <v>15000</v>
      </c>
      <c r="I270" s="782"/>
      <c r="J270" s="529">
        <f t="shared" si="54"/>
        <v>15000</v>
      </c>
    </row>
    <row r="271" spans="2:10" ht="15.75" customHeight="1" x14ac:dyDescent="0.25">
      <c r="B271" s="92">
        <f t="shared" si="51"/>
        <v>13</v>
      </c>
      <c r="C271" s="94"/>
      <c r="D271" s="7"/>
      <c r="E271" s="26"/>
      <c r="F271" s="18"/>
      <c r="G271" s="44"/>
      <c r="H271" s="570"/>
      <c r="I271" s="569"/>
      <c r="J271" s="529"/>
    </row>
    <row r="272" spans="2:10" ht="25.5" customHeight="1" thickBot="1" x14ac:dyDescent="0.35">
      <c r="B272" s="92">
        <f t="shared" si="51"/>
        <v>14</v>
      </c>
      <c r="C272" s="296"/>
      <c r="D272" s="297"/>
      <c r="E272" s="301"/>
      <c r="F272" s="617" t="s">
        <v>185</v>
      </c>
      <c r="G272" s="302"/>
      <c r="H272" s="616">
        <f>H259+H269</f>
        <v>801000</v>
      </c>
      <c r="I272" s="616">
        <f>I269+I259</f>
        <v>0</v>
      </c>
      <c r="J272" s="616">
        <f t="shared" si="54"/>
        <v>801000</v>
      </c>
    </row>
    <row r="273" spans="2:10" ht="13.5" customHeight="1" x14ac:dyDescent="0.2">
      <c r="B273" s="248"/>
      <c r="C273" s="254"/>
      <c r="D273" s="254"/>
      <c r="E273" s="254"/>
      <c r="F273" s="258"/>
      <c r="G273" s="258"/>
      <c r="H273" s="133"/>
    </row>
    <row r="274" spans="2:10" ht="13.5" customHeight="1" x14ac:dyDescent="0.2">
      <c r="B274" s="248"/>
      <c r="C274" s="254"/>
      <c r="D274" s="254"/>
      <c r="E274" s="254"/>
      <c r="F274" s="258"/>
      <c r="G274" s="258"/>
      <c r="H274" s="133"/>
    </row>
    <row r="275" spans="2:10" ht="13.5" customHeight="1" x14ac:dyDescent="0.2">
      <c r="B275" s="248"/>
      <c r="C275" s="254"/>
      <c r="D275" s="254"/>
      <c r="E275" s="254"/>
      <c r="F275" s="258"/>
      <c r="G275" s="258"/>
      <c r="H275" s="133"/>
    </row>
    <row r="276" spans="2:10" ht="13.5" thickBot="1" x14ac:dyDescent="0.25">
      <c r="B276" s="248"/>
      <c r="C276" s="254"/>
      <c r="D276" s="254"/>
      <c r="E276" s="254"/>
      <c r="F276" s="258"/>
      <c r="G276" s="259"/>
      <c r="H276" s="133"/>
    </row>
    <row r="277" spans="2:10" ht="12.75" customHeight="1" x14ac:dyDescent="0.2">
      <c r="B277" s="884" t="s">
        <v>191</v>
      </c>
      <c r="C277" s="890"/>
      <c r="D277" s="890"/>
      <c r="E277" s="890"/>
      <c r="F277" s="890"/>
      <c r="G277" s="890"/>
      <c r="H277" s="881" t="s">
        <v>721</v>
      </c>
      <c r="I277" s="881" t="s">
        <v>860</v>
      </c>
      <c r="J277" s="881" t="s">
        <v>721</v>
      </c>
    </row>
    <row r="278" spans="2:10" ht="12.75" customHeight="1" x14ac:dyDescent="0.2">
      <c r="B278" s="891"/>
      <c r="C278" s="892"/>
      <c r="D278" s="892"/>
      <c r="E278" s="892"/>
      <c r="F278" s="892"/>
      <c r="G278" s="892"/>
      <c r="H278" s="882"/>
      <c r="I278" s="882"/>
      <c r="J278" s="882"/>
    </row>
    <row r="279" spans="2:10" ht="17.25" customHeight="1" x14ac:dyDescent="0.2">
      <c r="B279" s="79"/>
      <c r="C279" s="80" t="s">
        <v>10</v>
      </c>
      <c r="D279" s="80" t="s">
        <v>11</v>
      </c>
      <c r="E279" s="80" t="s">
        <v>12</v>
      </c>
      <c r="F279" s="82"/>
      <c r="G279" s="81"/>
      <c r="H279" s="882"/>
      <c r="I279" s="882"/>
      <c r="J279" s="882"/>
    </row>
    <row r="280" spans="2:10" ht="20.25" customHeight="1" thickBot="1" x14ac:dyDescent="0.25">
      <c r="B280" s="83"/>
      <c r="C280" s="84"/>
      <c r="D280" s="85"/>
      <c r="E280" s="84" t="s">
        <v>13</v>
      </c>
      <c r="F280" s="87"/>
      <c r="G280" s="309"/>
      <c r="H280" s="883"/>
      <c r="I280" s="883"/>
      <c r="J280" s="883"/>
    </row>
    <row r="281" spans="2:10" ht="16.5" thickTop="1" x14ac:dyDescent="0.25">
      <c r="B281" s="92">
        <v>1</v>
      </c>
      <c r="C281" s="95"/>
      <c r="D281" s="95"/>
      <c r="E281" s="96"/>
      <c r="F281" s="97" t="s">
        <v>89</v>
      </c>
      <c r="G281" s="310"/>
      <c r="H281" s="571">
        <f>H252</f>
        <v>32704672</v>
      </c>
      <c r="I281" s="571">
        <f>I252</f>
        <v>3657</v>
      </c>
      <c r="J281" s="571">
        <f>H281+I281</f>
        <v>32708329</v>
      </c>
    </row>
    <row r="282" spans="2:10" ht="16.5" thickBot="1" x14ac:dyDescent="0.3">
      <c r="B282" s="98">
        <f>B281+1</f>
        <v>2</v>
      </c>
      <c r="C282" s="99"/>
      <c r="D282" s="99"/>
      <c r="E282" s="100"/>
      <c r="F282" s="101" t="s">
        <v>185</v>
      </c>
      <c r="G282" s="311"/>
      <c r="H282" s="572">
        <f>H272</f>
        <v>801000</v>
      </c>
      <c r="I282" s="572">
        <f>I272</f>
        <v>0</v>
      </c>
      <c r="J282" s="572">
        <f>H282+I282</f>
        <v>801000</v>
      </c>
    </row>
    <row r="283" spans="2:10" ht="17.25" thickTop="1" thickBot="1" x14ac:dyDescent="0.3">
      <c r="B283" s="102">
        <f>B282+1</f>
        <v>3</v>
      </c>
      <c r="C283" s="291"/>
      <c r="D283" s="292"/>
      <c r="E283" s="293"/>
      <c r="F283" s="294" t="s">
        <v>186</v>
      </c>
      <c r="G283" s="295"/>
      <c r="H283" s="573">
        <f>H281+H282</f>
        <v>33505672</v>
      </c>
      <c r="I283" s="573">
        <f t="shared" ref="I283:J283" si="56">I281+I282</f>
        <v>3657</v>
      </c>
      <c r="J283" s="573">
        <f t="shared" si="56"/>
        <v>33509329</v>
      </c>
    </row>
    <row r="284" spans="2:10" x14ac:dyDescent="0.2">
      <c r="F284" s="6"/>
      <c r="G284" s="6"/>
    </row>
    <row r="286" spans="2:10" x14ac:dyDescent="0.2">
      <c r="H286" s="17"/>
    </row>
  </sheetData>
  <sheetProtection selectLockedCells="1" selectUnlockedCells="1"/>
  <mergeCells count="30">
    <mergeCell ref="B2:J2"/>
    <mergeCell ref="I3:I6"/>
    <mergeCell ref="J3:J6"/>
    <mergeCell ref="I68:I71"/>
    <mergeCell ref="J68:J71"/>
    <mergeCell ref="H3:H6"/>
    <mergeCell ref="H68:H71"/>
    <mergeCell ref="C5:C6"/>
    <mergeCell ref="B3:G4"/>
    <mergeCell ref="B68:G69"/>
    <mergeCell ref="B145:G146"/>
    <mergeCell ref="C70:C71"/>
    <mergeCell ref="H277:H280"/>
    <mergeCell ref="B277:G278"/>
    <mergeCell ref="C147:C148"/>
    <mergeCell ref="B226:G227"/>
    <mergeCell ref="C257:C258"/>
    <mergeCell ref="B255:G256"/>
    <mergeCell ref="H255:H258"/>
    <mergeCell ref="H145:H148"/>
    <mergeCell ref="C228:C229"/>
    <mergeCell ref="H226:H229"/>
    <mergeCell ref="I277:I280"/>
    <mergeCell ref="J277:J280"/>
    <mergeCell ref="J145:J148"/>
    <mergeCell ref="I226:I229"/>
    <mergeCell ref="J226:J229"/>
    <mergeCell ref="I255:I258"/>
    <mergeCell ref="J255:J258"/>
    <mergeCell ref="I145:I148"/>
  </mergeCells>
  <phoneticPr fontId="1" type="noConversion"/>
  <pageMargins left="0.24" right="0.23" top="0.15748031496062992" bottom="0.15748031496062992" header="0.15748031496062992" footer="0.1574803149606299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488"/>
  <sheetViews>
    <sheetView workbookViewId="0"/>
  </sheetViews>
  <sheetFormatPr defaultRowHeight="12.75" x14ac:dyDescent="0.2"/>
  <cols>
    <col min="1" max="1" width="2.85546875" style="240" customWidth="1"/>
    <col min="2" max="2" width="3.28515625" style="5" customWidth="1"/>
    <col min="3" max="3" width="3.42578125" style="4" customWidth="1"/>
    <col min="4" max="4" width="2.7109375" customWidth="1"/>
    <col min="5" max="5" width="7.5703125" customWidth="1"/>
    <col min="6" max="6" width="3.42578125" customWidth="1"/>
    <col min="7" max="7" width="41.7109375" customWidth="1"/>
    <col min="8" max="8" width="13" style="78" customWidth="1"/>
    <col min="9" max="9" width="11.5703125" style="78" customWidth="1"/>
    <col min="10" max="10" width="13.28515625" style="78" customWidth="1"/>
    <col min="11" max="11" width="0.7109375" style="78" customWidth="1"/>
    <col min="12" max="12" width="12" style="78" customWidth="1"/>
    <col min="13" max="13" width="10.28515625" style="78" customWidth="1"/>
    <col min="14" max="14" width="11.5703125" style="78" customWidth="1"/>
    <col min="15" max="15" width="1.42578125" style="78" customWidth="1"/>
    <col min="16" max="16" width="12.85546875" style="78" customWidth="1"/>
    <col min="17" max="17" width="11.85546875" style="78" customWidth="1"/>
    <col min="18" max="18" width="12.42578125" style="78" customWidth="1"/>
  </cols>
  <sheetData>
    <row r="1" spans="1:18" ht="42.75" customHeight="1" thickBot="1" x14ac:dyDescent="0.25">
      <c r="A1" s="17"/>
      <c r="B1" s="913" t="s">
        <v>720</v>
      </c>
      <c r="C1" s="913"/>
      <c r="D1" s="913"/>
      <c r="E1" s="913"/>
      <c r="F1" s="913"/>
      <c r="G1" s="913"/>
      <c r="H1" s="913"/>
      <c r="I1" s="913"/>
      <c r="J1" s="913"/>
      <c r="K1" s="913"/>
      <c r="L1" s="913"/>
      <c r="M1" s="913"/>
      <c r="N1" s="913"/>
      <c r="O1" s="913"/>
      <c r="P1" s="913"/>
      <c r="Q1" s="788"/>
      <c r="R1" s="788"/>
    </row>
    <row r="2" spans="1:18" ht="15" customHeight="1" thickBot="1" x14ac:dyDescent="0.25">
      <c r="B2" s="905" t="s">
        <v>631</v>
      </c>
      <c r="C2" s="906"/>
      <c r="D2" s="906"/>
      <c r="E2" s="906"/>
      <c r="F2" s="906"/>
      <c r="G2" s="906"/>
      <c r="H2" s="906"/>
      <c r="I2" s="906"/>
      <c r="J2" s="906"/>
      <c r="K2" s="906"/>
      <c r="L2" s="906"/>
      <c r="M2" s="906"/>
      <c r="N2" s="907"/>
      <c r="O2" s="120"/>
      <c r="P2" s="895" t="s">
        <v>721</v>
      </c>
      <c r="Q2" s="895" t="s">
        <v>860</v>
      </c>
      <c r="R2" s="895" t="s">
        <v>721</v>
      </c>
    </row>
    <row r="3" spans="1:18" ht="38.25" customHeight="1" thickTop="1" x14ac:dyDescent="0.2">
      <c r="B3" s="506"/>
      <c r="C3" s="898" t="s">
        <v>477</v>
      </c>
      <c r="D3" s="898" t="s">
        <v>476</v>
      </c>
      <c r="E3" s="898" t="s">
        <v>474</v>
      </c>
      <c r="F3" s="898" t="s">
        <v>475</v>
      </c>
      <c r="G3" s="508" t="s">
        <v>3</v>
      </c>
      <c r="H3" s="900" t="s">
        <v>722</v>
      </c>
      <c r="I3" s="904" t="s">
        <v>860</v>
      </c>
      <c r="J3" s="904" t="s">
        <v>722</v>
      </c>
      <c r="L3" s="902" t="s">
        <v>723</v>
      </c>
      <c r="M3" s="902" t="s">
        <v>860</v>
      </c>
      <c r="N3" s="902" t="s">
        <v>723</v>
      </c>
      <c r="P3" s="896"/>
      <c r="Q3" s="896"/>
      <c r="R3" s="896"/>
    </row>
    <row r="4" spans="1:18" ht="31.5" customHeight="1" thickBot="1" x14ac:dyDescent="0.25">
      <c r="B4" s="510"/>
      <c r="C4" s="899"/>
      <c r="D4" s="899"/>
      <c r="E4" s="899"/>
      <c r="F4" s="899"/>
      <c r="G4" s="509"/>
      <c r="H4" s="901"/>
      <c r="I4" s="901"/>
      <c r="J4" s="901"/>
      <c r="L4" s="903"/>
      <c r="M4" s="903"/>
      <c r="N4" s="903"/>
      <c r="P4" s="897"/>
      <c r="Q4" s="897"/>
      <c r="R4" s="897"/>
    </row>
    <row r="5" spans="1:18" ht="21" customHeight="1" thickTop="1" thickBot="1" x14ac:dyDescent="0.25">
      <c r="B5" s="511">
        <v>1</v>
      </c>
      <c r="C5" s="233" t="s">
        <v>204</v>
      </c>
      <c r="D5" s="111"/>
      <c r="E5" s="111"/>
      <c r="F5" s="111"/>
      <c r="G5" s="192"/>
      <c r="H5" s="409">
        <f>H6+H25+H49+H50+H51+H52+H59+H70+H35</f>
        <v>386233</v>
      </c>
      <c r="I5" s="409">
        <f t="shared" ref="I5" si="0">I6+I25+I49+I50+I51+I52+I59+I70+I35</f>
        <v>0</v>
      </c>
      <c r="J5" s="409">
        <f t="shared" ref="J5:J7" si="1">H5+I5</f>
        <v>386233</v>
      </c>
      <c r="K5" s="512"/>
      <c r="L5" s="513">
        <f>L6+L25+L49+L50+L51+L52+L59+L70+L35</f>
        <v>211937</v>
      </c>
      <c r="M5" s="513">
        <f>M6+M25+M50+M51+M52+M53+M60+M71+M36</f>
        <v>0</v>
      </c>
      <c r="N5" s="513">
        <f>L5+M5</f>
        <v>211937</v>
      </c>
      <c r="O5" s="113"/>
      <c r="P5" s="418">
        <f t="shared" ref="P5:P36" si="2">H5+L5</f>
        <v>598170</v>
      </c>
      <c r="Q5" s="418">
        <f t="shared" ref="Q5:R20" si="3">I5+M5</f>
        <v>0</v>
      </c>
      <c r="R5" s="418">
        <f t="shared" si="3"/>
        <v>598170</v>
      </c>
    </row>
    <row r="6" spans="1:18" ht="15" customHeight="1" thickTop="1" x14ac:dyDescent="0.25">
      <c r="B6" s="171">
        <f t="shared" ref="B6:B56" si="4">B5+1</f>
        <v>2</v>
      </c>
      <c r="C6" s="23">
        <v>1</v>
      </c>
      <c r="D6" s="127" t="s">
        <v>126</v>
      </c>
      <c r="E6" s="280"/>
      <c r="F6" s="280"/>
      <c r="G6" s="281"/>
      <c r="H6" s="507">
        <f>H7+H13+H15+H17+H19</f>
        <v>192870</v>
      </c>
      <c r="I6" s="507">
        <f t="shared" ref="I6" si="5">I7+I13+I15+I17+I19</f>
        <v>0</v>
      </c>
      <c r="J6" s="507">
        <f t="shared" si="1"/>
        <v>192870</v>
      </c>
      <c r="K6" s="88"/>
      <c r="L6" s="379">
        <f>L7+L13+L15+L17+L19</f>
        <v>0</v>
      </c>
      <c r="M6" s="379">
        <f t="shared" ref="M6" si="6">M7+M13+M15+M17+M19</f>
        <v>0</v>
      </c>
      <c r="N6" s="379">
        <f t="shared" ref="N6:N33" si="7">L6+M6</f>
        <v>0</v>
      </c>
      <c r="O6" s="88"/>
      <c r="P6" s="373">
        <f t="shared" si="2"/>
        <v>192870</v>
      </c>
      <c r="Q6" s="373">
        <f t="shared" si="3"/>
        <v>0</v>
      </c>
      <c r="R6" s="373">
        <f t="shared" si="3"/>
        <v>192870</v>
      </c>
    </row>
    <row r="7" spans="1:18" ht="15" customHeight="1" x14ac:dyDescent="0.25">
      <c r="B7" s="171">
        <f t="shared" si="4"/>
        <v>3</v>
      </c>
      <c r="C7" s="76"/>
      <c r="D7" s="498" t="s">
        <v>4</v>
      </c>
      <c r="E7" s="909" t="s">
        <v>95</v>
      </c>
      <c r="F7" s="909"/>
      <c r="G7" s="909"/>
      <c r="H7" s="377">
        <f>SUM(H8:H12)</f>
        <v>14500</v>
      </c>
      <c r="I7" s="377">
        <f t="shared" ref="I7" si="8">SUM(I8:I12)</f>
        <v>0</v>
      </c>
      <c r="J7" s="377">
        <f t="shared" si="1"/>
        <v>14500</v>
      </c>
      <c r="K7" s="20"/>
      <c r="L7" s="380"/>
      <c r="M7" s="380"/>
      <c r="N7" s="380"/>
      <c r="O7" s="20"/>
      <c r="P7" s="208">
        <f t="shared" si="2"/>
        <v>14500</v>
      </c>
      <c r="Q7" s="208">
        <f t="shared" si="3"/>
        <v>0</v>
      </c>
      <c r="R7" s="208">
        <f t="shared" si="3"/>
        <v>14500</v>
      </c>
    </row>
    <row r="8" spans="1:18" s="151" customFormat="1" ht="12" customHeight="1" x14ac:dyDescent="0.2">
      <c r="A8" s="241"/>
      <c r="B8" s="171">
        <f t="shared" si="4"/>
        <v>4</v>
      </c>
      <c r="C8" s="130"/>
      <c r="D8" s="169"/>
      <c r="E8" s="290" t="s">
        <v>669</v>
      </c>
      <c r="F8" s="290" t="s">
        <v>200</v>
      </c>
      <c r="G8" s="526" t="s">
        <v>591</v>
      </c>
      <c r="H8" s="527">
        <f>6000+3000</f>
        <v>9000</v>
      </c>
      <c r="I8" s="527"/>
      <c r="J8" s="527">
        <f>H8+I8</f>
        <v>9000</v>
      </c>
      <c r="K8" s="132"/>
      <c r="L8" s="528"/>
      <c r="M8" s="528"/>
      <c r="N8" s="528"/>
      <c r="O8" s="132"/>
      <c r="P8" s="137">
        <f t="shared" si="2"/>
        <v>9000</v>
      </c>
      <c r="Q8" s="137">
        <f t="shared" si="3"/>
        <v>0</v>
      </c>
      <c r="R8" s="137">
        <f t="shared" si="3"/>
        <v>9000</v>
      </c>
    </row>
    <row r="9" spans="1:18" s="151" customFormat="1" ht="12" customHeight="1" x14ac:dyDescent="0.2">
      <c r="A9" s="241"/>
      <c r="B9" s="171">
        <f t="shared" si="4"/>
        <v>5</v>
      </c>
      <c r="C9" s="130"/>
      <c r="D9" s="169"/>
      <c r="E9" s="290" t="s">
        <v>669</v>
      </c>
      <c r="F9" s="290" t="s">
        <v>201</v>
      </c>
      <c r="G9" s="526" t="s">
        <v>260</v>
      </c>
      <c r="H9" s="527">
        <v>500</v>
      </c>
      <c r="I9" s="527"/>
      <c r="J9" s="527">
        <f t="shared" ref="J9:J70" si="9">H9+I9</f>
        <v>500</v>
      </c>
      <c r="K9" s="132"/>
      <c r="L9" s="528"/>
      <c r="M9" s="528"/>
      <c r="N9" s="528"/>
      <c r="O9" s="132"/>
      <c r="P9" s="137">
        <f t="shared" si="2"/>
        <v>500</v>
      </c>
      <c r="Q9" s="137">
        <f t="shared" si="3"/>
        <v>0</v>
      </c>
      <c r="R9" s="137">
        <f t="shared" si="3"/>
        <v>500</v>
      </c>
    </row>
    <row r="10" spans="1:18" s="151" customFormat="1" ht="12" customHeight="1" x14ac:dyDescent="0.2">
      <c r="A10" s="241"/>
      <c r="B10" s="171">
        <f t="shared" si="4"/>
        <v>6</v>
      </c>
      <c r="C10" s="130"/>
      <c r="D10" s="169"/>
      <c r="E10" s="290" t="s">
        <v>669</v>
      </c>
      <c r="F10" s="290" t="s">
        <v>215</v>
      </c>
      <c r="G10" s="526" t="s">
        <v>346</v>
      </c>
      <c r="H10" s="527">
        <v>500</v>
      </c>
      <c r="I10" s="527"/>
      <c r="J10" s="527">
        <f t="shared" si="9"/>
        <v>500</v>
      </c>
      <c r="K10" s="132"/>
      <c r="L10" s="528"/>
      <c r="M10" s="528"/>
      <c r="N10" s="528"/>
      <c r="O10" s="132"/>
      <c r="P10" s="137">
        <f t="shared" si="2"/>
        <v>500</v>
      </c>
      <c r="Q10" s="137">
        <f t="shared" si="3"/>
        <v>0</v>
      </c>
      <c r="R10" s="137">
        <f t="shared" si="3"/>
        <v>500</v>
      </c>
    </row>
    <row r="11" spans="1:18" s="151" customFormat="1" ht="12" customHeight="1" x14ac:dyDescent="0.2">
      <c r="A11" s="241"/>
      <c r="B11" s="171">
        <f t="shared" si="4"/>
        <v>7</v>
      </c>
      <c r="C11" s="130"/>
      <c r="D11" s="169"/>
      <c r="E11" s="290" t="s">
        <v>669</v>
      </c>
      <c r="F11" s="525">
        <v>637</v>
      </c>
      <c r="G11" s="526" t="s">
        <v>570</v>
      </c>
      <c r="H11" s="527">
        <f>5500-3000</f>
        <v>2500</v>
      </c>
      <c r="I11" s="527"/>
      <c r="J11" s="527">
        <f t="shared" si="9"/>
        <v>2500</v>
      </c>
      <c r="K11" s="132"/>
      <c r="L11" s="527"/>
      <c r="M11" s="527"/>
      <c r="N11" s="527"/>
      <c r="O11" s="132"/>
      <c r="P11" s="137">
        <f t="shared" si="2"/>
        <v>2500</v>
      </c>
      <c r="Q11" s="137">
        <f t="shared" si="3"/>
        <v>0</v>
      </c>
      <c r="R11" s="137">
        <f t="shared" si="3"/>
        <v>2500</v>
      </c>
    </row>
    <row r="12" spans="1:18" s="151" customFormat="1" ht="12" customHeight="1" x14ac:dyDescent="0.2">
      <c r="A12" s="241"/>
      <c r="B12" s="171">
        <f t="shared" si="4"/>
        <v>8</v>
      </c>
      <c r="C12" s="130"/>
      <c r="D12" s="159"/>
      <c r="E12" s="290" t="s">
        <v>669</v>
      </c>
      <c r="F12" s="525">
        <v>631</v>
      </c>
      <c r="G12" s="526" t="s">
        <v>439</v>
      </c>
      <c r="H12" s="527">
        <v>2000</v>
      </c>
      <c r="I12" s="527"/>
      <c r="J12" s="527">
        <f t="shared" si="9"/>
        <v>2000</v>
      </c>
      <c r="K12" s="132"/>
      <c r="L12" s="527"/>
      <c r="M12" s="527"/>
      <c r="N12" s="527"/>
      <c r="O12" s="132"/>
      <c r="P12" s="137">
        <f t="shared" si="2"/>
        <v>2000</v>
      </c>
      <c r="Q12" s="137">
        <f t="shared" si="3"/>
        <v>0</v>
      </c>
      <c r="R12" s="137">
        <f t="shared" si="3"/>
        <v>2000</v>
      </c>
    </row>
    <row r="13" spans="1:18" ht="15" customHeight="1" x14ac:dyDescent="0.25">
      <c r="B13" s="171">
        <f t="shared" si="4"/>
        <v>9</v>
      </c>
      <c r="C13" s="76"/>
      <c r="D13" s="498" t="s">
        <v>5</v>
      </c>
      <c r="E13" s="909" t="s">
        <v>315</v>
      </c>
      <c r="F13" s="909"/>
      <c r="G13" s="909"/>
      <c r="H13" s="377">
        <f>H14</f>
        <v>500</v>
      </c>
      <c r="I13" s="377">
        <f t="shared" ref="I13" si="10">I14</f>
        <v>0</v>
      </c>
      <c r="J13" s="377">
        <f t="shared" si="9"/>
        <v>500</v>
      </c>
      <c r="K13" s="20"/>
      <c r="L13" s="380"/>
      <c r="M13" s="380"/>
      <c r="N13" s="380"/>
      <c r="O13" s="20"/>
      <c r="P13" s="208">
        <f t="shared" si="2"/>
        <v>500</v>
      </c>
      <c r="Q13" s="208">
        <f t="shared" si="3"/>
        <v>0</v>
      </c>
      <c r="R13" s="208">
        <f t="shared" si="3"/>
        <v>500</v>
      </c>
    </row>
    <row r="14" spans="1:18" s="151" customFormat="1" ht="12" customHeight="1" x14ac:dyDescent="0.2">
      <c r="A14" s="241"/>
      <c r="B14" s="171">
        <f t="shared" si="4"/>
        <v>10</v>
      </c>
      <c r="C14" s="130"/>
      <c r="D14" s="169"/>
      <c r="E14" s="290" t="s">
        <v>669</v>
      </c>
      <c r="F14" s="290" t="s">
        <v>200</v>
      </c>
      <c r="G14" s="526" t="s">
        <v>495</v>
      </c>
      <c r="H14" s="527">
        <v>500</v>
      </c>
      <c r="I14" s="527"/>
      <c r="J14" s="527">
        <f t="shared" si="9"/>
        <v>500</v>
      </c>
      <c r="K14" s="132"/>
      <c r="L14" s="528"/>
      <c r="M14" s="528"/>
      <c r="N14" s="528"/>
      <c r="O14" s="132"/>
      <c r="P14" s="137">
        <f t="shared" si="2"/>
        <v>500</v>
      </c>
      <c r="Q14" s="137">
        <f t="shared" si="3"/>
        <v>0</v>
      </c>
      <c r="R14" s="137">
        <f t="shared" si="3"/>
        <v>500</v>
      </c>
    </row>
    <row r="15" spans="1:18" ht="15" customHeight="1" x14ac:dyDescent="0.25">
      <c r="B15" s="171">
        <f t="shared" si="4"/>
        <v>11</v>
      </c>
      <c r="C15" s="77"/>
      <c r="D15" s="498" t="s">
        <v>6</v>
      </c>
      <c r="E15" s="909" t="s">
        <v>117</v>
      </c>
      <c r="F15" s="909"/>
      <c r="G15" s="909"/>
      <c r="H15" s="377">
        <f>H16</f>
        <v>670</v>
      </c>
      <c r="I15" s="377">
        <f t="shared" ref="I15" si="11">I16</f>
        <v>0</v>
      </c>
      <c r="J15" s="377">
        <f t="shared" si="9"/>
        <v>670</v>
      </c>
      <c r="K15" s="20"/>
      <c r="L15" s="380"/>
      <c r="M15" s="380"/>
      <c r="N15" s="380"/>
      <c r="O15" s="20"/>
      <c r="P15" s="208">
        <f t="shared" si="2"/>
        <v>670</v>
      </c>
      <c r="Q15" s="208">
        <f t="shared" si="3"/>
        <v>0</v>
      </c>
      <c r="R15" s="208">
        <f t="shared" si="3"/>
        <v>670</v>
      </c>
    </row>
    <row r="16" spans="1:18" s="133" customFormat="1" ht="12" customHeight="1" x14ac:dyDescent="0.2">
      <c r="A16" s="240"/>
      <c r="B16" s="171">
        <f t="shared" si="4"/>
        <v>12</v>
      </c>
      <c r="C16" s="130"/>
      <c r="D16" s="159"/>
      <c r="E16" s="290" t="s">
        <v>669</v>
      </c>
      <c r="F16" s="290" t="s">
        <v>200</v>
      </c>
      <c r="G16" s="526" t="s">
        <v>495</v>
      </c>
      <c r="H16" s="527">
        <v>670</v>
      </c>
      <c r="I16" s="527"/>
      <c r="J16" s="527">
        <f t="shared" si="9"/>
        <v>670</v>
      </c>
      <c r="K16" s="132"/>
      <c r="L16" s="528"/>
      <c r="M16" s="528"/>
      <c r="N16" s="528"/>
      <c r="O16" s="132"/>
      <c r="P16" s="137">
        <f t="shared" si="2"/>
        <v>670</v>
      </c>
      <c r="Q16" s="137">
        <f t="shared" si="3"/>
        <v>0</v>
      </c>
      <c r="R16" s="137">
        <f t="shared" si="3"/>
        <v>670</v>
      </c>
    </row>
    <row r="17" spans="1:18" ht="15" customHeight="1" x14ac:dyDescent="0.25">
      <c r="B17" s="171">
        <f t="shared" si="4"/>
        <v>13</v>
      </c>
      <c r="C17" s="77"/>
      <c r="D17" s="498" t="s">
        <v>7</v>
      </c>
      <c r="E17" s="909" t="s">
        <v>166</v>
      </c>
      <c r="F17" s="909"/>
      <c r="G17" s="909"/>
      <c r="H17" s="377">
        <f>H18</f>
        <v>1000</v>
      </c>
      <c r="I17" s="377">
        <f t="shared" ref="I17" si="12">I18</f>
        <v>0</v>
      </c>
      <c r="J17" s="377">
        <f t="shared" si="9"/>
        <v>1000</v>
      </c>
      <c r="K17" s="20"/>
      <c r="L17" s="380"/>
      <c r="M17" s="380"/>
      <c r="N17" s="380"/>
      <c r="O17" s="20"/>
      <c r="P17" s="208">
        <f t="shared" si="2"/>
        <v>1000</v>
      </c>
      <c r="Q17" s="208">
        <f t="shared" si="3"/>
        <v>0</v>
      </c>
      <c r="R17" s="208">
        <f t="shared" si="3"/>
        <v>1000</v>
      </c>
    </row>
    <row r="18" spans="1:18" s="133" customFormat="1" ht="12" customHeight="1" x14ac:dyDescent="0.2">
      <c r="A18" s="240"/>
      <c r="B18" s="171">
        <f t="shared" si="4"/>
        <v>14</v>
      </c>
      <c r="C18" s="135"/>
      <c r="D18" s="169"/>
      <c r="E18" s="290" t="s">
        <v>669</v>
      </c>
      <c r="F18" s="290" t="s">
        <v>216</v>
      </c>
      <c r="G18" s="526" t="s">
        <v>523</v>
      </c>
      <c r="H18" s="527">
        <v>1000</v>
      </c>
      <c r="I18" s="527"/>
      <c r="J18" s="527">
        <f t="shared" si="9"/>
        <v>1000</v>
      </c>
      <c r="K18" s="132"/>
      <c r="L18" s="528"/>
      <c r="M18" s="528"/>
      <c r="N18" s="528"/>
      <c r="O18" s="132"/>
      <c r="P18" s="137">
        <f t="shared" si="2"/>
        <v>1000</v>
      </c>
      <c r="Q18" s="137">
        <f t="shared" si="3"/>
        <v>0</v>
      </c>
      <c r="R18" s="137">
        <f t="shared" si="3"/>
        <v>1000</v>
      </c>
    </row>
    <row r="19" spans="1:18" ht="15" customHeight="1" x14ac:dyDescent="0.25">
      <c r="B19" s="171">
        <f t="shared" si="4"/>
        <v>15</v>
      </c>
      <c r="C19" s="77"/>
      <c r="D19" s="498" t="s">
        <v>8</v>
      </c>
      <c r="E19" s="909" t="s">
        <v>96</v>
      </c>
      <c r="F19" s="909"/>
      <c r="G19" s="909"/>
      <c r="H19" s="377">
        <f>SUM(H20:H24)</f>
        <v>176200</v>
      </c>
      <c r="I19" s="377">
        <f t="shared" ref="I19" si="13">SUM(I20:I24)</f>
        <v>0</v>
      </c>
      <c r="J19" s="377">
        <f t="shared" si="9"/>
        <v>176200</v>
      </c>
      <c r="K19" s="20"/>
      <c r="L19" s="380"/>
      <c r="M19" s="380"/>
      <c r="N19" s="380"/>
      <c r="O19" s="20"/>
      <c r="P19" s="208">
        <f t="shared" si="2"/>
        <v>176200</v>
      </c>
      <c r="Q19" s="208">
        <f t="shared" si="3"/>
        <v>0</v>
      </c>
      <c r="R19" s="208">
        <f t="shared" si="3"/>
        <v>176200</v>
      </c>
    </row>
    <row r="20" spans="1:18" s="151" customFormat="1" ht="12" customHeight="1" x14ac:dyDescent="0.2">
      <c r="A20" s="241"/>
      <c r="B20" s="171">
        <f t="shared" si="4"/>
        <v>16</v>
      </c>
      <c r="C20" s="130"/>
      <c r="D20" s="169"/>
      <c r="E20" s="290" t="s">
        <v>669</v>
      </c>
      <c r="F20" s="290" t="s">
        <v>212</v>
      </c>
      <c r="G20" s="526" t="s">
        <v>240</v>
      </c>
      <c r="H20" s="527">
        <v>36700</v>
      </c>
      <c r="I20" s="527"/>
      <c r="J20" s="527">
        <f t="shared" si="9"/>
        <v>36700</v>
      </c>
      <c r="K20" s="132"/>
      <c r="L20" s="528"/>
      <c r="M20" s="528"/>
      <c r="N20" s="528"/>
      <c r="O20" s="132"/>
      <c r="P20" s="137">
        <f t="shared" si="2"/>
        <v>36700</v>
      </c>
      <c r="Q20" s="137">
        <f t="shared" si="3"/>
        <v>0</v>
      </c>
      <c r="R20" s="137">
        <f t="shared" si="3"/>
        <v>36700</v>
      </c>
    </row>
    <row r="21" spans="1:18" s="151" customFormat="1" ht="12" customHeight="1" x14ac:dyDescent="0.2">
      <c r="A21" s="241"/>
      <c r="B21" s="171">
        <f t="shared" si="4"/>
        <v>17</v>
      </c>
      <c r="C21" s="130"/>
      <c r="D21" s="169"/>
      <c r="E21" s="290" t="s">
        <v>669</v>
      </c>
      <c r="F21" s="290" t="s">
        <v>199</v>
      </c>
      <c r="G21" s="526" t="s">
        <v>437</v>
      </c>
      <c r="H21" s="527">
        <v>14000</v>
      </c>
      <c r="I21" s="527"/>
      <c r="J21" s="527">
        <f t="shared" si="9"/>
        <v>14000</v>
      </c>
      <c r="K21" s="132"/>
      <c r="L21" s="528"/>
      <c r="M21" s="528"/>
      <c r="N21" s="528"/>
      <c r="O21" s="132"/>
      <c r="P21" s="137">
        <f t="shared" si="2"/>
        <v>14000</v>
      </c>
      <c r="Q21" s="137">
        <f t="shared" ref="Q21:R36" si="14">I21+M21</f>
        <v>0</v>
      </c>
      <c r="R21" s="137">
        <f t="shared" si="14"/>
        <v>14000</v>
      </c>
    </row>
    <row r="22" spans="1:18" s="151" customFormat="1" ht="12" customHeight="1" x14ac:dyDescent="0.2">
      <c r="A22" s="241"/>
      <c r="B22" s="171">
        <f t="shared" si="4"/>
        <v>18</v>
      </c>
      <c r="C22" s="130"/>
      <c r="D22" s="169"/>
      <c r="E22" s="290" t="s">
        <v>669</v>
      </c>
      <c r="F22" s="290" t="s">
        <v>200</v>
      </c>
      <c r="G22" s="526" t="s">
        <v>666</v>
      </c>
      <c r="H22" s="527">
        <f>200+20000</f>
        <v>20200</v>
      </c>
      <c r="I22" s="527"/>
      <c r="J22" s="527">
        <f t="shared" si="9"/>
        <v>20200</v>
      </c>
      <c r="K22" s="132"/>
      <c r="L22" s="527"/>
      <c r="M22" s="527"/>
      <c r="N22" s="527"/>
      <c r="O22" s="132"/>
      <c r="P22" s="137">
        <f t="shared" si="2"/>
        <v>20200</v>
      </c>
      <c r="Q22" s="137">
        <f t="shared" si="14"/>
        <v>0</v>
      </c>
      <c r="R22" s="137">
        <f t="shared" si="14"/>
        <v>20200</v>
      </c>
    </row>
    <row r="23" spans="1:18" s="151" customFormat="1" ht="12" customHeight="1" x14ac:dyDescent="0.2">
      <c r="A23" s="241"/>
      <c r="B23" s="171">
        <f t="shared" si="4"/>
        <v>19</v>
      </c>
      <c r="C23" s="130"/>
      <c r="D23" s="169"/>
      <c r="E23" s="290" t="s">
        <v>669</v>
      </c>
      <c r="F23" s="290" t="s">
        <v>216</v>
      </c>
      <c r="G23" s="526" t="s">
        <v>438</v>
      </c>
      <c r="H23" s="527">
        <v>105000</v>
      </c>
      <c r="I23" s="527"/>
      <c r="J23" s="527">
        <f t="shared" si="9"/>
        <v>105000</v>
      </c>
      <c r="K23" s="132"/>
      <c r="L23" s="527"/>
      <c r="M23" s="527"/>
      <c r="N23" s="527"/>
      <c r="O23" s="132"/>
      <c r="P23" s="137">
        <f t="shared" si="2"/>
        <v>105000</v>
      </c>
      <c r="Q23" s="137">
        <f t="shared" si="14"/>
        <v>0</v>
      </c>
      <c r="R23" s="137">
        <f t="shared" si="14"/>
        <v>105000</v>
      </c>
    </row>
    <row r="24" spans="1:18" s="151" customFormat="1" ht="12" customHeight="1" x14ac:dyDescent="0.2">
      <c r="A24" s="241"/>
      <c r="B24" s="171">
        <f t="shared" si="4"/>
        <v>20</v>
      </c>
      <c r="C24" s="130"/>
      <c r="D24" s="178"/>
      <c r="E24" s="290" t="s">
        <v>669</v>
      </c>
      <c r="F24" s="290" t="s">
        <v>217</v>
      </c>
      <c r="G24" s="526" t="s">
        <v>267</v>
      </c>
      <c r="H24" s="527">
        <v>300</v>
      </c>
      <c r="I24" s="527"/>
      <c r="J24" s="527">
        <f t="shared" si="9"/>
        <v>300</v>
      </c>
      <c r="K24" s="132"/>
      <c r="L24" s="527"/>
      <c r="M24" s="527"/>
      <c r="N24" s="527"/>
      <c r="O24" s="132"/>
      <c r="P24" s="137">
        <f t="shared" si="2"/>
        <v>300</v>
      </c>
      <c r="Q24" s="137">
        <f t="shared" si="14"/>
        <v>0</v>
      </c>
      <c r="R24" s="137">
        <f t="shared" si="14"/>
        <v>300</v>
      </c>
    </row>
    <row r="25" spans="1:18" ht="15" customHeight="1" x14ac:dyDescent="0.25">
      <c r="B25" s="171">
        <f t="shared" si="4"/>
        <v>21</v>
      </c>
      <c r="C25" s="23">
        <v>2</v>
      </c>
      <c r="D25" s="127" t="s">
        <v>174</v>
      </c>
      <c r="E25" s="24"/>
      <c r="F25" s="24"/>
      <c r="G25" s="193"/>
      <c r="H25" s="414">
        <f>SUM(H26:H34)</f>
        <v>40091</v>
      </c>
      <c r="I25" s="414">
        <f t="shared" ref="I25" si="15">SUM(I26:I34)</f>
        <v>0</v>
      </c>
      <c r="J25" s="414">
        <f t="shared" si="9"/>
        <v>40091</v>
      </c>
      <c r="K25" s="88"/>
      <c r="L25" s="381">
        <f>SUM(L33:L34)</f>
        <v>22000</v>
      </c>
      <c r="M25" s="381">
        <f t="shared" ref="M25" si="16">SUM(M33:M35)</f>
        <v>0</v>
      </c>
      <c r="N25" s="381">
        <f t="shared" si="7"/>
        <v>22000</v>
      </c>
      <c r="O25" s="88"/>
      <c r="P25" s="374">
        <f t="shared" si="2"/>
        <v>62091</v>
      </c>
      <c r="Q25" s="374">
        <f t="shared" si="14"/>
        <v>0</v>
      </c>
      <c r="R25" s="374">
        <f t="shared" si="14"/>
        <v>62091</v>
      </c>
    </row>
    <row r="26" spans="1:18" s="151" customFormat="1" ht="12" customHeight="1" x14ac:dyDescent="0.2">
      <c r="A26" s="241"/>
      <c r="B26" s="171">
        <f t="shared" si="4"/>
        <v>22</v>
      </c>
      <c r="C26" s="130"/>
      <c r="D26" s="130"/>
      <c r="E26" s="525" t="s">
        <v>244</v>
      </c>
      <c r="F26" s="525">
        <v>637</v>
      </c>
      <c r="G26" s="194" t="s">
        <v>242</v>
      </c>
      <c r="H26" s="527">
        <f>35000-2030-22949</f>
        <v>10021</v>
      </c>
      <c r="I26" s="527"/>
      <c r="J26" s="527">
        <f t="shared" si="9"/>
        <v>10021</v>
      </c>
      <c r="K26" s="132"/>
      <c r="L26" s="527"/>
      <c r="M26" s="527"/>
      <c r="N26" s="527"/>
      <c r="O26" s="132"/>
      <c r="P26" s="137">
        <f t="shared" si="2"/>
        <v>10021</v>
      </c>
      <c r="Q26" s="137">
        <f t="shared" si="14"/>
        <v>0</v>
      </c>
      <c r="R26" s="137">
        <f t="shared" si="14"/>
        <v>10021</v>
      </c>
    </row>
    <row r="27" spans="1:18" s="151" customFormat="1" ht="12" customHeight="1" x14ac:dyDescent="0.2">
      <c r="A27" s="241"/>
      <c r="B27" s="171">
        <f t="shared" si="4"/>
        <v>23</v>
      </c>
      <c r="C27" s="130"/>
      <c r="D27" s="130"/>
      <c r="E27" s="525" t="s">
        <v>244</v>
      </c>
      <c r="F27" s="134">
        <v>635</v>
      </c>
      <c r="G27" s="194" t="s">
        <v>243</v>
      </c>
      <c r="H27" s="527">
        <v>2000</v>
      </c>
      <c r="I27" s="527"/>
      <c r="J27" s="527">
        <f t="shared" si="9"/>
        <v>2000</v>
      </c>
      <c r="K27" s="132"/>
      <c r="L27" s="527"/>
      <c r="M27" s="527"/>
      <c r="N27" s="527"/>
      <c r="O27" s="132"/>
      <c r="P27" s="137">
        <f t="shared" si="2"/>
        <v>2000</v>
      </c>
      <c r="Q27" s="137">
        <f t="shared" si="14"/>
        <v>0</v>
      </c>
      <c r="R27" s="137">
        <f t="shared" si="14"/>
        <v>2000</v>
      </c>
    </row>
    <row r="28" spans="1:18" s="497" customFormat="1" ht="24.75" customHeight="1" x14ac:dyDescent="0.2">
      <c r="A28" s="495"/>
      <c r="B28" s="674">
        <f t="shared" si="4"/>
        <v>24</v>
      </c>
      <c r="C28" s="454"/>
      <c r="D28" s="454"/>
      <c r="E28" s="458" t="s">
        <v>244</v>
      </c>
      <c r="F28" s="451">
        <v>637</v>
      </c>
      <c r="G28" s="496" t="s">
        <v>708</v>
      </c>
      <c r="H28" s="532">
        <v>9000</v>
      </c>
      <c r="I28" s="532"/>
      <c r="J28" s="532">
        <f t="shared" si="9"/>
        <v>9000</v>
      </c>
      <c r="K28" s="448"/>
      <c r="L28" s="465"/>
      <c r="M28" s="465"/>
      <c r="N28" s="465"/>
      <c r="O28" s="448"/>
      <c r="P28" s="665">
        <f t="shared" si="2"/>
        <v>9000</v>
      </c>
      <c r="Q28" s="665">
        <f t="shared" si="14"/>
        <v>0</v>
      </c>
      <c r="R28" s="665">
        <f t="shared" si="14"/>
        <v>9000</v>
      </c>
    </row>
    <row r="29" spans="1:18" s="151" customFormat="1" ht="12" customHeight="1" x14ac:dyDescent="0.2">
      <c r="A29" s="241"/>
      <c r="B29" s="171">
        <f t="shared" si="4"/>
        <v>25</v>
      </c>
      <c r="C29" s="130"/>
      <c r="D29" s="130"/>
      <c r="E29" s="525" t="s">
        <v>244</v>
      </c>
      <c r="F29" s="134">
        <v>637</v>
      </c>
      <c r="G29" s="194" t="s">
        <v>710</v>
      </c>
      <c r="H29" s="527">
        <v>8000</v>
      </c>
      <c r="I29" s="527"/>
      <c r="J29" s="527">
        <f t="shared" si="9"/>
        <v>8000</v>
      </c>
      <c r="K29" s="132"/>
      <c r="L29" s="382"/>
      <c r="M29" s="382"/>
      <c r="N29" s="382"/>
      <c r="O29" s="132"/>
      <c r="P29" s="137">
        <f t="shared" si="2"/>
        <v>8000</v>
      </c>
      <c r="Q29" s="137">
        <f t="shared" si="14"/>
        <v>0</v>
      </c>
      <c r="R29" s="137">
        <f t="shared" si="14"/>
        <v>8000</v>
      </c>
    </row>
    <row r="30" spans="1:18" s="151" customFormat="1" ht="12" customHeight="1" x14ac:dyDescent="0.2">
      <c r="A30" s="241"/>
      <c r="B30" s="171">
        <f t="shared" si="4"/>
        <v>26</v>
      </c>
      <c r="C30" s="130"/>
      <c r="D30" s="159"/>
      <c r="E30" s="525" t="s">
        <v>244</v>
      </c>
      <c r="F30" s="134">
        <v>637</v>
      </c>
      <c r="G30" s="194" t="s">
        <v>707</v>
      </c>
      <c r="H30" s="527">
        <v>9000</v>
      </c>
      <c r="I30" s="527"/>
      <c r="J30" s="527">
        <f t="shared" si="9"/>
        <v>9000</v>
      </c>
      <c r="K30" s="132"/>
      <c r="L30" s="382"/>
      <c r="M30" s="382"/>
      <c r="N30" s="382"/>
      <c r="O30" s="132"/>
      <c r="P30" s="137">
        <f t="shared" si="2"/>
        <v>9000</v>
      </c>
      <c r="Q30" s="137">
        <f t="shared" si="14"/>
        <v>0</v>
      </c>
      <c r="R30" s="137">
        <f t="shared" si="14"/>
        <v>9000</v>
      </c>
    </row>
    <row r="31" spans="1:18" s="151" customFormat="1" ht="12" customHeight="1" x14ac:dyDescent="0.2">
      <c r="A31" s="241"/>
      <c r="B31" s="171">
        <f t="shared" si="4"/>
        <v>27</v>
      </c>
      <c r="C31" s="130"/>
      <c r="D31" s="159"/>
      <c r="E31" s="525" t="s">
        <v>244</v>
      </c>
      <c r="F31" s="134">
        <v>620</v>
      </c>
      <c r="G31" s="194" t="s">
        <v>240</v>
      </c>
      <c r="H31" s="527">
        <v>2030</v>
      </c>
      <c r="I31" s="527"/>
      <c r="J31" s="527">
        <f t="shared" si="9"/>
        <v>2030</v>
      </c>
      <c r="K31" s="132"/>
      <c r="L31" s="382"/>
      <c r="M31" s="382"/>
      <c r="N31" s="382"/>
      <c r="O31" s="132"/>
      <c r="P31" s="137">
        <f t="shared" si="2"/>
        <v>2030</v>
      </c>
      <c r="Q31" s="137">
        <f t="shared" si="14"/>
        <v>0</v>
      </c>
      <c r="R31" s="137">
        <f t="shared" si="14"/>
        <v>2030</v>
      </c>
    </row>
    <row r="32" spans="1:18" s="151" customFormat="1" ht="12" customHeight="1" x14ac:dyDescent="0.2">
      <c r="A32" s="241"/>
      <c r="B32" s="171">
        <f t="shared" si="4"/>
        <v>28</v>
      </c>
      <c r="C32" s="130"/>
      <c r="D32" s="159"/>
      <c r="E32" s="525" t="s">
        <v>244</v>
      </c>
      <c r="F32" s="134">
        <v>637</v>
      </c>
      <c r="G32" s="194" t="s">
        <v>765</v>
      </c>
      <c r="H32" s="527">
        <v>40</v>
      </c>
      <c r="I32" s="527"/>
      <c r="J32" s="527">
        <f t="shared" si="9"/>
        <v>40</v>
      </c>
      <c r="K32" s="132"/>
      <c r="L32" s="382"/>
      <c r="M32" s="382"/>
      <c r="N32" s="382"/>
      <c r="O32" s="132"/>
      <c r="P32" s="137">
        <f t="shared" si="2"/>
        <v>40</v>
      </c>
      <c r="Q32" s="137">
        <f t="shared" si="14"/>
        <v>0</v>
      </c>
      <c r="R32" s="137">
        <f t="shared" si="14"/>
        <v>40</v>
      </c>
    </row>
    <row r="33" spans="1:18" s="151" customFormat="1" ht="12" customHeight="1" x14ac:dyDescent="0.2">
      <c r="A33" s="241"/>
      <c r="B33" s="171">
        <f t="shared" si="4"/>
        <v>29</v>
      </c>
      <c r="C33" s="130"/>
      <c r="D33" s="159"/>
      <c r="E33" s="525" t="s">
        <v>244</v>
      </c>
      <c r="F33" s="134">
        <v>711</v>
      </c>
      <c r="G33" s="194" t="s">
        <v>586</v>
      </c>
      <c r="H33" s="527"/>
      <c r="I33" s="527"/>
      <c r="J33" s="527"/>
      <c r="K33" s="132"/>
      <c r="L33" s="382">
        <v>12000</v>
      </c>
      <c r="M33" s="382"/>
      <c r="N33" s="382">
        <f t="shared" si="7"/>
        <v>12000</v>
      </c>
      <c r="O33" s="132"/>
      <c r="P33" s="137">
        <f t="shared" si="2"/>
        <v>12000</v>
      </c>
      <c r="Q33" s="137">
        <f t="shared" si="14"/>
        <v>0</v>
      </c>
      <c r="R33" s="137">
        <f t="shared" si="14"/>
        <v>12000</v>
      </c>
    </row>
    <row r="34" spans="1:18" s="151" customFormat="1" ht="12" customHeight="1" x14ac:dyDescent="0.2">
      <c r="A34" s="241"/>
      <c r="B34" s="171">
        <f t="shared" si="4"/>
        <v>30</v>
      </c>
      <c r="C34" s="130"/>
      <c r="D34" s="159"/>
      <c r="E34" s="525" t="s">
        <v>244</v>
      </c>
      <c r="F34" s="134">
        <v>716</v>
      </c>
      <c r="G34" s="194" t="s">
        <v>242</v>
      </c>
      <c r="H34" s="527"/>
      <c r="I34" s="527"/>
      <c r="J34" s="527"/>
      <c r="K34" s="132"/>
      <c r="L34" s="382">
        <v>10000</v>
      </c>
      <c r="M34" s="382"/>
      <c r="N34" s="382">
        <f t="shared" ref="N34:N47" si="17">L34+M34</f>
        <v>10000</v>
      </c>
      <c r="O34" s="132"/>
      <c r="P34" s="137">
        <f t="shared" si="2"/>
        <v>10000</v>
      </c>
      <c r="Q34" s="137">
        <f t="shared" si="14"/>
        <v>0</v>
      </c>
      <c r="R34" s="137">
        <f t="shared" si="14"/>
        <v>10000</v>
      </c>
    </row>
    <row r="35" spans="1:18" s="151" customFormat="1" ht="15" customHeight="1" x14ac:dyDescent="0.25">
      <c r="A35" s="241"/>
      <c r="B35" s="171">
        <f t="shared" si="4"/>
        <v>31</v>
      </c>
      <c r="C35" s="23">
        <v>3</v>
      </c>
      <c r="D35" s="910" t="s">
        <v>418</v>
      </c>
      <c r="E35" s="911"/>
      <c r="F35" s="911"/>
      <c r="G35" s="912"/>
      <c r="H35" s="411">
        <f>SUM(H36:H45)</f>
        <v>57549</v>
      </c>
      <c r="I35" s="411">
        <f t="shared" ref="I35" si="18">SUM(I36:I45)</f>
        <v>0</v>
      </c>
      <c r="J35" s="411">
        <f t="shared" si="9"/>
        <v>57549</v>
      </c>
      <c r="K35" s="132"/>
      <c r="L35" s="379">
        <f>SUM(L36:L51)</f>
        <v>189937</v>
      </c>
      <c r="M35" s="379">
        <f>SUM(M36:M51)</f>
        <v>0</v>
      </c>
      <c r="N35" s="379">
        <f t="shared" si="17"/>
        <v>189937</v>
      </c>
      <c r="O35" s="132"/>
      <c r="P35" s="375">
        <f t="shared" si="2"/>
        <v>247486</v>
      </c>
      <c r="Q35" s="375">
        <f t="shared" si="14"/>
        <v>0</v>
      </c>
      <c r="R35" s="375">
        <f t="shared" si="14"/>
        <v>247486</v>
      </c>
    </row>
    <row r="36" spans="1:18" s="151" customFormat="1" ht="12" customHeight="1" x14ac:dyDescent="0.2">
      <c r="A36" s="241"/>
      <c r="B36" s="171">
        <f t="shared" si="4"/>
        <v>32</v>
      </c>
      <c r="C36" s="130"/>
      <c r="D36" s="159"/>
      <c r="E36" s="290" t="s">
        <v>669</v>
      </c>
      <c r="F36" s="525">
        <v>637</v>
      </c>
      <c r="G36" s="194" t="s">
        <v>567</v>
      </c>
      <c r="H36" s="527">
        <f>15500-1450-2051</f>
        <v>11999</v>
      </c>
      <c r="I36" s="527"/>
      <c r="J36" s="527">
        <f t="shared" si="9"/>
        <v>11999</v>
      </c>
      <c r="K36" s="132"/>
      <c r="L36" s="382"/>
      <c r="M36" s="382"/>
      <c r="N36" s="382"/>
      <c r="O36" s="132"/>
      <c r="P36" s="137">
        <f t="shared" si="2"/>
        <v>11999</v>
      </c>
      <c r="Q36" s="137">
        <f t="shared" si="14"/>
        <v>0</v>
      </c>
      <c r="R36" s="137">
        <f t="shared" si="14"/>
        <v>11999</v>
      </c>
    </row>
    <row r="37" spans="1:18" s="151" customFormat="1" ht="12" customHeight="1" x14ac:dyDescent="0.2">
      <c r="A37" s="241"/>
      <c r="B37" s="171">
        <f t="shared" si="4"/>
        <v>33</v>
      </c>
      <c r="C37" s="130"/>
      <c r="D37" s="159"/>
      <c r="E37" s="290" t="s">
        <v>669</v>
      </c>
      <c r="F37" s="134">
        <v>637</v>
      </c>
      <c r="G37" s="194" t="s">
        <v>635</v>
      </c>
      <c r="H37" s="527">
        <f>20000-260-500</f>
        <v>19240</v>
      </c>
      <c r="I37" s="527"/>
      <c r="J37" s="527">
        <f t="shared" si="9"/>
        <v>19240</v>
      </c>
      <c r="K37" s="132"/>
      <c r="L37" s="382"/>
      <c r="M37" s="382"/>
      <c r="N37" s="382"/>
      <c r="O37" s="132"/>
      <c r="P37" s="137">
        <f t="shared" ref="P37:P70" si="19">H37+L37</f>
        <v>19240</v>
      </c>
      <c r="Q37" s="137">
        <f t="shared" ref="Q37:R52" si="20">I37+M37</f>
        <v>0</v>
      </c>
      <c r="R37" s="137">
        <f t="shared" si="20"/>
        <v>19240</v>
      </c>
    </row>
    <row r="38" spans="1:18" s="151" customFormat="1" ht="12" customHeight="1" x14ac:dyDescent="0.2">
      <c r="A38" s="241"/>
      <c r="B38" s="171">
        <f t="shared" si="4"/>
        <v>34</v>
      </c>
      <c r="C38" s="130"/>
      <c r="D38" s="159"/>
      <c r="E38" s="290" t="s">
        <v>669</v>
      </c>
      <c r="F38" s="134">
        <v>637</v>
      </c>
      <c r="G38" s="194" t="s">
        <v>584</v>
      </c>
      <c r="H38" s="527">
        <v>800</v>
      </c>
      <c r="I38" s="527"/>
      <c r="J38" s="527">
        <f t="shared" si="9"/>
        <v>800</v>
      </c>
      <c r="K38" s="132"/>
      <c r="L38" s="382"/>
      <c r="M38" s="382"/>
      <c r="N38" s="382"/>
      <c r="O38" s="132"/>
      <c r="P38" s="137">
        <f t="shared" si="19"/>
        <v>800</v>
      </c>
      <c r="Q38" s="137">
        <f t="shared" si="20"/>
        <v>0</v>
      </c>
      <c r="R38" s="137">
        <f t="shared" si="20"/>
        <v>800</v>
      </c>
    </row>
    <row r="39" spans="1:18" s="151" customFormat="1" ht="12" customHeight="1" x14ac:dyDescent="0.2">
      <c r="A39" s="241"/>
      <c r="B39" s="171">
        <f t="shared" si="4"/>
        <v>35</v>
      </c>
      <c r="C39" s="130"/>
      <c r="D39" s="159"/>
      <c r="E39" s="290" t="s">
        <v>669</v>
      </c>
      <c r="F39" s="134">
        <v>637</v>
      </c>
      <c r="G39" s="194" t="s">
        <v>585</v>
      </c>
      <c r="H39" s="527">
        <f>2000-1000</f>
        <v>1000</v>
      </c>
      <c r="I39" s="527"/>
      <c r="J39" s="527">
        <f t="shared" si="9"/>
        <v>1000</v>
      </c>
      <c r="K39" s="132"/>
      <c r="L39" s="382"/>
      <c r="M39" s="382"/>
      <c r="N39" s="382"/>
      <c r="O39" s="132"/>
      <c r="P39" s="137">
        <f t="shared" si="19"/>
        <v>1000</v>
      </c>
      <c r="Q39" s="137">
        <f t="shared" si="20"/>
        <v>0</v>
      </c>
      <c r="R39" s="137">
        <f t="shared" si="20"/>
        <v>1000</v>
      </c>
    </row>
    <row r="40" spans="1:18" s="151" customFormat="1" ht="12" customHeight="1" x14ac:dyDescent="0.2">
      <c r="A40" s="241"/>
      <c r="B40" s="171">
        <f t="shared" si="4"/>
        <v>36</v>
      </c>
      <c r="C40" s="130"/>
      <c r="D40" s="159"/>
      <c r="E40" s="290" t="s">
        <v>669</v>
      </c>
      <c r="F40" s="134">
        <v>633</v>
      </c>
      <c r="G40" s="194" t="s">
        <v>536</v>
      </c>
      <c r="H40" s="527">
        <v>1000</v>
      </c>
      <c r="I40" s="527"/>
      <c r="J40" s="527">
        <f t="shared" si="9"/>
        <v>1000</v>
      </c>
      <c r="K40" s="132"/>
      <c r="L40" s="382"/>
      <c r="M40" s="382"/>
      <c r="N40" s="382"/>
      <c r="O40" s="132"/>
      <c r="P40" s="137">
        <f t="shared" si="19"/>
        <v>1000</v>
      </c>
      <c r="Q40" s="137">
        <f t="shared" si="20"/>
        <v>0</v>
      </c>
      <c r="R40" s="137">
        <f t="shared" si="20"/>
        <v>1000</v>
      </c>
    </row>
    <row r="41" spans="1:18" s="151" customFormat="1" ht="12" customHeight="1" x14ac:dyDescent="0.2">
      <c r="A41" s="241"/>
      <c r="B41" s="171">
        <f t="shared" si="4"/>
        <v>37</v>
      </c>
      <c r="C41" s="130"/>
      <c r="D41" s="159"/>
      <c r="E41" s="290" t="s">
        <v>669</v>
      </c>
      <c r="F41" s="134">
        <v>631</v>
      </c>
      <c r="G41" s="194" t="s">
        <v>636</v>
      </c>
      <c r="H41" s="527">
        <v>800</v>
      </c>
      <c r="I41" s="527"/>
      <c r="J41" s="527">
        <f t="shared" si="9"/>
        <v>800</v>
      </c>
      <c r="K41" s="132"/>
      <c r="L41" s="382"/>
      <c r="M41" s="382"/>
      <c r="N41" s="382"/>
      <c r="O41" s="132"/>
      <c r="P41" s="137">
        <f t="shared" si="19"/>
        <v>800</v>
      </c>
      <c r="Q41" s="137">
        <f t="shared" si="20"/>
        <v>0</v>
      </c>
      <c r="R41" s="137">
        <f t="shared" si="20"/>
        <v>800</v>
      </c>
    </row>
    <row r="42" spans="1:18" s="151" customFormat="1" ht="12" customHeight="1" x14ac:dyDescent="0.2">
      <c r="A42" s="241"/>
      <c r="B42" s="171">
        <f t="shared" si="4"/>
        <v>38</v>
      </c>
      <c r="C42" s="130"/>
      <c r="D42" s="159"/>
      <c r="E42" s="290" t="s">
        <v>669</v>
      </c>
      <c r="F42" s="134">
        <v>633</v>
      </c>
      <c r="G42" s="194" t="s">
        <v>247</v>
      </c>
      <c r="H42" s="527">
        <v>500</v>
      </c>
      <c r="I42" s="527"/>
      <c r="J42" s="527">
        <f t="shared" si="9"/>
        <v>500</v>
      </c>
      <c r="K42" s="132"/>
      <c r="L42" s="382"/>
      <c r="M42" s="382"/>
      <c r="N42" s="382"/>
      <c r="O42" s="132"/>
      <c r="P42" s="137">
        <f t="shared" si="19"/>
        <v>500</v>
      </c>
      <c r="Q42" s="137">
        <f t="shared" si="20"/>
        <v>0</v>
      </c>
      <c r="R42" s="137">
        <f t="shared" si="20"/>
        <v>500</v>
      </c>
    </row>
    <row r="43" spans="1:18" s="151" customFormat="1" ht="12" customHeight="1" x14ac:dyDescent="0.2">
      <c r="A43" s="241"/>
      <c r="B43" s="171">
        <f t="shared" si="4"/>
        <v>39</v>
      </c>
      <c r="C43" s="130"/>
      <c r="D43" s="159"/>
      <c r="E43" s="290" t="s">
        <v>669</v>
      </c>
      <c r="F43" s="134">
        <v>637</v>
      </c>
      <c r="G43" s="194" t="s">
        <v>682</v>
      </c>
      <c r="H43" s="527">
        <v>20000</v>
      </c>
      <c r="I43" s="527"/>
      <c r="J43" s="527">
        <f t="shared" si="9"/>
        <v>20000</v>
      </c>
      <c r="K43" s="132"/>
      <c r="L43" s="382"/>
      <c r="M43" s="382"/>
      <c r="N43" s="382"/>
      <c r="O43" s="132"/>
      <c r="P43" s="137">
        <f t="shared" si="19"/>
        <v>20000</v>
      </c>
      <c r="Q43" s="137">
        <f t="shared" si="20"/>
        <v>0</v>
      </c>
      <c r="R43" s="137">
        <f t="shared" si="20"/>
        <v>20000</v>
      </c>
    </row>
    <row r="44" spans="1:18" s="151" customFormat="1" ht="12" customHeight="1" x14ac:dyDescent="0.2">
      <c r="A44" s="241"/>
      <c r="B44" s="171">
        <f t="shared" si="4"/>
        <v>40</v>
      </c>
      <c r="C44" s="130"/>
      <c r="D44" s="159"/>
      <c r="E44" s="290" t="s">
        <v>669</v>
      </c>
      <c r="F44" s="134">
        <v>620</v>
      </c>
      <c r="G44" s="194" t="s">
        <v>240</v>
      </c>
      <c r="H44" s="527">
        <v>1710</v>
      </c>
      <c r="I44" s="527"/>
      <c r="J44" s="527">
        <f t="shared" si="9"/>
        <v>1710</v>
      </c>
      <c r="K44" s="132"/>
      <c r="L44" s="382"/>
      <c r="M44" s="382"/>
      <c r="N44" s="382"/>
      <c r="O44" s="132"/>
      <c r="P44" s="137">
        <f t="shared" si="19"/>
        <v>1710</v>
      </c>
      <c r="Q44" s="137">
        <f t="shared" si="20"/>
        <v>0</v>
      </c>
      <c r="R44" s="137">
        <f t="shared" si="20"/>
        <v>1710</v>
      </c>
    </row>
    <row r="45" spans="1:18" s="151" customFormat="1" ht="12" customHeight="1" x14ac:dyDescent="0.2">
      <c r="A45" s="241"/>
      <c r="B45" s="171">
        <f t="shared" si="4"/>
        <v>41</v>
      </c>
      <c r="C45" s="130"/>
      <c r="D45" s="159"/>
      <c r="E45" s="290" t="s">
        <v>669</v>
      </c>
      <c r="F45" s="134">
        <v>620</v>
      </c>
      <c r="G45" s="194" t="s">
        <v>818</v>
      </c>
      <c r="H45" s="527">
        <v>500</v>
      </c>
      <c r="I45" s="527"/>
      <c r="J45" s="527">
        <f t="shared" si="9"/>
        <v>500</v>
      </c>
      <c r="K45" s="132"/>
      <c r="L45" s="382"/>
      <c r="M45" s="382"/>
      <c r="N45" s="382"/>
      <c r="O45" s="132"/>
      <c r="P45" s="137">
        <f t="shared" si="19"/>
        <v>500</v>
      </c>
      <c r="Q45" s="137">
        <f t="shared" si="20"/>
        <v>0</v>
      </c>
      <c r="R45" s="137">
        <f t="shared" si="20"/>
        <v>500</v>
      </c>
    </row>
    <row r="46" spans="1:18" s="151" customFormat="1" ht="12" customHeight="1" x14ac:dyDescent="0.2">
      <c r="A46" s="241"/>
      <c r="B46" s="171">
        <f t="shared" si="4"/>
        <v>42</v>
      </c>
      <c r="C46" s="130"/>
      <c r="D46" s="159"/>
      <c r="E46" s="290" t="s">
        <v>669</v>
      </c>
      <c r="F46" s="525">
        <v>716</v>
      </c>
      <c r="G46" s="194" t="s">
        <v>701</v>
      </c>
      <c r="H46" s="527"/>
      <c r="I46" s="527"/>
      <c r="J46" s="527"/>
      <c r="K46" s="132"/>
      <c r="L46" s="382">
        <f>50000-15000-2063</f>
        <v>32937</v>
      </c>
      <c r="M46" s="382"/>
      <c r="N46" s="382">
        <f t="shared" si="17"/>
        <v>32937</v>
      </c>
      <c r="O46" s="132"/>
      <c r="P46" s="137">
        <f t="shared" si="19"/>
        <v>32937</v>
      </c>
      <c r="Q46" s="137">
        <f t="shared" si="20"/>
        <v>0</v>
      </c>
      <c r="R46" s="137">
        <f t="shared" si="20"/>
        <v>32937</v>
      </c>
    </row>
    <row r="47" spans="1:18" s="151" customFormat="1" ht="12" customHeight="1" x14ac:dyDescent="0.2">
      <c r="A47" s="241"/>
      <c r="B47" s="171">
        <f t="shared" si="4"/>
        <v>43</v>
      </c>
      <c r="C47" s="130"/>
      <c r="D47" s="159"/>
      <c r="E47" s="290" t="s">
        <v>669</v>
      </c>
      <c r="F47" s="525">
        <v>717</v>
      </c>
      <c r="G47" s="194" t="s">
        <v>637</v>
      </c>
      <c r="H47" s="527"/>
      <c r="I47" s="527"/>
      <c r="J47" s="527"/>
      <c r="K47" s="132"/>
      <c r="L47" s="382">
        <v>150000</v>
      </c>
      <c r="M47" s="382"/>
      <c r="N47" s="382">
        <f t="shared" si="17"/>
        <v>150000</v>
      </c>
      <c r="O47" s="132"/>
      <c r="P47" s="137">
        <f t="shared" si="19"/>
        <v>150000</v>
      </c>
      <c r="Q47" s="137">
        <f t="shared" si="20"/>
        <v>0</v>
      </c>
      <c r="R47" s="137">
        <f t="shared" si="20"/>
        <v>150000</v>
      </c>
    </row>
    <row r="48" spans="1:18" s="151" customFormat="1" ht="12" customHeight="1" x14ac:dyDescent="0.2">
      <c r="A48" s="241"/>
      <c r="B48" s="171">
        <f t="shared" si="4"/>
        <v>44</v>
      </c>
      <c r="C48" s="130"/>
      <c r="D48" s="159"/>
      <c r="E48" s="290" t="s">
        <v>669</v>
      </c>
      <c r="F48" s="134">
        <v>717</v>
      </c>
      <c r="G48" s="194" t="s">
        <v>638</v>
      </c>
      <c r="H48" s="527"/>
      <c r="I48" s="527"/>
      <c r="J48" s="527"/>
      <c r="K48" s="132"/>
      <c r="L48" s="382">
        <v>7000</v>
      </c>
      <c r="M48" s="382"/>
      <c r="N48" s="382">
        <f t="shared" ref="N48:N70" si="21">L48+M48</f>
        <v>7000</v>
      </c>
      <c r="O48" s="132"/>
      <c r="P48" s="137">
        <f t="shared" si="19"/>
        <v>7000</v>
      </c>
      <c r="Q48" s="137">
        <f t="shared" si="20"/>
        <v>0</v>
      </c>
      <c r="R48" s="137">
        <f t="shared" si="20"/>
        <v>7000</v>
      </c>
    </row>
    <row r="49" spans="1:20" ht="15" customHeight="1" x14ac:dyDescent="0.25">
      <c r="B49" s="171">
        <f t="shared" si="4"/>
        <v>45</v>
      </c>
      <c r="C49" s="21">
        <v>4</v>
      </c>
      <c r="D49" s="126" t="s">
        <v>127</v>
      </c>
      <c r="E49" s="126"/>
      <c r="F49" s="22"/>
      <c r="G49" s="195"/>
      <c r="H49" s="411">
        <v>0</v>
      </c>
      <c r="I49" s="411">
        <v>0</v>
      </c>
      <c r="J49" s="411">
        <f t="shared" si="9"/>
        <v>0</v>
      </c>
      <c r="K49" s="112"/>
      <c r="L49" s="379">
        <v>0</v>
      </c>
      <c r="M49" s="379">
        <v>0</v>
      </c>
      <c r="N49" s="379">
        <f t="shared" si="21"/>
        <v>0</v>
      </c>
      <c r="O49" s="112"/>
      <c r="P49" s="374">
        <f t="shared" si="19"/>
        <v>0</v>
      </c>
      <c r="Q49" s="374">
        <f t="shared" si="20"/>
        <v>0</v>
      </c>
      <c r="R49" s="374">
        <f t="shared" si="20"/>
        <v>0</v>
      </c>
    </row>
    <row r="50" spans="1:20" ht="15" customHeight="1" x14ac:dyDescent="0.25">
      <c r="B50" s="171">
        <f t="shared" si="4"/>
        <v>46</v>
      </c>
      <c r="C50" s="21">
        <v>5</v>
      </c>
      <c r="D50" s="600" t="s">
        <v>441</v>
      </c>
      <c r="E50" s="126"/>
      <c r="F50" s="22"/>
      <c r="G50" s="195"/>
      <c r="H50" s="411">
        <v>0</v>
      </c>
      <c r="I50" s="411">
        <v>0</v>
      </c>
      <c r="J50" s="411">
        <f t="shared" si="9"/>
        <v>0</v>
      </c>
      <c r="K50" s="112"/>
      <c r="L50" s="379">
        <v>0</v>
      </c>
      <c r="M50" s="379">
        <v>0</v>
      </c>
      <c r="N50" s="379">
        <f t="shared" si="21"/>
        <v>0</v>
      </c>
      <c r="O50" s="112"/>
      <c r="P50" s="374">
        <f t="shared" si="19"/>
        <v>0</v>
      </c>
      <c r="Q50" s="374">
        <f t="shared" si="20"/>
        <v>0</v>
      </c>
      <c r="R50" s="374">
        <f t="shared" si="20"/>
        <v>0</v>
      </c>
    </row>
    <row r="51" spans="1:20" ht="15" customHeight="1" x14ac:dyDescent="0.25">
      <c r="B51" s="171">
        <f t="shared" si="4"/>
        <v>47</v>
      </c>
      <c r="C51" s="21">
        <v>6</v>
      </c>
      <c r="D51" s="126" t="s">
        <v>128</v>
      </c>
      <c r="E51" s="126"/>
      <c r="F51" s="22"/>
      <c r="G51" s="195"/>
      <c r="H51" s="411">
        <v>0</v>
      </c>
      <c r="I51" s="411">
        <v>0</v>
      </c>
      <c r="J51" s="411">
        <f t="shared" si="9"/>
        <v>0</v>
      </c>
      <c r="K51" s="112"/>
      <c r="L51" s="379">
        <v>0</v>
      </c>
      <c r="M51" s="379">
        <v>0</v>
      </c>
      <c r="N51" s="379">
        <f t="shared" si="21"/>
        <v>0</v>
      </c>
      <c r="O51" s="112"/>
      <c r="P51" s="374">
        <f t="shared" si="19"/>
        <v>0</v>
      </c>
      <c r="Q51" s="374">
        <f t="shared" si="20"/>
        <v>0</v>
      </c>
      <c r="R51" s="374">
        <f t="shared" si="20"/>
        <v>0</v>
      </c>
    </row>
    <row r="52" spans="1:20" ht="15" customHeight="1" x14ac:dyDescent="0.25">
      <c r="B52" s="171">
        <f t="shared" si="4"/>
        <v>48</v>
      </c>
      <c r="C52" s="21">
        <v>7</v>
      </c>
      <c r="D52" s="126" t="s">
        <v>482</v>
      </c>
      <c r="E52" s="126"/>
      <c r="F52" s="22"/>
      <c r="G52" s="195"/>
      <c r="H52" s="411">
        <f>SUM(H53:H58)</f>
        <v>65600</v>
      </c>
      <c r="I52" s="411">
        <f t="shared" ref="I52" si="22">SUM(I53:I58)</f>
        <v>0</v>
      </c>
      <c r="J52" s="411">
        <f t="shared" si="9"/>
        <v>65600</v>
      </c>
      <c r="K52" s="112"/>
      <c r="L52" s="379">
        <v>0</v>
      </c>
      <c r="M52" s="379">
        <v>0</v>
      </c>
      <c r="N52" s="379">
        <f t="shared" si="21"/>
        <v>0</v>
      </c>
      <c r="O52" s="112"/>
      <c r="P52" s="374">
        <f t="shared" si="19"/>
        <v>65600</v>
      </c>
      <c r="Q52" s="374">
        <f t="shared" si="20"/>
        <v>0</v>
      </c>
      <c r="R52" s="374">
        <f t="shared" si="20"/>
        <v>65600</v>
      </c>
    </row>
    <row r="53" spans="1:20" s="133" customFormat="1" ht="12" customHeight="1" x14ac:dyDescent="0.2">
      <c r="A53" s="240"/>
      <c r="B53" s="171">
        <f t="shared" si="4"/>
        <v>49</v>
      </c>
      <c r="C53" s="130"/>
      <c r="D53" s="130"/>
      <c r="E53" s="525" t="s">
        <v>280</v>
      </c>
      <c r="F53" s="525">
        <v>637</v>
      </c>
      <c r="G53" s="194" t="s">
        <v>629</v>
      </c>
      <c r="H53" s="527">
        <v>8500</v>
      </c>
      <c r="I53" s="527"/>
      <c r="J53" s="527">
        <f t="shared" si="9"/>
        <v>8500</v>
      </c>
      <c r="K53" s="132"/>
      <c r="L53" s="528"/>
      <c r="M53" s="528"/>
      <c r="N53" s="528">
        <f t="shared" si="21"/>
        <v>0</v>
      </c>
      <c r="O53" s="132"/>
      <c r="P53" s="529">
        <f t="shared" si="19"/>
        <v>8500</v>
      </c>
      <c r="Q53" s="529">
        <f t="shared" ref="Q53:R68" si="23">I53+M53</f>
        <v>0</v>
      </c>
      <c r="R53" s="529">
        <f t="shared" si="23"/>
        <v>8500</v>
      </c>
      <c r="T53" s="172"/>
    </row>
    <row r="54" spans="1:20" s="133" customFormat="1" ht="12" customHeight="1" x14ac:dyDescent="0.2">
      <c r="A54" s="240"/>
      <c r="B54" s="171">
        <f t="shared" si="4"/>
        <v>50</v>
      </c>
      <c r="C54" s="130"/>
      <c r="D54" s="130"/>
      <c r="E54" s="525" t="s">
        <v>280</v>
      </c>
      <c r="F54" s="134">
        <v>637</v>
      </c>
      <c r="G54" s="194" t="s">
        <v>563</v>
      </c>
      <c r="H54" s="527">
        <v>20000</v>
      </c>
      <c r="I54" s="527"/>
      <c r="J54" s="527">
        <f t="shared" si="9"/>
        <v>20000</v>
      </c>
      <c r="K54" s="132"/>
      <c r="L54" s="528"/>
      <c r="M54" s="528"/>
      <c r="N54" s="528">
        <f t="shared" si="21"/>
        <v>0</v>
      </c>
      <c r="O54" s="132"/>
      <c r="P54" s="529">
        <f t="shared" si="19"/>
        <v>20000</v>
      </c>
      <c r="Q54" s="529">
        <f t="shared" si="23"/>
        <v>0</v>
      </c>
      <c r="R54" s="529">
        <f t="shared" si="23"/>
        <v>20000</v>
      </c>
    </row>
    <row r="55" spans="1:20" s="133" customFormat="1" ht="12" customHeight="1" x14ac:dyDescent="0.2">
      <c r="A55" s="240"/>
      <c r="B55" s="171">
        <f t="shared" si="4"/>
        <v>51</v>
      </c>
      <c r="C55" s="130"/>
      <c r="D55" s="130"/>
      <c r="E55" s="525" t="s">
        <v>280</v>
      </c>
      <c r="F55" s="134">
        <v>620</v>
      </c>
      <c r="G55" s="194" t="s">
        <v>628</v>
      </c>
      <c r="H55" s="527">
        <v>5600</v>
      </c>
      <c r="I55" s="527"/>
      <c r="J55" s="527">
        <f t="shared" si="9"/>
        <v>5600</v>
      </c>
      <c r="K55" s="132"/>
      <c r="L55" s="528"/>
      <c r="M55" s="528"/>
      <c r="N55" s="528">
        <f t="shared" si="21"/>
        <v>0</v>
      </c>
      <c r="O55" s="132"/>
      <c r="P55" s="529">
        <f t="shared" si="19"/>
        <v>5600</v>
      </c>
      <c r="Q55" s="529">
        <f t="shared" si="23"/>
        <v>0</v>
      </c>
      <c r="R55" s="529">
        <f t="shared" si="23"/>
        <v>5600</v>
      </c>
    </row>
    <row r="56" spans="1:20" s="133" customFormat="1" ht="12" customHeight="1" x14ac:dyDescent="0.2">
      <c r="A56" s="240"/>
      <c r="B56" s="171">
        <f t="shared" si="4"/>
        <v>52</v>
      </c>
      <c r="C56" s="130"/>
      <c r="D56" s="130"/>
      <c r="E56" s="525" t="s">
        <v>280</v>
      </c>
      <c r="F56" s="134">
        <v>633</v>
      </c>
      <c r="G56" s="194" t="s">
        <v>496</v>
      </c>
      <c r="H56" s="527">
        <v>5500</v>
      </c>
      <c r="I56" s="527"/>
      <c r="J56" s="527">
        <f t="shared" si="9"/>
        <v>5500</v>
      </c>
      <c r="K56" s="132"/>
      <c r="L56" s="528"/>
      <c r="M56" s="528"/>
      <c r="N56" s="528">
        <f t="shared" si="21"/>
        <v>0</v>
      </c>
      <c r="O56" s="132"/>
      <c r="P56" s="529">
        <f t="shared" si="19"/>
        <v>5500</v>
      </c>
      <c r="Q56" s="529">
        <f t="shared" si="23"/>
        <v>0</v>
      </c>
      <c r="R56" s="529">
        <f t="shared" si="23"/>
        <v>5500</v>
      </c>
    </row>
    <row r="57" spans="1:20" s="133" customFormat="1" ht="12" customHeight="1" x14ac:dyDescent="0.2">
      <c r="A57" s="240"/>
      <c r="B57" s="171">
        <f t="shared" ref="B57:B70" si="24">B56+1</f>
        <v>53</v>
      </c>
      <c r="C57" s="130"/>
      <c r="D57" s="130"/>
      <c r="E57" s="525" t="s">
        <v>280</v>
      </c>
      <c r="F57" s="134">
        <v>632</v>
      </c>
      <c r="G57" s="194" t="s">
        <v>281</v>
      </c>
      <c r="H57" s="527">
        <v>20000</v>
      </c>
      <c r="I57" s="527"/>
      <c r="J57" s="527">
        <f t="shared" si="9"/>
        <v>20000</v>
      </c>
      <c r="K57" s="132"/>
      <c r="L57" s="528"/>
      <c r="M57" s="528"/>
      <c r="N57" s="528">
        <f t="shared" si="21"/>
        <v>0</v>
      </c>
      <c r="O57" s="132"/>
      <c r="P57" s="529">
        <f t="shared" si="19"/>
        <v>20000</v>
      </c>
      <c r="Q57" s="529">
        <f t="shared" si="23"/>
        <v>0</v>
      </c>
      <c r="R57" s="529">
        <f t="shared" si="23"/>
        <v>20000</v>
      </c>
    </row>
    <row r="58" spans="1:20" s="133" customFormat="1" ht="12" customHeight="1" x14ac:dyDescent="0.2">
      <c r="A58" s="240"/>
      <c r="B58" s="171">
        <f t="shared" si="24"/>
        <v>54</v>
      </c>
      <c r="C58" s="130"/>
      <c r="D58" s="159"/>
      <c r="E58" s="525" t="s">
        <v>280</v>
      </c>
      <c r="F58" s="525">
        <v>637</v>
      </c>
      <c r="G58" s="194" t="s">
        <v>711</v>
      </c>
      <c r="H58" s="527">
        <v>6000</v>
      </c>
      <c r="I58" s="527"/>
      <c r="J58" s="527">
        <f t="shared" si="9"/>
        <v>6000</v>
      </c>
      <c r="K58" s="132"/>
      <c r="L58" s="528"/>
      <c r="M58" s="528"/>
      <c r="N58" s="528">
        <f t="shared" si="21"/>
        <v>0</v>
      </c>
      <c r="O58" s="132"/>
      <c r="P58" s="529">
        <f t="shared" si="19"/>
        <v>6000</v>
      </c>
      <c r="Q58" s="529">
        <f t="shared" si="23"/>
        <v>0</v>
      </c>
      <c r="R58" s="529">
        <f t="shared" si="23"/>
        <v>6000</v>
      </c>
    </row>
    <row r="59" spans="1:20" ht="15" customHeight="1" x14ac:dyDescent="0.25">
      <c r="B59" s="171">
        <f t="shared" si="24"/>
        <v>55</v>
      </c>
      <c r="C59" s="21">
        <v>8</v>
      </c>
      <c r="D59" s="126" t="s">
        <v>483</v>
      </c>
      <c r="E59" s="22"/>
      <c r="F59" s="22"/>
      <c r="G59" s="195"/>
      <c r="H59" s="411">
        <f>H60</f>
        <v>15230</v>
      </c>
      <c r="I59" s="411">
        <f t="shared" ref="I59" si="25">I60</f>
        <v>0</v>
      </c>
      <c r="J59" s="411">
        <f t="shared" si="9"/>
        <v>15230</v>
      </c>
      <c r="K59" s="112"/>
      <c r="L59" s="381">
        <v>0</v>
      </c>
      <c r="M59" s="381">
        <v>0</v>
      </c>
      <c r="N59" s="381">
        <f t="shared" si="21"/>
        <v>0</v>
      </c>
      <c r="O59" s="112"/>
      <c r="P59" s="374">
        <f t="shared" si="19"/>
        <v>15230</v>
      </c>
      <c r="Q59" s="374">
        <f t="shared" si="23"/>
        <v>0</v>
      </c>
      <c r="R59" s="374">
        <f t="shared" si="23"/>
        <v>15230</v>
      </c>
    </row>
    <row r="60" spans="1:20" s="133" customFormat="1" ht="12" customHeight="1" x14ac:dyDescent="0.2">
      <c r="A60" s="240"/>
      <c r="B60" s="171">
        <f t="shared" si="24"/>
        <v>56</v>
      </c>
      <c r="C60" s="130"/>
      <c r="D60" s="130"/>
      <c r="E60" s="525" t="s">
        <v>276</v>
      </c>
      <c r="F60" s="525">
        <v>642</v>
      </c>
      <c r="G60" s="194" t="s">
        <v>300</v>
      </c>
      <c r="H60" s="527">
        <f>SUM(H61:H69)</f>
        <v>15230</v>
      </c>
      <c r="I60" s="527">
        <f t="shared" ref="I60" si="26">SUM(I61:I69)</f>
        <v>0</v>
      </c>
      <c r="J60" s="527">
        <f t="shared" si="9"/>
        <v>15230</v>
      </c>
      <c r="K60" s="132"/>
      <c r="L60" s="383"/>
      <c r="M60" s="383"/>
      <c r="N60" s="383"/>
      <c r="O60" s="132"/>
      <c r="P60" s="529">
        <f t="shared" si="19"/>
        <v>15230</v>
      </c>
      <c r="Q60" s="529">
        <f t="shared" si="23"/>
        <v>0</v>
      </c>
      <c r="R60" s="529">
        <f t="shared" si="23"/>
        <v>15230</v>
      </c>
    </row>
    <row r="61" spans="1:20" s="133" customFormat="1" ht="12" customHeight="1" x14ac:dyDescent="0.2">
      <c r="A61" s="240"/>
      <c r="B61" s="171">
        <f t="shared" si="24"/>
        <v>57</v>
      </c>
      <c r="C61" s="130"/>
      <c r="D61" s="130"/>
      <c r="E61" s="525"/>
      <c r="F61" s="525"/>
      <c r="G61" s="194" t="s">
        <v>478</v>
      </c>
      <c r="H61" s="527">
        <v>500</v>
      </c>
      <c r="I61" s="527"/>
      <c r="J61" s="527">
        <f t="shared" si="9"/>
        <v>500</v>
      </c>
      <c r="K61" s="132"/>
      <c r="L61" s="383"/>
      <c r="M61" s="383"/>
      <c r="N61" s="383"/>
      <c r="O61" s="132"/>
      <c r="P61" s="529">
        <f t="shared" si="19"/>
        <v>500</v>
      </c>
      <c r="Q61" s="529">
        <f t="shared" si="23"/>
        <v>0</v>
      </c>
      <c r="R61" s="529">
        <f t="shared" si="23"/>
        <v>500</v>
      </c>
    </row>
    <row r="62" spans="1:20" s="133" customFormat="1" ht="12" customHeight="1" x14ac:dyDescent="0.2">
      <c r="A62" s="240"/>
      <c r="B62" s="171">
        <f t="shared" si="24"/>
        <v>58</v>
      </c>
      <c r="C62" s="130"/>
      <c r="D62" s="130"/>
      <c r="E62" s="525"/>
      <c r="F62" s="525"/>
      <c r="G62" s="194" t="s">
        <v>292</v>
      </c>
      <c r="H62" s="527">
        <v>150</v>
      </c>
      <c r="I62" s="527"/>
      <c r="J62" s="527">
        <f t="shared" si="9"/>
        <v>150</v>
      </c>
      <c r="K62" s="132"/>
      <c r="L62" s="383"/>
      <c r="M62" s="383"/>
      <c r="N62" s="383"/>
      <c r="O62" s="132"/>
      <c r="P62" s="529">
        <f t="shared" si="19"/>
        <v>150</v>
      </c>
      <c r="Q62" s="529">
        <f t="shared" si="23"/>
        <v>0</v>
      </c>
      <c r="R62" s="529">
        <f t="shared" si="23"/>
        <v>150</v>
      </c>
    </row>
    <row r="63" spans="1:20" s="133" customFormat="1" ht="12" customHeight="1" x14ac:dyDescent="0.2">
      <c r="A63" s="240"/>
      <c r="B63" s="171">
        <f t="shared" si="24"/>
        <v>59</v>
      </c>
      <c r="C63" s="130"/>
      <c r="D63" s="130"/>
      <c r="E63" s="525"/>
      <c r="F63" s="525"/>
      <c r="G63" s="194" t="s">
        <v>293</v>
      </c>
      <c r="H63" s="527">
        <v>5600</v>
      </c>
      <c r="I63" s="527"/>
      <c r="J63" s="527">
        <f t="shared" si="9"/>
        <v>5600</v>
      </c>
      <c r="K63" s="132"/>
      <c r="L63" s="383"/>
      <c r="M63" s="383"/>
      <c r="N63" s="383"/>
      <c r="O63" s="132"/>
      <c r="P63" s="529">
        <f t="shared" si="19"/>
        <v>5600</v>
      </c>
      <c r="Q63" s="529">
        <f t="shared" si="23"/>
        <v>0</v>
      </c>
      <c r="R63" s="529">
        <f t="shared" si="23"/>
        <v>5600</v>
      </c>
    </row>
    <row r="64" spans="1:20" s="133" customFormat="1" ht="12" customHeight="1" x14ac:dyDescent="0.2">
      <c r="A64" s="240"/>
      <c r="B64" s="171">
        <f t="shared" si="24"/>
        <v>60</v>
      </c>
      <c r="C64" s="130"/>
      <c r="D64" s="130"/>
      <c r="E64" s="525"/>
      <c r="F64" s="525"/>
      <c r="G64" s="194" t="s">
        <v>419</v>
      </c>
      <c r="H64" s="527">
        <v>150</v>
      </c>
      <c r="I64" s="527"/>
      <c r="J64" s="527">
        <f t="shared" si="9"/>
        <v>150</v>
      </c>
      <c r="K64" s="132"/>
      <c r="L64" s="383"/>
      <c r="M64" s="383"/>
      <c r="N64" s="383"/>
      <c r="O64" s="132"/>
      <c r="P64" s="529">
        <f t="shared" si="19"/>
        <v>150</v>
      </c>
      <c r="Q64" s="529">
        <f t="shared" si="23"/>
        <v>0</v>
      </c>
      <c r="R64" s="529">
        <f t="shared" si="23"/>
        <v>150</v>
      </c>
    </row>
    <row r="65" spans="1:18" s="133" customFormat="1" ht="12" customHeight="1" x14ac:dyDescent="0.2">
      <c r="A65" s="240"/>
      <c r="B65" s="171">
        <f t="shared" si="24"/>
        <v>61</v>
      </c>
      <c r="C65" s="130"/>
      <c r="D65" s="130"/>
      <c r="E65" s="525"/>
      <c r="F65" s="525"/>
      <c r="G65" s="194" t="s">
        <v>440</v>
      </c>
      <c r="H65" s="527">
        <v>120</v>
      </c>
      <c r="I65" s="527"/>
      <c r="J65" s="527">
        <f t="shared" si="9"/>
        <v>120</v>
      </c>
      <c r="K65" s="132"/>
      <c r="L65" s="383"/>
      <c r="M65" s="383"/>
      <c r="N65" s="383"/>
      <c r="O65" s="132"/>
      <c r="P65" s="529">
        <f t="shared" si="19"/>
        <v>120</v>
      </c>
      <c r="Q65" s="529">
        <f t="shared" si="23"/>
        <v>0</v>
      </c>
      <c r="R65" s="529">
        <f t="shared" si="23"/>
        <v>120</v>
      </c>
    </row>
    <row r="66" spans="1:18" s="133" customFormat="1" ht="12" customHeight="1" x14ac:dyDescent="0.2">
      <c r="A66" s="240"/>
      <c r="B66" s="171">
        <f t="shared" si="24"/>
        <v>62</v>
      </c>
      <c r="C66" s="130"/>
      <c r="D66" s="159"/>
      <c r="E66" s="525"/>
      <c r="F66" s="525"/>
      <c r="G66" s="194" t="s">
        <v>294</v>
      </c>
      <c r="H66" s="527">
        <v>200</v>
      </c>
      <c r="I66" s="527"/>
      <c r="J66" s="527">
        <f t="shared" si="9"/>
        <v>200</v>
      </c>
      <c r="K66" s="132"/>
      <c r="L66" s="383"/>
      <c r="M66" s="383"/>
      <c r="N66" s="383"/>
      <c r="O66" s="132"/>
      <c r="P66" s="529">
        <f t="shared" si="19"/>
        <v>200</v>
      </c>
      <c r="Q66" s="529">
        <f t="shared" si="23"/>
        <v>0</v>
      </c>
      <c r="R66" s="529">
        <f t="shared" si="23"/>
        <v>200</v>
      </c>
    </row>
    <row r="67" spans="1:18" s="133" customFormat="1" ht="12" customHeight="1" x14ac:dyDescent="0.2">
      <c r="A67" s="240"/>
      <c r="B67" s="171">
        <f t="shared" si="24"/>
        <v>63</v>
      </c>
      <c r="C67" s="135"/>
      <c r="D67" s="363"/>
      <c r="E67" s="525"/>
      <c r="F67" s="525"/>
      <c r="G67" s="202" t="s">
        <v>524</v>
      </c>
      <c r="H67" s="527">
        <v>8300</v>
      </c>
      <c r="I67" s="527"/>
      <c r="J67" s="527">
        <f t="shared" si="9"/>
        <v>8300</v>
      </c>
      <c r="K67" s="132"/>
      <c r="L67" s="383"/>
      <c r="M67" s="383"/>
      <c r="N67" s="383"/>
      <c r="O67" s="132"/>
      <c r="P67" s="137">
        <f t="shared" si="19"/>
        <v>8300</v>
      </c>
      <c r="Q67" s="137">
        <f t="shared" si="23"/>
        <v>0</v>
      </c>
      <c r="R67" s="137">
        <f t="shared" si="23"/>
        <v>8300</v>
      </c>
    </row>
    <row r="68" spans="1:18" s="133" customFormat="1" ht="12" customHeight="1" x14ac:dyDescent="0.2">
      <c r="A68" s="240"/>
      <c r="B68" s="171">
        <f t="shared" si="24"/>
        <v>64</v>
      </c>
      <c r="C68" s="135"/>
      <c r="D68" s="363"/>
      <c r="E68" s="525"/>
      <c r="F68" s="525"/>
      <c r="G68" s="202" t="s">
        <v>525</v>
      </c>
      <c r="H68" s="527">
        <v>170</v>
      </c>
      <c r="I68" s="527"/>
      <c r="J68" s="527">
        <f t="shared" si="9"/>
        <v>170</v>
      </c>
      <c r="K68" s="132"/>
      <c r="L68" s="383"/>
      <c r="M68" s="383"/>
      <c r="N68" s="383"/>
      <c r="O68" s="132"/>
      <c r="P68" s="137">
        <f t="shared" si="19"/>
        <v>170</v>
      </c>
      <c r="Q68" s="137">
        <f t="shared" si="23"/>
        <v>0</v>
      </c>
      <c r="R68" s="137">
        <f t="shared" si="23"/>
        <v>170</v>
      </c>
    </row>
    <row r="69" spans="1:18" s="133" customFormat="1" ht="12" customHeight="1" x14ac:dyDescent="0.2">
      <c r="A69" s="240"/>
      <c r="B69" s="171">
        <f t="shared" si="24"/>
        <v>65</v>
      </c>
      <c r="C69" s="472"/>
      <c r="D69" s="473"/>
      <c r="E69" s="525"/>
      <c r="F69" s="525"/>
      <c r="G69" s="474" t="s">
        <v>587</v>
      </c>
      <c r="H69" s="461">
        <v>40</v>
      </c>
      <c r="I69" s="461"/>
      <c r="J69" s="527">
        <f t="shared" si="9"/>
        <v>40</v>
      </c>
      <c r="K69" s="132"/>
      <c r="L69" s="383"/>
      <c r="M69" s="383"/>
      <c r="N69" s="383"/>
      <c r="O69" s="132"/>
      <c r="P69" s="137">
        <f t="shared" si="19"/>
        <v>40</v>
      </c>
      <c r="Q69" s="137">
        <f t="shared" ref="Q69:R70" si="27">I69+M69</f>
        <v>0</v>
      </c>
      <c r="R69" s="137">
        <f t="shared" si="27"/>
        <v>40</v>
      </c>
    </row>
    <row r="70" spans="1:18" ht="15" customHeight="1" thickBot="1" x14ac:dyDescent="0.3">
      <c r="B70" s="171">
        <f t="shared" si="24"/>
        <v>66</v>
      </c>
      <c r="C70" s="276">
        <v>9</v>
      </c>
      <c r="D70" s="277" t="s">
        <v>129</v>
      </c>
      <c r="E70" s="278"/>
      <c r="F70" s="278"/>
      <c r="G70" s="279"/>
      <c r="H70" s="412">
        <v>14893</v>
      </c>
      <c r="I70" s="412"/>
      <c r="J70" s="412">
        <f t="shared" si="9"/>
        <v>14893</v>
      </c>
      <c r="K70" s="122"/>
      <c r="L70" s="384">
        <v>0</v>
      </c>
      <c r="M70" s="384">
        <v>0</v>
      </c>
      <c r="N70" s="384">
        <f t="shared" si="21"/>
        <v>0</v>
      </c>
      <c r="O70" s="122"/>
      <c r="P70" s="376">
        <f t="shared" si="19"/>
        <v>14893</v>
      </c>
      <c r="Q70" s="376">
        <f t="shared" si="27"/>
        <v>0</v>
      </c>
      <c r="R70" s="376">
        <f t="shared" si="27"/>
        <v>14893</v>
      </c>
    </row>
    <row r="71" spans="1:18" ht="10.5" customHeight="1" x14ac:dyDescent="0.2">
      <c r="B71" s="304"/>
      <c r="C71" s="305"/>
      <c r="D71" s="133"/>
      <c r="E71" s="133"/>
      <c r="F71" s="133"/>
      <c r="G71" s="133"/>
      <c r="H71" s="247"/>
      <c r="I71" s="247"/>
      <c r="J71" s="247"/>
      <c r="K71" s="247"/>
      <c r="L71" s="247"/>
      <c r="M71" s="247"/>
      <c r="N71" s="247"/>
      <c r="O71" s="247"/>
      <c r="P71" s="247"/>
      <c r="Q71" s="247"/>
      <c r="R71" s="247"/>
    </row>
    <row r="72" spans="1:18" ht="10.5" customHeight="1" x14ac:dyDescent="0.2">
      <c r="B72" s="304"/>
      <c r="C72" s="305"/>
      <c r="D72" s="133"/>
      <c r="E72" s="133"/>
      <c r="F72" s="133"/>
      <c r="G72" s="133"/>
      <c r="H72" s="406"/>
      <c r="I72" s="406"/>
      <c r="J72" s="406"/>
      <c r="K72" s="247"/>
      <c r="L72" s="247"/>
      <c r="M72" s="247"/>
      <c r="N72" s="247"/>
      <c r="O72" s="247"/>
      <c r="P72" s="247"/>
      <c r="Q72" s="247"/>
      <c r="R72" s="247"/>
    </row>
    <row r="74" spans="1:18" ht="27.75" thickBot="1" x14ac:dyDescent="0.4">
      <c r="B74" s="246" t="s">
        <v>202</v>
      </c>
      <c r="C74" s="246"/>
      <c r="D74" s="246"/>
      <c r="E74" s="246"/>
      <c r="F74" s="246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  <c r="R74" s="246"/>
    </row>
    <row r="75" spans="1:18" ht="13.5" customHeight="1" thickBot="1" x14ac:dyDescent="0.25">
      <c r="B75" s="905" t="s">
        <v>631</v>
      </c>
      <c r="C75" s="906"/>
      <c r="D75" s="906"/>
      <c r="E75" s="906"/>
      <c r="F75" s="906"/>
      <c r="G75" s="906"/>
      <c r="H75" s="906"/>
      <c r="I75" s="906"/>
      <c r="J75" s="906"/>
      <c r="K75" s="906"/>
      <c r="L75" s="906"/>
      <c r="M75" s="906"/>
      <c r="N75" s="907"/>
      <c r="O75" s="120"/>
      <c r="P75" s="895" t="s">
        <v>721</v>
      </c>
      <c r="Q75" s="895" t="s">
        <v>860</v>
      </c>
      <c r="R75" s="895" t="s">
        <v>721</v>
      </c>
    </row>
    <row r="76" spans="1:18" ht="13.5" customHeight="1" thickTop="1" x14ac:dyDescent="0.2">
      <c r="B76" s="506"/>
      <c r="C76" s="898" t="s">
        <v>477</v>
      </c>
      <c r="D76" s="898" t="s">
        <v>476</v>
      </c>
      <c r="E76" s="898" t="s">
        <v>474</v>
      </c>
      <c r="F76" s="898" t="s">
        <v>475</v>
      </c>
      <c r="G76" s="508" t="s">
        <v>3</v>
      </c>
      <c r="H76" s="900" t="s">
        <v>722</v>
      </c>
      <c r="I76" s="904" t="s">
        <v>860</v>
      </c>
      <c r="J76" s="904" t="s">
        <v>722</v>
      </c>
      <c r="L76" s="902" t="s">
        <v>723</v>
      </c>
      <c r="M76" s="902" t="s">
        <v>860</v>
      </c>
      <c r="N76" s="902" t="s">
        <v>723</v>
      </c>
      <c r="P76" s="896"/>
      <c r="Q76" s="896"/>
      <c r="R76" s="896"/>
    </row>
    <row r="77" spans="1:18" ht="34.5" customHeight="1" thickBot="1" x14ac:dyDescent="0.25">
      <c r="B77" s="510"/>
      <c r="C77" s="899"/>
      <c r="D77" s="899"/>
      <c r="E77" s="899"/>
      <c r="F77" s="899"/>
      <c r="G77" s="509"/>
      <c r="H77" s="901"/>
      <c r="I77" s="901"/>
      <c r="J77" s="901"/>
      <c r="L77" s="903"/>
      <c r="M77" s="903"/>
      <c r="N77" s="903"/>
      <c r="P77" s="897"/>
      <c r="Q77" s="897"/>
      <c r="R77" s="897"/>
    </row>
    <row r="78" spans="1:18" ht="17.25" thickTop="1" thickBot="1" x14ac:dyDescent="0.25">
      <c r="B78" s="618">
        <v>1</v>
      </c>
      <c r="C78" s="233" t="s">
        <v>203</v>
      </c>
      <c r="D78" s="111"/>
      <c r="E78" s="111"/>
      <c r="F78" s="111"/>
      <c r="G78" s="192"/>
      <c r="H78" s="409">
        <f>H79+H84</f>
        <v>55000</v>
      </c>
      <c r="I78" s="409">
        <f t="shared" ref="I78" si="28">I79+I84</f>
        <v>-3200</v>
      </c>
      <c r="J78" s="409">
        <f>H78+I78</f>
        <v>51800</v>
      </c>
      <c r="K78" s="113"/>
      <c r="L78" s="378">
        <f>L79+L84</f>
        <v>0</v>
      </c>
      <c r="M78" s="378">
        <f t="shared" ref="M78:N78" si="29">M79+M84</f>
        <v>0</v>
      </c>
      <c r="N78" s="378">
        <f t="shared" si="29"/>
        <v>0</v>
      </c>
      <c r="O78" s="113"/>
      <c r="P78" s="372">
        <f t="shared" ref="P78:P86" si="30">H78+L78</f>
        <v>55000</v>
      </c>
      <c r="Q78" s="372">
        <f t="shared" ref="Q78:R86" si="31">I78+M78</f>
        <v>-3200</v>
      </c>
      <c r="R78" s="372">
        <f t="shared" si="31"/>
        <v>51800</v>
      </c>
    </row>
    <row r="79" spans="1:18" ht="16.5" thickTop="1" x14ac:dyDescent="0.25">
      <c r="B79" s="171">
        <f t="shared" ref="B79:B86" si="32">B78+1</f>
        <v>2</v>
      </c>
      <c r="C79" s="23">
        <v>1</v>
      </c>
      <c r="D79" s="127" t="s">
        <v>170</v>
      </c>
      <c r="E79" s="24"/>
      <c r="F79" s="24"/>
      <c r="G79" s="193"/>
      <c r="H79" s="411">
        <f>SUM(H80:H83)</f>
        <v>47000</v>
      </c>
      <c r="I79" s="411">
        <f t="shared" ref="I79" si="33">SUM(I80:I83)</f>
        <v>-3200</v>
      </c>
      <c r="J79" s="411">
        <f>H79+I79</f>
        <v>43800</v>
      </c>
      <c r="K79" s="88"/>
      <c r="L79" s="379">
        <v>0</v>
      </c>
      <c r="M79" s="379">
        <v>0</v>
      </c>
      <c r="N79" s="379">
        <v>0</v>
      </c>
      <c r="O79" s="88"/>
      <c r="P79" s="373">
        <f t="shared" si="30"/>
        <v>47000</v>
      </c>
      <c r="Q79" s="373">
        <f t="shared" si="31"/>
        <v>-3200</v>
      </c>
      <c r="R79" s="373">
        <f t="shared" si="31"/>
        <v>43800</v>
      </c>
    </row>
    <row r="80" spans="1:18" x14ac:dyDescent="0.2">
      <c r="B80" s="171">
        <f t="shared" si="32"/>
        <v>3</v>
      </c>
      <c r="C80" s="130"/>
      <c r="D80" s="131"/>
      <c r="E80" s="131" t="s">
        <v>425</v>
      </c>
      <c r="F80" s="131" t="s">
        <v>216</v>
      </c>
      <c r="G80" s="194" t="s">
        <v>498</v>
      </c>
      <c r="H80" s="527">
        <f>8500+2000</f>
        <v>10500</v>
      </c>
      <c r="I80" s="527">
        <v>-3200</v>
      </c>
      <c r="J80" s="527">
        <f>H80+I80</f>
        <v>7300</v>
      </c>
      <c r="K80" s="132"/>
      <c r="L80" s="528"/>
      <c r="M80" s="528"/>
      <c r="N80" s="528"/>
      <c r="O80" s="132"/>
      <c r="P80" s="137">
        <f t="shared" si="30"/>
        <v>10500</v>
      </c>
      <c r="Q80" s="137">
        <f t="shared" si="31"/>
        <v>-3200</v>
      </c>
      <c r="R80" s="137">
        <f t="shared" si="31"/>
        <v>7300</v>
      </c>
    </row>
    <row r="81" spans="2:18" x14ac:dyDescent="0.2">
      <c r="B81" s="171">
        <f>B80+1</f>
        <v>4</v>
      </c>
      <c r="C81" s="130"/>
      <c r="D81" s="131"/>
      <c r="E81" s="131" t="s">
        <v>425</v>
      </c>
      <c r="F81" s="131" t="s">
        <v>200</v>
      </c>
      <c r="G81" s="194" t="s">
        <v>697</v>
      </c>
      <c r="H81" s="527">
        <v>5000</v>
      </c>
      <c r="I81" s="527"/>
      <c r="J81" s="527">
        <f t="shared" ref="J81:J83" si="34">H81+I81</f>
        <v>5000</v>
      </c>
      <c r="K81" s="132"/>
      <c r="L81" s="528"/>
      <c r="M81" s="528"/>
      <c r="N81" s="528"/>
      <c r="O81" s="132"/>
      <c r="P81" s="137">
        <f t="shared" si="30"/>
        <v>5000</v>
      </c>
      <c r="Q81" s="137">
        <f t="shared" si="31"/>
        <v>0</v>
      </c>
      <c r="R81" s="137">
        <f t="shared" si="31"/>
        <v>5000</v>
      </c>
    </row>
    <row r="82" spans="2:18" x14ac:dyDescent="0.2">
      <c r="B82" s="171">
        <f t="shared" si="32"/>
        <v>5</v>
      </c>
      <c r="C82" s="130"/>
      <c r="D82" s="131"/>
      <c r="E82" s="131" t="s">
        <v>426</v>
      </c>
      <c r="F82" s="131" t="s">
        <v>218</v>
      </c>
      <c r="G82" s="194" t="s">
        <v>479</v>
      </c>
      <c r="H82" s="527">
        <f>19700</f>
        <v>19700</v>
      </c>
      <c r="I82" s="527"/>
      <c r="J82" s="527">
        <f t="shared" si="34"/>
        <v>19700</v>
      </c>
      <c r="K82" s="132"/>
      <c r="L82" s="528"/>
      <c r="M82" s="528"/>
      <c r="N82" s="528"/>
      <c r="O82" s="132"/>
      <c r="P82" s="137">
        <f t="shared" si="30"/>
        <v>19700</v>
      </c>
      <c r="Q82" s="137">
        <f t="shared" si="31"/>
        <v>0</v>
      </c>
      <c r="R82" s="137">
        <f t="shared" si="31"/>
        <v>19700</v>
      </c>
    </row>
    <row r="83" spans="2:18" x14ac:dyDescent="0.2">
      <c r="B83" s="171">
        <f t="shared" si="32"/>
        <v>6</v>
      </c>
      <c r="C83" s="130"/>
      <c r="D83" s="131"/>
      <c r="E83" s="131" t="s">
        <v>425</v>
      </c>
      <c r="F83" s="131" t="s">
        <v>216</v>
      </c>
      <c r="G83" s="194" t="s">
        <v>480</v>
      </c>
      <c r="H83" s="398">
        <v>11800</v>
      </c>
      <c r="I83" s="398"/>
      <c r="J83" s="527">
        <f t="shared" si="34"/>
        <v>11800</v>
      </c>
      <c r="K83" s="132"/>
      <c r="L83" s="528"/>
      <c r="M83" s="528"/>
      <c r="N83" s="528"/>
      <c r="O83" s="132"/>
      <c r="P83" s="137">
        <f t="shared" si="30"/>
        <v>11800</v>
      </c>
      <c r="Q83" s="137">
        <f t="shared" si="31"/>
        <v>0</v>
      </c>
      <c r="R83" s="137">
        <f t="shared" si="31"/>
        <v>11800</v>
      </c>
    </row>
    <row r="84" spans="2:18" ht="15.75" x14ac:dyDescent="0.25">
      <c r="B84" s="171">
        <f t="shared" si="32"/>
        <v>7</v>
      </c>
      <c r="C84" s="21">
        <v>2</v>
      </c>
      <c r="D84" s="126" t="s">
        <v>156</v>
      </c>
      <c r="E84" s="22"/>
      <c r="F84" s="22"/>
      <c r="G84" s="195"/>
      <c r="H84" s="411">
        <f>SUM(H85:H86)</f>
        <v>8000</v>
      </c>
      <c r="I84" s="411">
        <f t="shared" ref="I84" si="35">SUM(I85:I86)</f>
        <v>0</v>
      </c>
      <c r="J84" s="411">
        <f>H84+I84</f>
        <v>8000</v>
      </c>
      <c r="K84" s="112"/>
      <c r="L84" s="379">
        <v>0</v>
      </c>
      <c r="M84" s="379">
        <v>0</v>
      </c>
      <c r="N84" s="379">
        <v>0</v>
      </c>
      <c r="O84" s="112"/>
      <c r="P84" s="374">
        <f t="shared" si="30"/>
        <v>8000</v>
      </c>
      <c r="Q84" s="374">
        <f t="shared" si="31"/>
        <v>0</v>
      </c>
      <c r="R84" s="374">
        <f t="shared" si="31"/>
        <v>8000</v>
      </c>
    </row>
    <row r="85" spans="2:18" x14ac:dyDescent="0.2">
      <c r="B85" s="171">
        <f t="shared" si="32"/>
        <v>8</v>
      </c>
      <c r="C85" s="130"/>
      <c r="D85" s="130"/>
      <c r="E85" s="134" t="s">
        <v>425</v>
      </c>
      <c r="F85" s="134">
        <v>637</v>
      </c>
      <c r="G85" s="194" t="s">
        <v>497</v>
      </c>
      <c r="H85" s="527">
        <v>6000</v>
      </c>
      <c r="I85" s="527"/>
      <c r="J85" s="527">
        <f>H85+I85</f>
        <v>6000</v>
      </c>
      <c r="K85" s="132"/>
      <c r="L85" s="527"/>
      <c r="M85" s="527"/>
      <c r="N85" s="527"/>
      <c r="O85" s="132"/>
      <c r="P85" s="529">
        <f t="shared" si="30"/>
        <v>6000</v>
      </c>
      <c r="Q85" s="529">
        <f t="shared" si="31"/>
        <v>0</v>
      </c>
      <c r="R85" s="529">
        <f t="shared" si="31"/>
        <v>6000</v>
      </c>
    </row>
    <row r="86" spans="2:18" ht="13.5" thickBot="1" x14ac:dyDescent="0.25">
      <c r="B86" s="207">
        <f t="shared" si="32"/>
        <v>9</v>
      </c>
      <c r="C86" s="139"/>
      <c r="D86" s="139"/>
      <c r="E86" s="140" t="s">
        <v>425</v>
      </c>
      <c r="F86" s="140">
        <v>637</v>
      </c>
      <c r="G86" s="200" t="s">
        <v>481</v>
      </c>
      <c r="H86" s="385">
        <v>2000</v>
      </c>
      <c r="I86" s="385"/>
      <c r="J86" s="385">
        <f>H86+I86</f>
        <v>2000</v>
      </c>
      <c r="K86" s="141"/>
      <c r="L86" s="385"/>
      <c r="M86" s="385"/>
      <c r="N86" s="385"/>
      <c r="O86" s="132"/>
      <c r="P86" s="142">
        <f t="shared" si="30"/>
        <v>2000</v>
      </c>
      <c r="Q86" s="142">
        <f t="shared" si="31"/>
        <v>0</v>
      </c>
      <c r="R86" s="142">
        <f t="shared" si="31"/>
        <v>2000</v>
      </c>
    </row>
    <row r="89" spans="2:18" ht="27.75" thickBot="1" x14ac:dyDescent="0.4">
      <c r="B89" s="246" t="s">
        <v>205</v>
      </c>
      <c r="C89" s="246"/>
      <c r="D89" s="246"/>
      <c r="E89" s="246"/>
      <c r="F89" s="246"/>
      <c r="G89" s="419"/>
      <c r="H89" s="246"/>
      <c r="I89" s="246"/>
      <c r="J89" s="246"/>
      <c r="K89" s="246"/>
      <c r="L89" s="246"/>
      <c r="M89" s="246"/>
      <c r="N89" s="246"/>
      <c r="O89" s="246"/>
      <c r="P89" s="246"/>
      <c r="Q89" s="246"/>
      <c r="R89" s="246"/>
    </row>
    <row r="90" spans="2:18" ht="13.5" customHeight="1" thickBot="1" x14ac:dyDescent="0.25">
      <c r="B90" s="905" t="s">
        <v>631</v>
      </c>
      <c r="C90" s="906"/>
      <c r="D90" s="906"/>
      <c r="E90" s="906"/>
      <c r="F90" s="906"/>
      <c r="G90" s="906"/>
      <c r="H90" s="906"/>
      <c r="I90" s="906"/>
      <c r="J90" s="906"/>
      <c r="K90" s="906"/>
      <c r="L90" s="906"/>
      <c r="M90" s="906"/>
      <c r="N90" s="907"/>
      <c r="O90" s="120"/>
      <c r="P90" s="895" t="s">
        <v>721</v>
      </c>
      <c r="Q90" s="895" t="s">
        <v>860</v>
      </c>
      <c r="R90" s="895" t="s">
        <v>721</v>
      </c>
    </row>
    <row r="91" spans="2:18" ht="13.5" customHeight="1" thickTop="1" x14ac:dyDescent="0.2">
      <c r="B91" s="506"/>
      <c r="C91" s="898" t="s">
        <v>477</v>
      </c>
      <c r="D91" s="898" t="s">
        <v>476</v>
      </c>
      <c r="E91" s="898" t="s">
        <v>474</v>
      </c>
      <c r="F91" s="898" t="s">
        <v>475</v>
      </c>
      <c r="G91" s="508" t="s">
        <v>3</v>
      </c>
      <c r="H91" s="900" t="s">
        <v>722</v>
      </c>
      <c r="I91" s="904" t="s">
        <v>860</v>
      </c>
      <c r="J91" s="904" t="s">
        <v>722</v>
      </c>
      <c r="L91" s="902" t="s">
        <v>723</v>
      </c>
      <c r="M91" s="902" t="s">
        <v>860</v>
      </c>
      <c r="N91" s="902" t="s">
        <v>723</v>
      </c>
      <c r="P91" s="896"/>
      <c r="Q91" s="896"/>
      <c r="R91" s="896"/>
    </row>
    <row r="92" spans="2:18" ht="42" customHeight="1" thickBot="1" x14ac:dyDescent="0.25">
      <c r="B92" s="510"/>
      <c r="C92" s="899"/>
      <c r="D92" s="899"/>
      <c r="E92" s="899"/>
      <c r="F92" s="899"/>
      <c r="G92" s="509"/>
      <c r="H92" s="901"/>
      <c r="I92" s="901"/>
      <c r="J92" s="901"/>
      <c r="L92" s="903"/>
      <c r="M92" s="903"/>
      <c r="N92" s="903"/>
      <c r="P92" s="897"/>
      <c r="Q92" s="897"/>
      <c r="R92" s="897"/>
    </row>
    <row r="93" spans="2:18" ht="17.25" thickTop="1" thickBot="1" x14ac:dyDescent="0.25">
      <c r="B93" s="171">
        <v>1</v>
      </c>
      <c r="C93" s="233" t="s">
        <v>206</v>
      </c>
      <c r="D93" s="111"/>
      <c r="E93" s="111"/>
      <c r="F93" s="111"/>
      <c r="G93" s="201"/>
      <c r="H93" s="409">
        <f>H94+H98+H109+H113+H132+H142+H145+H152</f>
        <v>3587965</v>
      </c>
      <c r="I93" s="409">
        <f>I94+I98+I109+I113+I132+I142+I145+I152</f>
        <v>-7740</v>
      </c>
      <c r="J93" s="409">
        <f>H93+I93</f>
        <v>3580225</v>
      </c>
      <c r="K93" s="113"/>
      <c r="L93" s="378">
        <f>L94+L98+L109+L113+L132+L142+L145+L152</f>
        <v>465474</v>
      </c>
      <c r="M93" s="378">
        <f>M94+M98+M109+M113+M132+M142+M145+M152</f>
        <v>0</v>
      </c>
      <c r="N93" s="378">
        <f>L93+M93</f>
        <v>465474</v>
      </c>
      <c r="O93" s="113"/>
      <c r="P93" s="372">
        <f t="shared" ref="P93:P119" si="36">H93+L93</f>
        <v>4053439</v>
      </c>
      <c r="Q93" s="372">
        <f t="shared" ref="Q93:R108" si="37">I93+M93</f>
        <v>-7740</v>
      </c>
      <c r="R93" s="372">
        <f t="shared" si="37"/>
        <v>4045699</v>
      </c>
    </row>
    <row r="94" spans="2:18" ht="16.5" thickTop="1" x14ac:dyDescent="0.25">
      <c r="B94" s="171">
        <f>B93+1</f>
        <v>2</v>
      </c>
      <c r="C94" s="23">
        <v>1</v>
      </c>
      <c r="D94" s="127" t="s">
        <v>98</v>
      </c>
      <c r="E94" s="24"/>
      <c r="F94" s="24"/>
      <c r="G94" s="193"/>
      <c r="H94" s="410">
        <f>SUM(H95:H97)</f>
        <v>93400</v>
      </c>
      <c r="I94" s="410">
        <f t="shared" ref="I94" si="38">SUM(I95:I97)</f>
        <v>0</v>
      </c>
      <c r="J94" s="410">
        <f>H94+I94</f>
        <v>93400</v>
      </c>
      <c r="K94" s="88"/>
      <c r="L94" s="379">
        <f>L95+L96+L97</f>
        <v>0</v>
      </c>
      <c r="M94" s="379">
        <f t="shared" ref="M94" si="39">M95+M96+M97</f>
        <v>0</v>
      </c>
      <c r="N94" s="379">
        <f>L94+M94</f>
        <v>0</v>
      </c>
      <c r="O94" s="88"/>
      <c r="P94" s="373">
        <f t="shared" si="36"/>
        <v>93400</v>
      </c>
      <c r="Q94" s="373">
        <f t="shared" si="37"/>
        <v>0</v>
      </c>
      <c r="R94" s="373">
        <f t="shared" si="37"/>
        <v>93400</v>
      </c>
    </row>
    <row r="95" spans="2:18" x14ac:dyDescent="0.2">
      <c r="B95" s="171">
        <f t="shared" ref="B95:B155" si="40">B94+1</f>
        <v>3</v>
      </c>
      <c r="C95" s="130"/>
      <c r="D95" s="131"/>
      <c r="E95" s="131" t="s">
        <v>669</v>
      </c>
      <c r="F95" s="131" t="s">
        <v>216</v>
      </c>
      <c r="G95" s="194" t="s">
        <v>492</v>
      </c>
      <c r="H95" s="527">
        <v>23400</v>
      </c>
      <c r="I95" s="527"/>
      <c r="J95" s="527">
        <f>H95+I95</f>
        <v>23400</v>
      </c>
      <c r="K95" s="132"/>
      <c r="L95" s="528"/>
      <c r="M95" s="528"/>
      <c r="N95" s="528"/>
      <c r="O95" s="132"/>
      <c r="P95" s="137">
        <f t="shared" si="36"/>
        <v>23400</v>
      </c>
      <c r="Q95" s="137">
        <f t="shared" si="37"/>
        <v>0</v>
      </c>
      <c r="R95" s="137">
        <f t="shared" si="37"/>
        <v>23400</v>
      </c>
    </row>
    <row r="96" spans="2:18" x14ac:dyDescent="0.2">
      <c r="B96" s="171">
        <f t="shared" si="40"/>
        <v>4</v>
      </c>
      <c r="C96" s="130"/>
      <c r="D96" s="131"/>
      <c r="E96" s="131" t="s">
        <v>669</v>
      </c>
      <c r="F96" s="131" t="s">
        <v>216</v>
      </c>
      <c r="G96" s="194" t="s">
        <v>493</v>
      </c>
      <c r="H96" s="527">
        <v>12000</v>
      </c>
      <c r="I96" s="527"/>
      <c r="J96" s="527">
        <f t="shared" ref="J96:J97" si="41">H96+I96</f>
        <v>12000</v>
      </c>
      <c r="K96" s="132"/>
      <c r="L96" s="528"/>
      <c r="M96" s="528"/>
      <c r="N96" s="528"/>
      <c r="O96" s="132"/>
      <c r="P96" s="137">
        <f t="shared" si="36"/>
        <v>12000</v>
      </c>
      <c r="Q96" s="137">
        <f t="shared" si="37"/>
        <v>0</v>
      </c>
      <c r="R96" s="137">
        <f t="shared" si="37"/>
        <v>12000</v>
      </c>
    </row>
    <row r="97" spans="2:18" x14ac:dyDescent="0.2">
      <c r="B97" s="171">
        <f t="shared" si="40"/>
        <v>5</v>
      </c>
      <c r="C97" s="130"/>
      <c r="D97" s="131"/>
      <c r="E97" s="131" t="s">
        <v>669</v>
      </c>
      <c r="F97" s="131" t="s">
        <v>216</v>
      </c>
      <c r="G97" s="194" t="s">
        <v>494</v>
      </c>
      <c r="H97" s="527">
        <f>12000+46000</f>
        <v>58000</v>
      </c>
      <c r="I97" s="527"/>
      <c r="J97" s="527">
        <f t="shared" si="41"/>
        <v>58000</v>
      </c>
      <c r="K97" s="132"/>
      <c r="L97" s="527"/>
      <c r="M97" s="527"/>
      <c r="N97" s="527"/>
      <c r="O97" s="132"/>
      <c r="P97" s="137">
        <f t="shared" si="36"/>
        <v>58000</v>
      </c>
      <c r="Q97" s="137">
        <f t="shared" si="37"/>
        <v>0</v>
      </c>
      <c r="R97" s="137">
        <f t="shared" si="37"/>
        <v>58000</v>
      </c>
    </row>
    <row r="98" spans="2:18" ht="15.75" x14ac:dyDescent="0.25">
      <c r="B98" s="171">
        <f t="shared" si="40"/>
        <v>6</v>
      </c>
      <c r="C98" s="21">
        <v>2</v>
      </c>
      <c r="D98" s="126" t="s">
        <v>175</v>
      </c>
      <c r="E98" s="22"/>
      <c r="F98" s="22"/>
      <c r="G98" s="195"/>
      <c r="H98" s="411">
        <f>H99+H101+H105</f>
        <v>98110</v>
      </c>
      <c r="I98" s="411">
        <f t="shared" ref="I98" si="42">I99+I101+I105</f>
        <v>0</v>
      </c>
      <c r="J98" s="411">
        <f>H98+I98</f>
        <v>98110</v>
      </c>
      <c r="K98" s="112"/>
      <c r="L98" s="379">
        <f>L99+L101+L105</f>
        <v>297190</v>
      </c>
      <c r="M98" s="379">
        <f t="shared" ref="M98" si="43">M99+M101+M105</f>
        <v>0</v>
      </c>
      <c r="N98" s="379">
        <f>L98+M98</f>
        <v>297190</v>
      </c>
      <c r="O98" s="112"/>
      <c r="P98" s="374">
        <f t="shared" si="36"/>
        <v>395300</v>
      </c>
      <c r="Q98" s="374">
        <f t="shared" si="37"/>
        <v>0</v>
      </c>
      <c r="R98" s="374">
        <f t="shared" si="37"/>
        <v>395300</v>
      </c>
    </row>
    <row r="99" spans="2:18" x14ac:dyDescent="0.2">
      <c r="B99" s="171">
        <f t="shared" si="40"/>
        <v>7</v>
      </c>
      <c r="C99" s="76"/>
      <c r="D99" s="198" t="s">
        <v>4</v>
      </c>
      <c r="E99" s="204" t="s">
        <v>130</v>
      </c>
      <c r="F99" s="205"/>
      <c r="G99" s="206"/>
      <c r="H99" s="377">
        <f>H100</f>
        <v>2450</v>
      </c>
      <c r="I99" s="377">
        <f t="shared" ref="I99" si="44">I100</f>
        <v>0</v>
      </c>
      <c r="J99" s="377">
        <f>H99+I99</f>
        <v>2450</v>
      </c>
      <c r="K99" s="20"/>
      <c r="L99" s="380"/>
      <c r="M99" s="380"/>
      <c r="N99" s="380">
        <f>L99+M99</f>
        <v>0</v>
      </c>
      <c r="O99" s="20"/>
      <c r="P99" s="208">
        <f t="shared" si="36"/>
        <v>2450</v>
      </c>
      <c r="Q99" s="208">
        <f t="shared" si="37"/>
        <v>0</v>
      </c>
      <c r="R99" s="208">
        <f t="shared" si="37"/>
        <v>2450</v>
      </c>
    </row>
    <row r="100" spans="2:18" x14ac:dyDescent="0.2">
      <c r="B100" s="171">
        <f t="shared" si="40"/>
        <v>8</v>
      </c>
      <c r="C100" s="130"/>
      <c r="D100" s="130"/>
      <c r="E100" s="131" t="s">
        <v>669</v>
      </c>
      <c r="F100" s="134">
        <v>637</v>
      </c>
      <c r="G100" s="194" t="s">
        <v>712</v>
      </c>
      <c r="H100" s="527">
        <v>2450</v>
      </c>
      <c r="I100" s="527"/>
      <c r="J100" s="527">
        <f>H100+I100</f>
        <v>2450</v>
      </c>
      <c r="K100" s="132"/>
      <c r="L100" s="527"/>
      <c r="M100" s="527"/>
      <c r="N100" s="527">
        <f>L100+M100</f>
        <v>0</v>
      </c>
      <c r="O100" s="132"/>
      <c r="P100" s="529">
        <f t="shared" si="36"/>
        <v>2450</v>
      </c>
      <c r="Q100" s="529">
        <f t="shared" si="37"/>
        <v>0</v>
      </c>
      <c r="R100" s="529">
        <f t="shared" si="37"/>
        <v>2450</v>
      </c>
    </row>
    <row r="101" spans="2:18" x14ac:dyDescent="0.2">
      <c r="B101" s="171">
        <f t="shared" si="40"/>
        <v>9</v>
      </c>
      <c r="C101" s="76"/>
      <c r="D101" s="198" t="s">
        <v>5</v>
      </c>
      <c r="E101" s="204" t="s">
        <v>131</v>
      </c>
      <c r="F101" s="205"/>
      <c r="G101" s="206"/>
      <c r="H101" s="377">
        <f>SUM(H102:H103)</f>
        <v>22010</v>
      </c>
      <c r="I101" s="377">
        <f t="shared" ref="I101" si="45">SUM(I102:I103)</f>
        <v>0</v>
      </c>
      <c r="J101" s="377">
        <f>H101+I101</f>
        <v>22010</v>
      </c>
      <c r="K101" s="20"/>
      <c r="L101" s="403">
        <f>L104</f>
        <v>100</v>
      </c>
      <c r="M101" s="403">
        <f t="shared" ref="M101" si="46">M104</f>
        <v>0</v>
      </c>
      <c r="N101" s="403">
        <f>L101+M101</f>
        <v>100</v>
      </c>
      <c r="O101" s="20"/>
      <c r="P101" s="208">
        <f t="shared" si="36"/>
        <v>22110</v>
      </c>
      <c r="Q101" s="208">
        <f t="shared" si="37"/>
        <v>0</v>
      </c>
      <c r="R101" s="208">
        <f t="shared" si="37"/>
        <v>22110</v>
      </c>
    </row>
    <row r="102" spans="2:18" x14ac:dyDescent="0.2">
      <c r="B102" s="171">
        <f t="shared" si="40"/>
        <v>10</v>
      </c>
      <c r="C102" s="130"/>
      <c r="D102" s="130"/>
      <c r="E102" s="131" t="s">
        <v>669</v>
      </c>
      <c r="F102" s="134">
        <v>637</v>
      </c>
      <c r="G102" s="194" t="s">
        <v>713</v>
      </c>
      <c r="H102" s="527">
        <v>12600</v>
      </c>
      <c r="I102" s="527"/>
      <c r="J102" s="527">
        <f>H102+I102</f>
        <v>12600</v>
      </c>
      <c r="K102" s="132"/>
      <c r="L102" s="527"/>
      <c r="M102" s="527"/>
      <c r="N102" s="527">
        <f>L102+M102</f>
        <v>0</v>
      </c>
      <c r="O102" s="132"/>
      <c r="P102" s="529">
        <f t="shared" si="36"/>
        <v>12600</v>
      </c>
      <c r="Q102" s="529">
        <f t="shared" si="37"/>
        <v>0</v>
      </c>
      <c r="R102" s="529">
        <f t="shared" si="37"/>
        <v>12600</v>
      </c>
    </row>
    <row r="103" spans="2:18" x14ac:dyDescent="0.2">
      <c r="B103" s="171">
        <f t="shared" si="40"/>
        <v>11</v>
      </c>
      <c r="C103" s="130"/>
      <c r="D103" s="130"/>
      <c r="E103" s="131" t="s">
        <v>669</v>
      </c>
      <c r="F103" s="134">
        <v>636</v>
      </c>
      <c r="G103" s="194" t="s">
        <v>262</v>
      </c>
      <c r="H103" s="382">
        <v>9410</v>
      </c>
      <c r="I103" s="382"/>
      <c r="J103" s="527">
        <f t="shared" ref="J103:J104" si="47">H103+I103</f>
        <v>9410</v>
      </c>
      <c r="K103" s="132"/>
      <c r="L103" s="527"/>
      <c r="M103" s="527"/>
      <c r="N103" s="527">
        <f t="shared" ref="N103:N104" si="48">L103+M103</f>
        <v>0</v>
      </c>
      <c r="O103" s="132"/>
      <c r="P103" s="529">
        <f t="shared" si="36"/>
        <v>9410</v>
      </c>
      <c r="Q103" s="529">
        <f t="shared" si="37"/>
        <v>0</v>
      </c>
      <c r="R103" s="529">
        <f t="shared" si="37"/>
        <v>9410</v>
      </c>
    </row>
    <row r="104" spans="2:18" x14ac:dyDescent="0.2">
      <c r="B104" s="171">
        <f t="shared" si="40"/>
        <v>12</v>
      </c>
      <c r="C104" s="130"/>
      <c r="D104" s="130"/>
      <c r="E104" s="131" t="s">
        <v>669</v>
      </c>
      <c r="F104" s="525">
        <v>712</v>
      </c>
      <c r="G104" s="194" t="s">
        <v>533</v>
      </c>
      <c r="H104" s="382"/>
      <c r="I104" s="382"/>
      <c r="J104" s="527">
        <f t="shared" si="47"/>
        <v>0</v>
      </c>
      <c r="K104" s="132"/>
      <c r="L104" s="527">
        <v>100</v>
      </c>
      <c r="M104" s="527"/>
      <c r="N104" s="527">
        <f t="shared" si="48"/>
        <v>100</v>
      </c>
      <c r="O104" s="132"/>
      <c r="P104" s="529">
        <f t="shared" si="36"/>
        <v>100</v>
      </c>
      <c r="Q104" s="529">
        <f t="shared" si="37"/>
        <v>0</v>
      </c>
      <c r="R104" s="529">
        <f t="shared" si="37"/>
        <v>100</v>
      </c>
    </row>
    <row r="105" spans="2:18" x14ac:dyDescent="0.2">
      <c r="B105" s="171">
        <f t="shared" si="40"/>
        <v>13</v>
      </c>
      <c r="C105" s="76"/>
      <c r="D105" s="198" t="s">
        <v>6</v>
      </c>
      <c r="E105" s="204" t="s">
        <v>132</v>
      </c>
      <c r="F105" s="205"/>
      <c r="G105" s="206"/>
      <c r="H105" s="386">
        <f>H106+H107</f>
        <v>73650</v>
      </c>
      <c r="I105" s="386">
        <f t="shared" ref="I105" si="49">I106+I107</f>
        <v>0</v>
      </c>
      <c r="J105" s="386">
        <f>H105+I105</f>
        <v>73650</v>
      </c>
      <c r="K105" s="20"/>
      <c r="L105" s="463">
        <f>L108</f>
        <v>297090</v>
      </c>
      <c r="M105" s="463">
        <f t="shared" ref="M105" si="50">M108</f>
        <v>0</v>
      </c>
      <c r="N105" s="463">
        <f>L105+M105</f>
        <v>297090</v>
      </c>
      <c r="O105" s="20"/>
      <c r="P105" s="209">
        <f t="shared" si="36"/>
        <v>370740</v>
      </c>
      <c r="Q105" s="209">
        <f t="shared" si="37"/>
        <v>0</v>
      </c>
      <c r="R105" s="209">
        <f t="shared" si="37"/>
        <v>370740</v>
      </c>
    </row>
    <row r="106" spans="2:18" x14ac:dyDescent="0.2">
      <c r="B106" s="171">
        <f t="shared" si="40"/>
        <v>14</v>
      </c>
      <c r="C106" s="130"/>
      <c r="D106" s="130"/>
      <c r="E106" s="131" t="s">
        <v>669</v>
      </c>
      <c r="F106" s="157">
        <v>637</v>
      </c>
      <c r="G106" s="194" t="s">
        <v>491</v>
      </c>
      <c r="H106" s="527">
        <v>10000</v>
      </c>
      <c r="I106" s="527"/>
      <c r="J106" s="527">
        <f>H106+I106</f>
        <v>10000</v>
      </c>
      <c r="K106" s="132"/>
      <c r="L106" s="527"/>
      <c r="M106" s="527"/>
      <c r="N106" s="527">
        <f>L106+M106</f>
        <v>0</v>
      </c>
      <c r="O106" s="132"/>
      <c r="P106" s="529">
        <f t="shared" si="36"/>
        <v>10000</v>
      </c>
      <c r="Q106" s="529">
        <f t="shared" si="37"/>
        <v>0</v>
      </c>
      <c r="R106" s="529">
        <f t="shared" si="37"/>
        <v>10000</v>
      </c>
    </row>
    <row r="107" spans="2:18" x14ac:dyDescent="0.2">
      <c r="B107" s="171">
        <f t="shared" si="40"/>
        <v>15</v>
      </c>
      <c r="C107" s="135"/>
      <c r="D107" s="135"/>
      <c r="E107" s="131" t="s">
        <v>669</v>
      </c>
      <c r="F107" s="158">
        <v>636</v>
      </c>
      <c r="G107" s="202" t="s">
        <v>262</v>
      </c>
      <c r="H107" s="527">
        <f>71700-8050</f>
        <v>63650</v>
      </c>
      <c r="I107" s="527"/>
      <c r="J107" s="527">
        <f t="shared" ref="J107:J108" si="51">H107+I107</f>
        <v>63650</v>
      </c>
      <c r="K107" s="132"/>
      <c r="L107" s="527"/>
      <c r="M107" s="527"/>
      <c r="N107" s="527">
        <f>L107+M107</f>
        <v>0</v>
      </c>
      <c r="O107" s="132"/>
      <c r="P107" s="529">
        <f t="shared" si="36"/>
        <v>63650</v>
      </c>
      <c r="Q107" s="529">
        <f t="shared" si="37"/>
        <v>0</v>
      </c>
      <c r="R107" s="529">
        <f t="shared" si="37"/>
        <v>63650</v>
      </c>
    </row>
    <row r="108" spans="2:18" x14ac:dyDescent="0.2">
      <c r="B108" s="171">
        <f t="shared" si="40"/>
        <v>16</v>
      </c>
      <c r="C108" s="130"/>
      <c r="D108" s="159"/>
      <c r="E108" s="131" t="s">
        <v>669</v>
      </c>
      <c r="F108" s="367">
        <v>711</v>
      </c>
      <c r="G108" s="526" t="s">
        <v>434</v>
      </c>
      <c r="H108" s="527"/>
      <c r="I108" s="527"/>
      <c r="J108" s="527">
        <f t="shared" si="51"/>
        <v>0</v>
      </c>
      <c r="K108" s="132"/>
      <c r="L108" s="382">
        <f>377090-60000-20000</f>
        <v>297090</v>
      </c>
      <c r="M108" s="382"/>
      <c r="N108" s="527">
        <f>L108+M108</f>
        <v>297090</v>
      </c>
      <c r="O108" s="132"/>
      <c r="P108" s="529">
        <f t="shared" si="36"/>
        <v>297090</v>
      </c>
      <c r="Q108" s="529">
        <f t="shared" si="37"/>
        <v>0</v>
      </c>
      <c r="R108" s="529">
        <f t="shared" si="37"/>
        <v>297090</v>
      </c>
    </row>
    <row r="109" spans="2:18" ht="15.75" x14ac:dyDescent="0.25">
      <c r="B109" s="171">
        <f t="shared" si="40"/>
        <v>17</v>
      </c>
      <c r="C109" s="23">
        <v>3</v>
      </c>
      <c r="D109" s="127" t="s">
        <v>136</v>
      </c>
      <c r="E109" s="24"/>
      <c r="F109" s="24"/>
      <c r="G109" s="193"/>
      <c r="H109" s="411">
        <f>SUM(H110:H112)</f>
        <v>9000</v>
      </c>
      <c r="I109" s="411">
        <f t="shared" ref="I109" si="52">SUM(I110:I112)</f>
        <v>0</v>
      </c>
      <c r="J109" s="411">
        <f>H109+I109</f>
        <v>9000</v>
      </c>
      <c r="K109" s="88"/>
      <c r="L109" s="379">
        <f>L110+L112</f>
        <v>0</v>
      </c>
      <c r="M109" s="379">
        <f t="shared" ref="M109" si="53">M110+M112</f>
        <v>0</v>
      </c>
      <c r="N109" s="379">
        <f>L109+M109</f>
        <v>0</v>
      </c>
      <c r="O109" s="88"/>
      <c r="P109" s="373">
        <f t="shared" si="36"/>
        <v>9000</v>
      </c>
      <c r="Q109" s="373">
        <f t="shared" ref="Q109:R119" si="54">I109+M109</f>
        <v>0</v>
      </c>
      <c r="R109" s="373">
        <f t="shared" si="54"/>
        <v>9000</v>
      </c>
    </row>
    <row r="110" spans="2:18" x14ac:dyDescent="0.2">
      <c r="B110" s="171">
        <f t="shared" si="40"/>
        <v>18</v>
      </c>
      <c r="C110" s="179"/>
      <c r="D110" s="179"/>
      <c r="E110" s="131" t="s">
        <v>669</v>
      </c>
      <c r="F110" s="180">
        <v>620</v>
      </c>
      <c r="G110" s="223" t="s">
        <v>259</v>
      </c>
      <c r="H110" s="528">
        <v>1000</v>
      </c>
      <c r="I110" s="528"/>
      <c r="J110" s="528">
        <f>H110+I110</f>
        <v>1000</v>
      </c>
      <c r="K110" s="132"/>
      <c r="L110" s="528"/>
      <c r="M110" s="528"/>
      <c r="N110" s="528"/>
      <c r="O110" s="132"/>
      <c r="P110" s="137">
        <f t="shared" si="36"/>
        <v>1000</v>
      </c>
      <c r="Q110" s="137">
        <f t="shared" si="54"/>
        <v>0</v>
      </c>
      <c r="R110" s="137">
        <f t="shared" si="54"/>
        <v>1000</v>
      </c>
    </row>
    <row r="111" spans="2:18" x14ac:dyDescent="0.2">
      <c r="B111" s="171">
        <f t="shared" si="40"/>
        <v>19</v>
      </c>
      <c r="C111" s="135"/>
      <c r="D111" s="135"/>
      <c r="E111" s="131" t="s">
        <v>669</v>
      </c>
      <c r="F111" s="525">
        <v>633</v>
      </c>
      <c r="G111" s="202" t="s">
        <v>588</v>
      </c>
      <c r="H111" s="528">
        <v>2000</v>
      </c>
      <c r="I111" s="528"/>
      <c r="J111" s="528">
        <f t="shared" ref="J111:J112" si="55">H111+I111</f>
        <v>2000</v>
      </c>
      <c r="K111" s="132"/>
      <c r="L111" s="528"/>
      <c r="M111" s="528"/>
      <c r="N111" s="528"/>
      <c r="O111" s="132"/>
      <c r="P111" s="137">
        <f t="shared" si="36"/>
        <v>2000</v>
      </c>
      <c r="Q111" s="137">
        <f t="shared" si="54"/>
        <v>0</v>
      </c>
      <c r="R111" s="137">
        <f t="shared" si="54"/>
        <v>2000</v>
      </c>
    </row>
    <row r="112" spans="2:18" x14ac:dyDescent="0.2">
      <c r="B112" s="171">
        <f t="shared" si="40"/>
        <v>20</v>
      </c>
      <c r="C112" s="525"/>
      <c r="D112" s="135"/>
      <c r="E112" s="131" t="s">
        <v>669</v>
      </c>
      <c r="F112" s="525">
        <v>637</v>
      </c>
      <c r="G112" s="202" t="s">
        <v>248</v>
      </c>
      <c r="H112" s="528">
        <v>6000</v>
      </c>
      <c r="I112" s="528"/>
      <c r="J112" s="528">
        <f t="shared" si="55"/>
        <v>6000</v>
      </c>
      <c r="K112" s="132"/>
      <c r="L112" s="528"/>
      <c r="M112" s="528"/>
      <c r="N112" s="528"/>
      <c r="O112" s="132"/>
      <c r="P112" s="137">
        <f t="shared" si="36"/>
        <v>6000</v>
      </c>
      <c r="Q112" s="137">
        <f t="shared" si="54"/>
        <v>0</v>
      </c>
      <c r="R112" s="137">
        <f t="shared" si="54"/>
        <v>6000</v>
      </c>
    </row>
    <row r="113" spans="2:18" ht="15.75" x14ac:dyDescent="0.25">
      <c r="B113" s="171">
        <f t="shared" si="40"/>
        <v>21</v>
      </c>
      <c r="C113" s="21">
        <v>4</v>
      </c>
      <c r="D113" s="126" t="s">
        <v>133</v>
      </c>
      <c r="E113" s="22"/>
      <c r="F113" s="22"/>
      <c r="G113" s="195"/>
      <c r="H113" s="413">
        <f>SUM(H114:H119)+H121</f>
        <v>254000</v>
      </c>
      <c r="I113" s="413">
        <f>SUM(I114:I119)+I121</f>
        <v>-7740</v>
      </c>
      <c r="J113" s="413">
        <f>H113+I113</f>
        <v>246260</v>
      </c>
      <c r="K113" s="245"/>
      <c r="L113" s="381">
        <f>SUM(L116:L119)</f>
        <v>136284</v>
      </c>
      <c r="M113" s="381">
        <f t="shared" ref="M113" si="56">SUM(M116:M119)</f>
        <v>0</v>
      </c>
      <c r="N113" s="381">
        <f>L113+M113</f>
        <v>136284</v>
      </c>
      <c r="O113" s="245"/>
      <c r="P113" s="374">
        <f t="shared" si="36"/>
        <v>390284</v>
      </c>
      <c r="Q113" s="374">
        <f t="shared" si="54"/>
        <v>-7740</v>
      </c>
      <c r="R113" s="374">
        <f t="shared" si="54"/>
        <v>382544</v>
      </c>
    </row>
    <row r="114" spans="2:18" x14ac:dyDescent="0.2">
      <c r="B114" s="171">
        <f t="shared" si="40"/>
        <v>22</v>
      </c>
      <c r="C114" s="130"/>
      <c r="D114" s="130"/>
      <c r="E114" s="131" t="s">
        <v>669</v>
      </c>
      <c r="F114" s="134">
        <v>635</v>
      </c>
      <c r="G114" s="194" t="s">
        <v>275</v>
      </c>
      <c r="H114" s="527">
        <v>11000</v>
      </c>
      <c r="I114" s="527"/>
      <c r="J114" s="527">
        <f>H114+I114</f>
        <v>11000</v>
      </c>
      <c r="K114" s="132"/>
      <c r="L114" s="382"/>
      <c r="M114" s="382"/>
      <c r="N114" s="382">
        <f>L114+M114</f>
        <v>0</v>
      </c>
      <c r="O114" s="132"/>
      <c r="P114" s="160">
        <f t="shared" si="36"/>
        <v>11000</v>
      </c>
      <c r="Q114" s="160">
        <f t="shared" si="54"/>
        <v>0</v>
      </c>
      <c r="R114" s="160">
        <f t="shared" si="54"/>
        <v>11000</v>
      </c>
    </row>
    <row r="115" spans="2:18" x14ac:dyDescent="0.2">
      <c r="B115" s="171">
        <f t="shared" si="40"/>
        <v>23</v>
      </c>
      <c r="C115" s="130"/>
      <c r="D115" s="130"/>
      <c r="E115" s="131" t="s">
        <v>669</v>
      </c>
      <c r="F115" s="134">
        <v>637</v>
      </c>
      <c r="G115" s="194" t="s">
        <v>703</v>
      </c>
      <c r="H115" s="527">
        <v>8000</v>
      </c>
      <c r="I115" s="398">
        <f>-8000+260</f>
        <v>-7740</v>
      </c>
      <c r="J115" s="527">
        <f t="shared" ref="J115:J120" si="57">H115+I115</f>
        <v>260</v>
      </c>
      <c r="K115" s="132"/>
      <c r="L115" s="382"/>
      <c r="M115" s="382"/>
      <c r="N115" s="382">
        <f t="shared" ref="N115:N119" si="58">L115+M115</f>
        <v>0</v>
      </c>
      <c r="O115" s="132"/>
      <c r="P115" s="160">
        <f t="shared" si="36"/>
        <v>8000</v>
      </c>
      <c r="Q115" s="160">
        <f t="shared" si="54"/>
        <v>-7740</v>
      </c>
      <c r="R115" s="160">
        <f t="shared" si="54"/>
        <v>260</v>
      </c>
    </row>
    <row r="116" spans="2:18" x14ac:dyDescent="0.2">
      <c r="B116" s="171">
        <f t="shared" si="40"/>
        <v>24</v>
      </c>
      <c r="C116" s="130"/>
      <c r="D116" s="130"/>
      <c r="E116" s="131" t="s">
        <v>669</v>
      </c>
      <c r="F116" s="134">
        <v>717</v>
      </c>
      <c r="G116" s="194" t="s">
        <v>702</v>
      </c>
      <c r="H116" s="527"/>
      <c r="I116" s="527"/>
      <c r="J116" s="527">
        <f t="shared" si="57"/>
        <v>0</v>
      </c>
      <c r="K116" s="132"/>
      <c r="L116" s="382">
        <f>20000-516-8000</f>
        <v>11484</v>
      </c>
      <c r="M116" s="382"/>
      <c r="N116" s="382">
        <f t="shared" si="58"/>
        <v>11484</v>
      </c>
      <c r="O116" s="132"/>
      <c r="P116" s="160">
        <f t="shared" si="36"/>
        <v>11484</v>
      </c>
      <c r="Q116" s="160">
        <f t="shared" si="54"/>
        <v>0</v>
      </c>
      <c r="R116" s="160">
        <f t="shared" si="54"/>
        <v>11484</v>
      </c>
    </row>
    <row r="117" spans="2:18" x14ac:dyDescent="0.2">
      <c r="B117" s="171">
        <f t="shared" si="40"/>
        <v>25</v>
      </c>
      <c r="C117" s="130"/>
      <c r="D117" s="130"/>
      <c r="E117" s="131" t="s">
        <v>669</v>
      </c>
      <c r="F117" s="134">
        <v>717</v>
      </c>
      <c r="G117" s="194" t="s">
        <v>822</v>
      </c>
      <c r="H117" s="527"/>
      <c r="I117" s="527"/>
      <c r="J117" s="527">
        <f t="shared" si="57"/>
        <v>0</v>
      </c>
      <c r="K117" s="132"/>
      <c r="L117" s="382">
        <v>4800</v>
      </c>
      <c r="M117" s="382"/>
      <c r="N117" s="382">
        <f t="shared" si="58"/>
        <v>4800</v>
      </c>
      <c r="O117" s="132"/>
      <c r="P117" s="160">
        <f t="shared" si="36"/>
        <v>4800</v>
      </c>
      <c r="Q117" s="160">
        <f t="shared" si="54"/>
        <v>0</v>
      </c>
      <c r="R117" s="160">
        <f t="shared" si="54"/>
        <v>4800</v>
      </c>
    </row>
    <row r="118" spans="2:18" x14ac:dyDescent="0.2">
      <c r="B118" s="171">
        <f t="shared" si="40"/>
        <v>26</v>
      </c>
      <c r="C118" s="130"/>
      <c r="D118" s="130"/>
      <c r="E118" s="131" t="s">
        <v>669</v>
      </c>
      <c r="F118" s="134">
        <v>716</v>
      </c>
      <c r="G118" s="194" t="s">
        <v>704</v>
      </c>
      <c r="H118" s="527"/>
      <c r="I118" s="527"/>
      <c r="J118" s="527">
        <f t="shared" si="57"/>
        <v>0</v>
      </c>
      <c r="K118" s="132"/>
      <c r="L118" s="382">
        <v>6000</v>
      </c>
      <c r="M118" s="382"/>
      <c r="N118" s="382">
        <f t="shared" si="58"/>
        <v>6000</v>
      </c>
      <c r="O118" s="132"/>
      <c r="P118" s="160">
        <f t="shared" si="36"/>
        <v>6000</v>
      </c>
      <c r="Q118" s="160">
        <f t="shared" si="54"/>
        <v>0</v>
      </c>
      <c r="R118" s="160">
        <f t="shared" si="54"/>
        <v>6000</v>
      </c>
    </row>
    <row r="119" spans="2:18" x14ac:dyDescent="0.2">
      <c r="B119" s="171">
        <f t="shared" si="40"/>
        <v>27</v>
      </c>
      <c r="C119" s="130"/>
      <c r="D119" s="130"/>
      <c r="E119" s="131" t="s">
        <v>669</v>
      </c>
      <c r="F119" s="134">
        <v>717</v>
      </c>
      <c r="G119" s="194" t="s">
        <v>699</v>
      </c>
      <c r="H119" s="527"/>
      <c r="I119" s="527"/>
      <c r="J119" s="527">
        <f t="shared" si="57"/>
        <v>0</v>
      </c>
      <c r="K119" s="132"/>
      <c r="L119" s="382">
        <f>80000+6000+28000</f>
        <v>114000</v>
      </c>
      <c r="M119" s="382"/>
      <c r="N119" s="382">
        <f t="shared" si="58"/>
        <v>114000</v>
      </c>
      <c r="O119" s="132"/>
      <c r="P119" s="160">
        <f t="shared" si="36"/>
        <v>114000</v>
      </c>
      <c r="Q119" s="160">
        <f t="shared" si="54"/>
        <v>0</v>
      </c>
      <c r="R119" s="160">
        <f t="shared" si="54"/>
        <v>114000</v>
      </c>
    </row>
    <row r="120" spans="2:18" x14ac:dyDescent="0.2">
      <c r="B120" s="171">
        <f t="shared" si="40"/>
        <v>28</v>
      </c>
      <c r="C120" s="130"/>
      <c r="D120" s="130"/>
      <c r="E120" s="131"/>
      <c r="F120" s="134"/>
      <c r="G120" s="194"/>
      <c r="H120" s="527"/>
      <c r="I120" s="527"/>
      <c r="J120" s="527">
        <f t="shared" si="57"/>
        <v>0</v>
      </c>
      <c r="K120" s="132"/>
      <c r="L120" s="382"/>
      <c r="M120" s="382"/>
      <c r="N120" s="382"/>
      <c r="O120" s="132"/>
      <c r="P120" s="160"/>
      <c r="Q120" s="160"/>
      <c r="R120" s="160"/>
    </row>
    <row r="121" spans="2:18" x14ac:dyDescent="0.2">
      <c r="B121" s="171">
        <f t="shared" si="40"/>
        <v>29</v>
      </c>
      <c r="C121" s="130"/>
      <c r="D121" s="130"/>
      <c r="E121" s="156" t="s">
        <v>258</v>
      </c>
      <c r="F121" s="156"/>
      <c r="G121" s="224" t="s">
        <v>442</v>
      </c>
      <c r="H121" s="387">
        <f>H122+H123+H124+H131</f>
        <v>235000</v>
      </c>
      <c r="I121" s="387">
        <f t="shared" ref="I121" si="59">I122+I123+I124+I131</f>
        <v>0</v>
      </c>
      <c r="J121" s="387">
        <f>H121+I121</f>
        <v>235000</v>
      </c>
      <c r="K121" s="132"/>
      <c r="L121" s="527">
        <v>0</v>
      </c>
      <c r="M121" s="527">
        <v>0</v>
      </c>
      <c r="N121" s="382"/>
      <c r="O121" s="132"/>
      <c r="P121" s="150">
        <f t="shared" ref="P121:P148" si="60">H121+L121</f>
        <v>235000</v>
      </c>
      <c r="Q121" s="150">
        <f t="shared" ref="Q121:R135" si="61">I121+M121</f>
        <v>0</v>
      </c>
      <c r="R121" s="150">
        <f t="shared" si="61"/>
        <v>235000</v>
      </c>
    </row>
    <row r="122" spans="2:18" x14ac:dyDescent="0.2">
      <c r="B122" s="171">
        <f t="shared" si="40"/>
        <v>30</v>
      </c>
      <c r="C122" s="143"/>
      <c r="D122" s="143"/>
      <c r="E122" s="134"/>
      <c r="F122" s="149">
        <v>610</v>
      </c>
      <c r="G122" s="199" t="s">
        <v>257</v>
      </c>
      <c r="H122" s="388">
        <v>63900</v>
      </c>
      <c r="I122" s="388"/>
      <c r="J122" s="388">
        <f>H122+I122</f>
        <v>63900</v>
      </c>
      <c r="K122" s="145"/>
      <c r="L122" s="388"/>
      <c r="M122" s="388"/>
      <c r="N122" s="382"/>
      <c r="O122" s="145"/>
      <c r="P122" s="150">
        <f t="shared" si="60"/>
        <v>63900</v>
      </c>
      <c r="Q122" s="150">
        <f t="shared" si="61"/>
        <v>0</v>
      </c>
      <c r="R122" s="150">
        <f t="shared" si="61"/>
        <v>63900</v>
      </c>
    </row>
    <row r="123" spans="2:18" x14ac:dyDescent="0.2">
      <c r="B123" s="171">
        <f t="shared" si="40"/>
        <v>31</v>
      </c>
      <c r="C123" s="130"/>
      <c r="D123" s="130"/>
      <c r="E123" s="134"/>
      <c r="F123" s="149">
        <v>620</v>
      </c>
      <c r="G123" s="199" t="s">
        <v>259</v>
      </c>
      <c r="H123" s="388">
        <v>24570</v>
      </c>
      <c r="I123" s="388"/>
      <c r="J123" s="388">
        <f>H123+I123</f>
        <v>24570</v>
      </c>
      <c r="K123" s="132"/>
      <c r="L123" s="527"/>
      <c r="M123" s="527"/>
      <c r="N123" s="382"/>
      <c r="O123" s="132"/>
      <c r="P123" s="150">
        <f t="shared" si="60"/>
        <v>24570</v>
      </c>
      <c r="Q123" s="150">
        <f t="shared" si="61"/>
        <v>0</v>
      </c>
      <c r="R123" s="150">
        <f t="shared" si="61"/>
        <v>24570</v>
      </c>
    </row>
    <row r="124" spans="2:18" x14ac:dyDescent="0.2">
      <c r="B124" s="171">
        <f t="shared" si="40"/>
        <v>32</v>
      </c>
      <c r="C124" s="130"/>
      <c r="D124" s="130"/>
      <c r="E124" s="134"/>
      <c r="F124" s="149">
        <v>630</v>
      </c>
      <c r="G124" s="199" t="s">
        <v>249</v>
      </c>
      <c r="H124" s="388">
        <f>SUM(H125:H130)</f>
        <v>146330</v>
      </c>
      <c r="I124" s="388">
        <f t="shared" ref="I124" si="62">SUM(I125:I130)</f>
        <v>0</v>
      </c>
      <c r="J124" s="388">
        <f>H124+I124</f>
        <v>146330</v>
      </c>
      <c r="K124" s="132"/>
      <c r="L124" s="527"/>
      <c r="M124" s="527"/>
      <c r="N124" s="382"/>
      <c r="O124" s="132"/>
      <c r="P124" s="529">
        <f t="shared" si="60"/>
        <v>146330</v>
      </c>
      <c r="Q124" s="529">
        <f t="shared" si="61"/>
        <v>0</v>
      </c>
      <c r="R124" s="529">
        <f t="shared" si="61"/>
        <v>146330</v>
      </c>
    </row>
    <row r="125" spans="2:18" x14ac:dyDescent="0.2">
      <c r="B125" s="171">
        <f t="shared" si="40"/>
        <v>33</v>
      </c>
      <c r="C125" s="130"/>
      <c r="D125" s="130"/>
      <c r="E125" s="134"/>
      <c r="F125" s="134">
        <v>632</v>
      </c>
      <c r="G125" s="194" t="s">
        <v>246</v>
      </c>
      <c r="H125" s="527">
        <v>90000</v>
      </c>
      <c r="I125" s="527"/>
      <c r="J125" s="527">
        <f>H125+I125</f>
        <v>90000</v>
      </c>
      <c r="K125" s="132"/>
      <c r="L125" s="527"/>
      <c r="M125" s="527"/>
      <c r="N125" s="382"/>
      <c r="O125" s="132"/>
      <c r="P125" s="529">
        <f t="shared" si="60"/>
        <v>90000</v>
      </c>
      <c r="Q125" s="529">
        <f t="shared" si="61"/>
        <v>0</v>
      </c>
      <c r="R125" s="529">
        <f t="shared" si="61"/>
        <v>90000</v>
      </c>
    </row>
    <row r="126" spans="2:18" x14ac:dyDescent="0.2">
      <c r="B126" s="171">
        <f t="shared" si="40"/>
        <v>34</v>
      </c>
      <c r="C126" s="130"/>
      <c r="D126" s="130"/>
      <c r="E126" s="134"/>
      <c r="F126" s="134">
        <v>633</v>
      </c>
      <c r="G126" s="194" t="s">
        <v>247</v>
      </c>
      <c r="H126" s="527">
        <v>5000</v>
      </c>
      <c r="I126" s="527"/>
      <c r="J126" s="527">
        <f t="shared" ref="J126:J131" si="63">H126+I126</f>
        <v>5000</v>
      </c>
      <c r="K126" s="132"/>
      <c r="L126" s="527"/>
      <c r="M126" s="527"/>
      <c r="N126" s="382"/>
      <c r="O126" s="132"/>
      <c r="P126" s="529">
        <f t="shared" si="60"/>
        <v>5000</v>
      </c>
      <c r="Q126" s="529">
        <f t="shared" si="61"/>
        <v>0</v>
      </c>
      <c r="R126" s="529">
        <f t="shared" si="61"/>
        <v>5000</v>
      </c>
    </row>
    <row r="127" spans="2:18" x14ac:dyDescent="0.2">
      <c r="B127" s="171">
        <f t="shared" si="40"/>
        <v>35</v>
      </c>
      <c r="C127" s="130"/>
      <c r="D127" s="130"/>
      <c r="E127" s="134"/>
      <c r="F127" s="134">
        <v>634</v>
      </c>
      <c r="G127" s="194" t="s">
        <v>260</v>
      </c>
      <c r="H127" s="527">
        <v>4200</v>
      </c>
      <c r="I127" s="527"/>
      <c r="J127" s="527">
        <f t="shared" si="63"/>
        <v>4200</v>
      </c>
      <c r="K127" s="132"/>
      <c r="L127" s="527"/>
      <c r="M127" s="527"/>
      <c r="N127" s="382"/>
      <c r="O127" s="132"/>
      <c r="P127" s="529">
        <f t="shared" si="60"/>
        <v>4200</v>
      </c>
      <c r="Q127" s="529">
        <f t="shared" si="61"/>
        <v>0</v>
      </c>
      <c r="R127" s="529">
        <f t="shared" si="61"/>
        <v>4200</v>
      </c>
    </row>
    <row r="128" spans="2:18" x14ac:dyDescent="0.2">
      <c r="B128" s="171">
        <f t="shared" si="40"/>
        <v>36</v>
      </c>
      <c r="C128" s="130"/>
      <c r="D128" s="130"/>
      <c r="E128" s="134"/>
      <c r="F128" s="134">
        <v>636</v>
      </c>
      <c r="G128" s="194" t="s">
        <v>346</v>
      </c>
      <c r="H128" s="527">
        <v>50</v>
      </c>
      <c r="I128" s="527"/>
      <c r="J128" s="527">
        <f t="shared" si="63"/>
        <v>50</v>
      </c>
      <c r="K128" s="132"/>
      <c r="L128" s="527"/>
      <c r="M128" s="527"/>
      <c r="N128" s="382"/>
      <c r="O128" s="132"/>
      <c r="P128" s="529">
        <f t="shared" si="60"/>
        <v>50</v>
      </c>
      <c r="Q128" s="529">
        <f t="shared" si="61"/>
        <v>0</v>
      </c>
      <c r="R128" s="529">
        <f t="shared" si="61"/>
        <v>50</v>
      </c>
    </row>
    <row r="129" spans="2:18" x14ac:dyDescent="0.2">
      <c r="B129" s="171">
        <f t="shared" si="40"/>
        <v>37</v>
      </c>
      <c r="C129" s="130"/>
      <c r="D129" s="130"/>
      <c r="E129" s="134"/>
      <c r="F129" s="134">
        <v>635</v>
      </c>
      <c r="G129" s="194" t="s">
        <v>261</v>
      </c>
      <c r="H129" s="527">
        <v>33000</v>
      </c>
      <c r="I129" s="527"/>
      <c r="J129" s="527">
        <f t="shared" si="63"/>
        <v>33000</v>
      </c>
      <c r="K129" s="132"/>
      <c r="L129" s="527"/>
      <c r="M129" s="527"/>
      <c r="N129" s="382"/>
      <c r="O129" s="132"/>
      <c r="P129" s="529">
        <f t="shared" si="60"/>
        <v>33000</v>
      </c>
      <c r="Q129" s="529">
        <f t="shared" si="61"/>
        <v>0</v>
      </c>
      <c r="R129" s="529">
        <f t="shared" si="61"/>
        <v>33000</v>
      </c>
    </row>
    <row r="130" spans="2:18" x14ac:dyDescent="0.2">
      <c r="B130" s="171">
        <f t="shared" si="40"/>
        <v>38</v>
      </c>
      <c r="C130" s="130"/>
      <c r="D130" s="130"/>
      <c r="E130" s="134"/>
      <c r="F130" s="134">
        <v>637</v>
      </c>
      <c r="G130" s="194" t="s">
        <v>248</v>
      </c>
      <c r="H130" s="527">
        <v>14080</v>
      </c>
      <c r="I130" s="527"/>
      <c r="J130" s="527">
        <f t="shared" si="63"/>
        <v>14080</v>
      </c>
      <c r="K130" s="132"/>
      <c r="L130" s="527"/>
      <c r="M130" s="527"/>
      <c r="N130" s="382"/>
      <c r="O130" s="132"/>
      <c r="P130" s="529">
        <f t="shared" si="60"/>
        <v>14080</v>
      </c>
      <c r="Q130" s="529">
        <f t="shared" si="61"/>
        <v>0</v>
      </c>
      <c r="R130" s="529">
        <f t="shared" si="61"/>
        <v>14080</v>
      </c>
    </row>
    <row r="131" spans="2:18" x14ac:dyDescent="0.2">
      <c r="B131" s="171">
        <f t="shared" si="40"/>
        <v>39</v>
      </c>
      <c r="C131" s="130"/>
      <c r="D131" s="159"/>
      <c r="E131" s="134"/>
      <c r="F131" s="154">
        <v>640</v>
      </c>
      <c r="G131" s="199" t="s">
        <v>267</v>
      </c>
      <c r="H131" s="388">
        <v>200</v>
      </c>
      <c r="I131" s="388"/>
      <c r="J131" s="388">
        <f t="shared" si="63"/>
        <v>200</v>
      </c>
      <c r="K131" s="132"/>
      <c r="L131" s="382"/>
      <c r="M131" s="382"/>
      <c r="N131" s="382"/>
      <c r="O131" s="132"/>
      <c r="P131" s="150">
        <f t="shared" si="60"/>
        <v>200</v>
      </c>
      <c r="Q131" s="150">
        <f t="shared" si="61"/>
        <v>0</v>
      </c>
      <c r="R131" s="150">
        <f t="shared" si="61"/>
        <v>200</v>
      </c>
    </row>
    <row r="132" spans="2:18" ht="15.75" x14ac:dyDescent="0.25">
      <c r="B132" s="171">
        <f t="shared" si="40"/>
        <v>40</v>
      </c>
      <c r="C132" s="23">
        <v>5</v>
      </c>
      <c r="D132" s="127" t="s">
        <v>207</v>
      </c>
      <c r="E132" s="24"/>
      <c r="F132" s="24"/>
      <c r="G132" s="193"/>
      <c r="H132" s="411">
        <f>H133+H134+H135+H140+H141</f>
        <v>2967035</v>
      </c>
      <c r="I132" s="411">
        <f t="shared" ref="I132" si="64">I133+I134+I135+I140+I141</f>
        <v>0</v>
      </c>
      <c r="J132" s="411">
        <f>H132+I132</f>
        <v>2967035</v>
      </c>
      <c r="K132" s="88"/>
      <c r="L132" s="379">
        <v>0</v>
      </c>
      <c r="M132" s="379">
        <v>0</v>
      </c>
      <c r="N132" s="379">
        <f>L132+M132</f>
        <v>0</v>
      </c>
      <c r="O132" s="88"/>
      <c r="P132" s="373">
        <f t="shared" si="60"/>
        <v>2967035</v>
      </c>
      <c r="Q132" s="373">
        <f t="shared" si="61"/>
        <v>0</v>
      </c>
      <c r="R132" s="373">
        <f t="shared" si="61"/>
        <v>2967035</v>
      </c>
    </row>
    <row r="133" spans="2:18" x14ac:dyDescent="0.2">
      <c r="B133" s="171">
        <f t="shared" si="40"/>
        <v>41</v>
      </c>
      <c r="C133" s="135"/>
      <c r="D133" s="135"/>
      <c r="E133" s="131" t="s">
        <v>669</v>
      </c>
      <c r="F133" s="149">
        <v>610</v>
      </c>
      <c r="G133" s="199" t="s">
        <v>257</v>
      </c>
      <c r="H133" s="388">
        <v>1550000</v>
      </c>
      <c r="I133" s="388"/>
      <c r="J133" s="388">
        <f>H133+I133</f>
        <v>1550000</v>
      </c>
      <c r="K133" s="132"/>
      <c r="L133" s="527"/>
      <c r="M133" s="527"/>
      <c r="N133" s="527"/>
      <c r="O133" s="132"/>
      <c r="P133" s="150">
        <f t="shared" si="60"/>
        <v>1550000</v>
      </c>
      <c r="Q133" s="150">
        <f t="shared" si="61"/>
        <v>0</v>
      </c>
      <c r="R133" s="150">
        <f t="shared" si="61"/>
        <v>1550000</v>
      </c>
    </row>
    <row r="134" spans="2:18" x14ac:dyDescent="0.2">
      <c r="B134" s="171">
        <f t="shared" si="40"/>
        <v>42</v>
      </c>
      <c r="C134" s="130"/>
      <c r="D134" s="130"/>
      <c r="E134" s="131" t="s">
        <v>669</v>
      </c>
      <c r="F134" s="149">
        <v>620</v>
      </c>
      <c r="G134" s="199" t="s">
        <v>259</v>
      </c>
      <c r="H134" s="388">
        <v>580000</v>
      </c>
      <c r="I134" s="388"/>
      <c r="J134" s="388">
        <f>H134+I134</f>
        <v>580000</v>
      </c>
      <c r="K134" s="132"/>
      <c r="L134" s="527"/>
      <c r="M134" s="527"/>
      <c r="N134" s="527"/>
      <c r="O134" s="132"/>
      <c r="P134" s="150">
        <f t="shared" si="60"/>
        <v>580000</v>
      </c>
      <c r="Q134" s="150">
        <f t="shared" si="61"/>
        <v>0</v>
      </c>
      <c r="R134" s="150">
        <f t="shared" si="61"/>
        <v>580000</v>
      </c>
    </row>
    <row r="135" spans="2:18" x14ac:dyDescent="0.2">
      <c r="B135" s="171">
        <f t="shared" si="40"/>
        <v>43</v>
      </c>
      <c r="C135" s="130"/>
      <c r="D135" s="130"/>
      <c r="E135" s="131" t="s">
        <v>669</v>
      </c>
      <c r="F135" s="149">
        <v>630</v>
      </c>
      <c r="G135" s="199" t="s">
        <v>236</v>
      </c>
      <c r="H135" s="388">
        <f>H136+H137+H138+H139</f>
        <v>448510</v>
      </c>
      <c r="I135" s="388">
        <f t="shared" ref="I135" si="65">I136+I137+I138+I139</f>
        <v>0</v>
      </c>
      <c r="J135" s="388">
        <f>H135+I135</f>
        <v>448510</v>
      </c>
      <c r="K135" s="132"/>
      <c r="L135" s="527"/>
      <c r="M135" s="527"/>
      <c r="N135" s="527"/>
      <c r="O135" s="132"/>
      <c r="P135" s="150">
        <f t="shared" si="60"/>
        <v>448510</v>
      </c>
      <c r="Q135" s="150">
        <f t="shared" si="61"/>
        <v>0</v>
      </c>
      <c r="R135" s="150">
        <f t="shared" si="61"/>
        <v>448510</v>
      </c>
    </row>
    <row r="136" spans="2:18" x14ac:dyDescent="0.2">
      <c r="B136" s="171">
        <f t="shared" si="40"/>
        <v>44</v>
      </c>
      <c r="C136" s="130"/>
      <c r="D136" s="130"/>
      <c r="E136" s="134"/>
      <c r="F136" s="134">
        <v>632</v>
      </c>
      <c r="G136" s="194" t="s">
        <v>246</v>
      </c>
      <c r="H136" s="527">
        <v>164700</v>
      </c>
      <c r="I136" s="527"/>
      <c r="J136" s="527">
        <f>H136+I136</f>
        <v>164700</v>
      </c>
      <c r="K136" s="132"/>
      <c r="L136" s="527"/>
      <c r="M136" s="527"/>
      <c r="N136" s="527"/>
      <c r="O136" s="132"/>
      <c r="P136" s="529">
        <f t="shared" si="60"/>
        <v>164700</v>
      </c>
      <c r="Q136" s="529">
        <f t="shared" ref="Q136:R148" si="66">I136+M136</f>
        <v>0</v>
      </c>
      <c r="R136" s="529">
        <f t="shared" si="66"/>
        <v>164700</v>
      </c>
    </row>
    <row r="137" spans="2:18" x14ac:dyDescent="0.2">
      <c r="B137" s="171">
        <f t="shared" si="40"/>
        <v>45</v>
      </c>
      <c r="C137" s="130"/>
      <c r="D137" s="130"/>
      <c r="E137" s="134"/>
      <c r="F137" s="134">
        <v>633</v>
      </c>
      <c r="G137" s="194" t="s">
        <v>247</v>
      </c>
      <c r="H137" s="527">
        <f>38000+810</f>
        <v>38810</v>
      </c>
      <c r="I137" s="527"/>
      <c r="J137" s="527">
        <f t="shared" ref="J137:J141" si="67">H137+I137</f>
        <v>38810</v>
      </c>
      <c r="K137" s="132"/>
      <c r="L137" s="527"/>
      <c r="M137" s="527"/>
      <c r="N137" s="527"/>
      <c r="O137" s="132"/>
      <c r="P137" s="529">
        <f t="shared" si="60"/>
        <v>38810</v>
      </c>
      <c r="Q137" s="529">
        <f t="shared" si="66"/>
        <v>0</v>
      </c>
      <c r="R137" s="529">
        <f t="shared" si="66"/>
        <v>38810</v>
      </c>
    </row>
    <row r="138" spans="2:18" x14ac:dyDescent="0.2">
      <c r="B138" s="171">
        <f t="shared" si="40"/>
        <v>46</v>
      </c>
      <c r="C138" s="130"/>
      <c r="D138" s="130"/>
      <c r="E138" s="134"/>
      <c r="F138" s="134">
        <v>635</v>
      </c>
      <c r="G138" s="194" t="s">
        <v>261</v>
      </c>
      <c r="H138" s="527">
        <f>35000-5000</f>
        <v>30000</v>
      </c>
      <c r="I138" s="527"/>
      <c r="J138" s="527">
        <f t="shared" si="67"/>
        <v>30000</v>
      </c>
      <c r="K138" s="132"/>
      <c r="L138" s="527"/>
      <c r="M138" s="527"/>
      <c r="N138" s="527"/>
      <c r="O138" s="132"/>
      <c r="P138" s="529">
        <f t="shared" si="60"/>
        <v>30000</v>
      </c>
      <c r="Q138" s="529">
        <f t="shared" si="66"/>
        <v>0</v>
      </c>
      <c r="R138" s="529">
        <f t="shared" si="66"/>
        <v>30000</v>
      </c>
    </row>
    <row r="139" spans="2:18" x14ac:dyDescent="0.2">
      <c r="B139" s="171">
        <f t="shared" si="40"/>
        <v>47</v>
      </c>
      <c r="C139" s="130"/>
      <c r="D139" s="130"/>
      <c r="E139" s="134"/>
      <c r="F139" s="134">
        <v>637</v>
      </c>
      <c r="G139" s="194" t="s">
        <v>248</v>
      </c>
      <c r="H139" s="527">
        <v>215000</v>
      </c>
      <c r="I139" s="527"/>
      <c r="J139" s="527">
        <f t="shared" si="67"/>
        <v>215000</v>
      </c>
      <c r="K139" s="132"/>
      <c r="L139" s="527"/>
      <c r="M139" s="527"/>
      <c r="N139" s="527"/>
      <c r="O139" s="132"/>
      <c r="P139" s="529">
        <f t="shared" si="60"/>
        <v>215000</v>
      </c>
      <c r="Q139" s="529">
        <f t="shared" si="66"/>
        <v>0</v>
      </c>
      <c r="R139" s="529">
        <f t="shared" si="66"/>
        <v>215000</v>
      </c>
    </row>
    <row r="140" spans="2:18" x14ac:dyDescent="0.2">
      <c r="B140" s="171">
        <f t="shared" si="40"/>
        <v>48</v>
      </c>
      <c r="C140" s="130"/>
      <c r="D140" s="130"/>
      <c r="E140" s="131" t="s">
        <v>669</v>
      </c>
      <c r="F140" s="154">
        <v>640</v>
      </c>
      <c r="G140" s="199" t="s">
        <v>301</v>
      </c>
      <c r="H140" s="388">
        <v>35000</v>
      </c>
      <c r="I140" s="388"/>
      <c r="J140" s="388">
        <f t="shared" si="67"/>
        <v>35000</v>
      </c>
      <c r="K140" s="132"/>
      <c r="L140" s="527"/>
      <c r="M140" s="527"/>
      <c r="N140" s="527"/>
      <c r="O140" s="132"/>
      <c r="P140" s="150">
        <f t="shared" si="60"/>
        <v>35000</v>
      </c>
      <c r="Q140" s="150">
        <f t="shared" si="66"/>
        <v>0</v>
      </c>
      <c r="R140" s="150">
        <f t="shared" si="66"/>
        <v>35000</v>
      </c>
    </row>
    <row r="141" spans="2:18" x14ac:dyDescent="0.2">
      <c r="B141" s="171">
        <f t="shared" si="40"/>
        <v>49</v>
      </c>
      <c r="C141" s="130"/>
      <c r="D141" s="130"/>
      <c r="E141" s="134" t="s">
        <v>565</v>
      </c>
      <c r="F141" s="149">
        <v>650</v>
      </c>
      <c r="G141" s="199" t="s">
        <v>564</v>
      </c>
      <c r="H141" s="388">
        <f>370000-11475-5000</f>
        <v>353525</v>
      </c>
      <c r="I141" s="388"/>
      <c r="J141" s="388">
        <f t="shared" si="67"/>
        <v>353525</v>
      </c>
      <c r="K141" s="132"/>
      <c r="L141" s="527"/>
      <c r="M141" s="527"/>
      <c r="N141" s="527"/>
      <c r="O141" s="132"/>
      <c r="P141" s="150">
        <f t="shared" si="60"/>
        <v>353525</v>
      </c>
      <c r="Q141" s="150">
        <f t="shared" si="66"/>
        <v>0</v>
      </c>
      <c r="R141" s="150">
        <f t="shared" si="66"/>
        <v>353525</v>
      </c>
    </row>
    <row r="142" spans="2:18" ht="15.75" x14ac:dyDescent="0.25">
      <c r="B142" s="171">
        <f t="shared" si="40"/>
        <v>50</v>
      </c>
      <c r="C142" s="23">
        <v>6</v>
      </c>
      <c r="D142" s="127" t="s">
        <v>237</v>
      </c>
      <c r="E142" s="24"/>
      <c r="F142" s="24"/>
      <c r="G142" s="193"/>
      <c r="H142" s="411">
        <f>H144+H143</f>
        <v>7000</v>
      </c>
      <c r="I142" s="411">
        <f t="shared" ref="I142" si="68">I144+I143</f>
        <v>0</v>
      </c>
      <c r="J142" s="411">
        <f>H142+I142</f>
        <v>7000</v>
      </c>
      <c r="K142" s="88"/>
      <c r="L142" s="379">
        <v>0</v>
      </c>
      <c r="M142" s="379">
        <v>0</v>
      </c>
      <c r="N142" s="379">
        <f>L142+M142</f>
        <v>0</v>
      </c>
      <c r="O142" s="88"/>
      <c r="P142" s="373">
        <f t="shared" si="60"/>
        <v>7000</v>
      </c>
      <c r="Q142" s="373">
        <f t="shared" si="66"/>
        <v>0</v>
      </c>
      <c r="R142" s="373">
        <f t="shared" si="66"/>
        <v>7000</v>
      </c>
    </row>
    <row r="143" spans="2:18" x14ac:dyDescent="0.2">
      <c r="B143" s="171">
        <f t="shared" si="40"/>
        <v>51</v>
      </c>
      <c r="C143" s="135"/>
      <c r="D143" s="135"/>
      <c r="E143" s="525" t="s">
        <v>669</v>
      </c>
      <c r="F143" s="525">
        <v>631</v>
      </c>
      <c r="G143" s="202" t="s">
        <v>484</v>
      </c>
      <c r="H143" s="527">
        <v>2500</v>
      </c>
      <c r="I143" s="527"/>
      <c r="J143" s="527">
        <f>H143+I143</f>
        <v>2500</v>
      </c>
      <c r="K143" s="132"/>
      <c r="L143" s="527"/>
      <c r="M143" s="527"/>
      <c r="N143" s="527"/>
      <c r="O143" s="132"/>
      <c r="P143" s="529">
        <f t="shared" si="60"/>
        <v>2500</v>
      </c>
      <c r="Q143" s="529">
        <f t="shared" si="66"/>
        <v>0</v>
      </c>
      <c r="R143" s="529">
        <f t="shared" si="66"/>
        <v>2500</v>
      </c>
    </row>
    <row r="144" spans="2:18" x14ac:dyDescent="0.2">
      <c r="B144" s="171">
        <f t="shared" si="40"/>
        <v>52</v>
      </c>
      <c r="C144" s="130"/>
      <c r="D144" s="130"/>
      <c r="E144" s="525" t="s">
        <v>427</v>
      </c>
      <c r="F144" s="134">
        <v>637</v>
      </c>
      <c r="G144" s="194" t="s">
        <v>485</v>
      </c>
      <c r="H144" s="527">
        <v>4500</v>
      </c>
      <c r="I144" s="527"/>
      <c r="J144" s="527">
        <f>H144+I144</f>
        <v>4500</v>
      </c>
      <c r="K144" s="148"/>
      <c r="L144" s="527"/>
      <c r="M144" s="527"/>
      <c r="N144" s="527"/>
      <c r="O144" s="148"/>
      <c r="P144" s="529">
        <f t="shared" si="60"/>
        <v>4500</v>
      </c>
      <c r="Q144" s="529">
        <f t="shared" si="66"/>
        <v>0</v>
      </c>
      <c r="R144" s="529">
        <f t="shared" si="66"/>
        <v>4500</v>
      </c>
    </row>
    <row r="145" spans="2:18" ht="15.75" x14ac:dyDescent="0.25">
      <c r="B145" s="171">
        <f t="shared" si="40"/>
        <v>53</v>
      </c>
      <c r="C145" s="23">
        <v>7</v>
      </c>
      <c r="D145" s="127" t="s">
        <v>134</v>
      </c>
      <c r="E145" s="24"/>
      <c r="F145" s="24"/>
      <c r="G145" s="193"/>
      <c r="H145" s="414">
        <f>SUM(H146:H148)</f>
        <v>131990</v>
      </c>
      <c r="I145" s="414">
        <f t="shared" ref="I145" si="69">SUM(I146:I148)</f>
        <v>0</v>
      </c>
      <c r="J145" s="414">
        <f>H145+I145</f>
        <v>131990</v>
      </c>
      <c r="K145" s="88"/>
      <c r="L145" s="379">
        <f>SUM(L150:L151)</f>
        <v>20000</v>
      </c>
      <c r="M145" s="379">
        <f t="shared" ref="M145" si="70">SUM(M150:M151)</f>
        <v>0</v>
      </c>
      <c r="N145" s="379">
        <f>L145+M145</f>
        <v>20000</v>
      </c>
      <c r="O145" s="88"/>
      <c r="P145" s="373">
        <f t="shared" si="60"/>
        <v>151990</v>
      </c>
      <c r="Q145" s="373">
        <f t="shared" si="66"/>
        <v>0</v>
      </c>
      <c r="R145" s="373">
        <f t="shared" si="66"/>
        <v>151990</v>
      </c>
    </row>
    <row r="146" spans="2:18" x14ac:dyDescent="0.2">
      <c r="B146" s="171">
        <f t="shared" si="40"/>
        <v>54</v>
      </c>
      <c r="C146" s="130"/>
      <c r="D146" s="130"/>
      <c r="E146" s="525" t="s">
        <v>669</v>
      </c>
      <c r="F146" s="134">
        <v>632</v>
      </c>
      <c r="G146" s="194" t="s">
        <v>639</v>
      </c>
      <c r="H146" s="527">
        <f>4700+600</f>
        <v>5300</v>
      </c>
      <c r="I146" s="527"/>
      <c r="J146" s="527">
        <f>H146+I146</f>
        <v>5300</v>
      </c>
      <c r="K146" s="132"/>
      <c r="L146" s="527"/>
      <c r="M146" s="527"/>
      <c r="N146" s="527"/>
      <c r="O146" s="132"/>
      <c r="P146" s="529">
        <f t="shared" si="60"/>
        <v>5300</v>
      </c>
      <c r="Q146" s="529">
        <f t="shared" si="66"/>
        <v>0</v>
      </c>
      <c r="R146" s="529">
        <f t="shared" si="66"/>
        <v>5300</v>
      </c>
    </row>
    <row r="147" spans="2:18" x14ac:dyDescent="0.2">
      <c r="B147" s="171">
        <f t="shared" si="40"/>
        <v>55</v>
      </c>
      <c r="C147" s="130"/>
      <c r="D147" s="130"/>
      <c r="E147" s="525" t="s">
        <v>669</v>
      </c>
      <c r="F147" s="134">
        <v>633</v>
      </c>
      <c r="G147" s="194" t="s">
        <v>486</v>
      </c>
      <c r="H147" s="527">
        <f>21000-810</f>
        <v>20190</v>
      </c>
      <c r="I147" s="527"/>
      <c r="J147" s="527">
        <f t="shared" ref="J147:J148" si="71">H147+I147</f>
        <v>20190</v>
      </c>
      <c r="K147" s="132"/>
      <c r="L147" s="527"/>
      <c r="M147" s="527"/>
      <c r="N147" s="527"/>
      <c r="O147" s="132"/>
      <c r="P147" s="529">
        <f t="shared" si="60"/>
        <v>20190</v>
      </c>
      <c r="Q147" s="529">
        <f t="shared" si="66"/>
        <v>0</v>
      </c>
      <c r="R147" s="529">
        <f t="shared" si="66"/>
        <v>20190</v>
      </c>
    </row>
    <row r="148" spans="2:18" x14ac:dyDescent="0.2">
      <c r="B148" s="171">
        <f t="shared" si="40"/>
        <v>56</v>
      </c>
      <c r="C148" s="130"/>
      <c r="D148" s="130"/>
      <c r="E148" s="525" t="s">
        <v>669</v>
      </c>
      <c r="F148" s="134">
        <v>635</v>
      </c>
      <c r="G148" s="194" t="s">
        <v>487</v>
      </c>
      <c r="H148" s="527">
        <f>97000+10000-500</f>
        <v>106500</v>
      </c>
      <c r="I148" s="527"/>
      <c r="J148" s="527">
        <f t="shared" si="71"/>
        <v>106500</v>
      </c>
      <c r="K148" s="132"/>
      <c r="L148" s="527"/>
      <c r="M148" s="527"/>
      <c r="N148" s="527"/>
      <c r="O148" s="132"/>
      <c r="P148" s="529">
        <f t="shared" si="60"/>
        <v>106500</v>
      </c>
      <c r="Q148" s="529">
        <f t="shared" si="66"/>
        <v>0</v>
      </c>
      <c r="R148" s="529">
        <f t="shared" si="66"/>
        <v>106500</v>
      </c>
    </row>
    <row r="149" spans="2:18" x14ac:dyDescent="0.2">
      <c r="B149" s="171">
        <f t="shared" si="40"/>
        <v>57</v>
      </c>
      <c r="C149" s="130"/>
      <c r="D149" s="130"/>
      <c r="E149" s="134"/>
      <c r="F149" s="134"/>
      <c r="G149" s="194"/>
      <c r="H149" s="527"/>
      <c r="I149" s="527"/>
      <c r="J149" s="527"/>
      <c r="K149" s="132"/>
      <c r="L149" s="527"/>
      <c r="M149" s="527"/>
      <c r="N149" s="527"/>
      <c r="O149" s="132"/>
      <c r="P149" s="529"/>
      <c r="Q149" s="529"/>
      <c r="R149" s="529"/>
    </row>
    <row r="150" spans="2:18" x14ac:dyDescent="0.2">
      <c r="B150" s="171">
        <f t="shared" si="40"/>
        <v>58</v>
      </c>
      <c r="C150" s="130"/>
      <c r="D150" s="130"/>
      <c r="E150" s="525" t="s">
        <v>669</v>
      </c>
      <c r="F150" s="134">
        <v>711</v>
      </c>
      <c r="G150" s="194" t="s">
        <v>681</v>
      </c>
      <c r="H150" s="527"/>
      <c r="I150" s="527"/>
      <c r="J150" s="527"/>
      <c r="K150" s="132"/>
      <c r="L150" s="527">
        <v>10000</v>
      </c>
      <c r="M150" s="527"/>
      <c r="N150" s="527">
        <f t="shared" ref="N150:N151" si="72">L150+M150</f>
        <v>10000</v>
      </c>
      <c r="O150" s="132"/>
      <c r="P150" s="529">
        <f t="shared" ref="P150:P156" si="73">H150+L150</f>
        <v>10000</v>
      </c>
      <c r="Q150" s="529">
        <f t="shared" ref="Q150:R156" si="74">I150+M150</f>
        <v>0</v>
      </c>
      <c r="R150" s="529">
        <f t="shared" si="74"/>
        <v>10000</v>
      </c>
    </row>
    <row r="151" spans="2:18" x14ac:dyDescent="0.2">
      <c r="B151" s="171">
        <f t="shared" si="40"/>
        <v>59</v>
      </c>
      <c r="C151" s="130"/>
      <c r="D151" s="159"/>
      <c r="E151" s="525" t="s">
        <v>669</v>
      </c>
      <c r="F151" s="134">
        <v>713</v>
      </c>
      <c r="G151" s="194" t="s">
        <v>680</v>
      </c>
      <c r="H151" s="527"/>
      <c r="I151" s="527"/>
      <c r="J151" s="527"/>
      <c r="K151" s="132"/>
      <c r="L151" s="382">
        <v>10000</v>
      </c>
      <c r="M151" s="382"/>
      <c r="N151" s="527">
        <f t="shared" si="72"/>
        <v>10000</v>
      </c>
      <c r="O151" s="132"/>
      <c r="P151" s="160">
        <f t="shared" si="73"/>
        <v>10000</v>
      </c>
      <c r="Q151" s="160">
        <f t="shared" si="74"/>
        <v>0</v>
      </c>
      <c r="R151" s="160">
        <f t="shared" si="74"/>
        <v>10000</v>
      </c>
    </row>
    <row r="152" spans="2:18" ht="15.75" x14ac:dyDescent="0.25">
      <c r="B152" s="171">
        <f t="shared" si="40"/>
        <v>60</v>
      </c>
      <c r="C152" s="23">
        <v>8</v>
      </c>
      <c r="D152" s="127" t="s">
        <v>135</v>
      </c>
      <c r="E152" s="24"/>
      <c r="F152" s="24"/>
      <c r="G152" s="193"/>
      <c r="H152" s="411">
        <f>SUM(H153:H155)</f>
        <v>27430</v>
      </c>
      <c r="I152" s="411">
        <f t="shared" ref="I152" si="75">SUM(I153:I155)</f>
        <v>0</v>
      </c>
      <c r="J152" s="411">
        <f>H152+I152</f>
        <v>27430</v>
      </c>
      <c r="K152" s="88"/>
      <c r="L152" s="379">
        <f>SUM(L153:L156)</f>
        <v>12000</v>
      </c>
      <c r="M152" s="379">
        <f t="shared" ref="M152" si="76">SUM(M153:M156)</f>
        <v>0</v>
      </c>
      <c r="N152" s="379">
        <f>L152+M152</f>
        <v>12000</v>
      </c>
      <c r="O152" s="88"/>
      <c r="P152" s="373">
        <f t="shared" si="73"/>
        <v>39430</v>
      </c>
      <c r="Q152" s="373">
        <f t="shared" si="74"/>
        <v>0</v>
      </c>
      <c r="R152" s="373">
        <f t="shared" si="74"/>
        <v>39430</v>
      </c>
    </row>
    <row r="153" spans="2:18" x14ac:dyDescent="0.2">
      <c r="B153" s="171">
        <f t="shared" si="40"/>
        <v>61</v>
      </c>
      <c r="C153" s="130"/>
      <c r="D153" s="130"/>
      <c r="E153" s="525" t="s">
        <v>669</v>
      </c>
      <c r="F153" s="134">
        <v>634</v>
      </c>
      <c r="G153" s="194" t="s">
        <v>530</v>
      </c>
      <c r="H153" s="527">
        <f>25000-4000</f>
        <v>21000</v>
      </c>
      <c r="I153" s="527"/>
      <c r="J153" s="527">
        <f>H153+I153</f>
        <v>21000</v>
      </c>
      <c r="K153" s="132"/>
      <c r="L153" s="527"/>
      <c r="M153" s="527"/>
      <c r="N153" s="527"/>
      <c r="O153" s="132"/>
      <c r="P153" s="529">
        <f t="shared" si="73"/>
        <v>21000</v>
      </c>
      <c r="Q153" s="529">
        <f t="shared" si="74"/>
        <v>0</v>
      </c>
      <c r="R153" s="529">
        <f t="shared" si="74"/>
        <v>21000</v>
      </c>
    </row>
    <row r="154" spans="2:18" x14ac:dyDescent="0.2">
      <c r="B154" s="171">
        <f t="shared" si="40"/>
        <v>62</v>
      </c>
      <c r="C154" s="130"/>
      <c r="D154" s="159"/>
      <c r="E154" s="525" t="s">
        <v>669</v>
      </c>
      <c r="F154" s="525">
        <v>634</v>
      </c>
      <c r="G154" s="194" t="s">
        <v>532</v>
      </c>
      <c r="H154" s="527">
        <v>5800</v>
      </c>
      <c r="I154" s="527"/>
      <c r="J154" s="527">
        <f t="shared" ref="J154:J155" si="77">H154+I154</f>
        <v>5800</v>
      </c>
      <c r="K154" s="132"/>
      <c r="L154" s="382"/>
      <c r="M154" s="382"/>
      <c r="N154" s="527"/>
      <c r="O154" s="132"/>
      <c r="P154" s="160">
        <f t="shared" si="73"/>
        <v>5800</v>
      </c>
      <c r="Q154" s="160">
        <f t="shared" si="74"/>
        <v>0</v>
      </c>
      <c r="R154" s="160">
        <f t="shared" si="74"/>
        <v>5800</v>
      </c>
    </row>
    <row r="155" spans="2:18" x14ac:dyDescent="0.2">
      <c r="B155" s="171">
        <f t="shared" si="40"/>
        <v>63</v>
      </c>
      <c r="C155" s="130"/>
      <c r="D155" s="159"/>
      <c r="E155" s="525" t="s">
        <v>669</v>
      </c>
      <c r="F155" s="134">
        <v>637</v>
      </c>
      <c r="G155" s="194" t="s">
        <v>531</v>
      </c>
      <c r="H155" s="527">
        <v>630</v>
      </c>
      <c r="I155" s="527"/>
      <c r="J155" s="527">
        <f t="shared" si="77"/>
        <v>630</v>
      </c>
      <c r="K155" s="132"/>
      <c r="L155" s="382"/>
      <c r="M155" s="382"/>
      <c r="N155" s="527"/>
      <c r="O155" s="132"/>
      <c r="P155" s="160">
        <f t="shared" si="73"/>
        <v>630</v>
      </c>
      <c r="Q155" s="160">
        <f t="shared" si="74"/>
        <v>0</v>
      </c>
      <c r="R155" s="160">
        <f t="shared" si="74"/>
        <v>630</v>
      </c>
    </row>
    <row r="156" spans="2:18" ht="13.5" thickBot="1" x14ac:dyDescent="0.25">
      <c r="B156" s="350">
        <f>B155+1</f>
        <v>64</v>
      </c>
      <c r="C156" s="351"/>
      <c r="D156" s="370"/>
      <c r="E156" s="211" t="s">
        <v>669</v>
      </c>
      <c r="F156" s="211">
        <v>714</v>
      </c>
      <c r="G156" s="356" t="s">
        <v>522</v>
      </c>
      <c r="H156" s="385"/>
      <c r="I156" s="385"/>
      <c r="J156" s="385"/>
      <c r="K156" s="141"/>
      <c r="L156" s="389">
        <f>12000</f>
        <v>12000</v>
      </c>
      <c r="M156" s="389"/>
      <c r="N156" s="385">
        <f t="shared" ref="N156" si="78">L156+M156</f>
        <v>12000</v>
      </c>
      <c r="O156" s="141"/>
      <c r="P156" s="308">
        <f t="shared" si="73"/>
        <v>12000</v>
      </c>
      <c r="Q156" s="308">
        <f t="shared" si="74"/>
        <v>0</v>
      </c>
      <c r="R156" s="308">
        <f t="shared" si="74"/>
        <v>12000</v>
      </c>
    </row>
    <row r="159" spans="2:18" ht="27.75" thickBot="1" x14ac:dyDescent="0.4">
      <c r="B159" s="246" t="s">
        <v>208</v>
      </c>
      <c r="C159" s="246"/>
      <c r="D159" s="246"/>
      <c r="E159" s="246"/>
      <c r="F159" s="246"/>
      <c r="G159" s="246"/>
      <c r="H159" s="246"/>
      <c r="I159" s="246"/>
      <c r="J159" s="246"/>
      <c r="K159" s="246"/>
      <c r="L159" s="246"/>
      <c r="M159" s="246"/>
      <c r="N159" s="246"/>
      <c r="O159" s="246"/>
      <c r="P159" s="246"/>
      <c r="Q159" s="246"/>
      <c r="R159" s="246"/>
    </row>
    <row r="160" spans="2:18" ht="13.5" customHeight="1" thickBot="1" x14ac:dyDescent="0.25">
      <c r="B160" s="905" t="s">
        <v>631</v>
      </c>
      <c r="C160" s="906"/>
      <c r="D160" s="906"/>
      <c r="E160" s="906"/>
      <c r="F160" s="906"/>
      <c r="G160" s="906"/>
      <c r="H160" s="906"/>
      <c r="I160" s="906"/>
      <c r="J160" s="906"/>
      <c r="K160" s="906"/>
      <c r="L160" s="906"/>
      <c r="M160" s="906"/>
      <c r="N160" s="907"/>
      <c r="O160" s="120"/>
      <c r="P160" s="895" t="s">
        <v>721</v>
      </c>
      <c r="Q160" s="895" t="s">
        <v>860</v>
      </c>
      <c r="R160" s="895" t="s">
        <v>721</v>
      </c>
    </row>
    <row r="161" spans="2:18" ht="18" customHeight="1" thickTop="1" x14ac:dyDescent="0.2">
      <c r="B161" s="506"/>
      <c r="C161" s="898" t="s">
        <v>477</v>
      </c>
      <c r="D161" s="898" t="s">
        <v>476</v>
      </c>
      <c r="E161" s="898" t="s">
        <v>474</v>
      </c>
      <c r="F161" s="898" t="s">
        <v>475</v>
      </c>
      <c r="G161" s="508" t="s">
        <v>3</v>
      </c>
      <c r="H161" s="900" t="s">
        <v>722</v>
      </c>
      <c r="I161" s="904" t="s">
        <v>860</v>
      </c>
      <c r="J161" s="904" t="s">
        <v>722</v>
      </c>
      <c r="L161" s="902" t="s">
        <v>723</v>
      </c>
      <c r="M161" s="902" t="s">
        <v>860</v>
      </c>
      <c r="N161" s="902" t="s">
        <v>723</v>
      </c>
      <c r="P161" s="896"/>
      <c r="Q161" s="896"/>
      <c r="R161" s="896"/>
    </row>
    <row r="162" spans="2:18" ht="43.5" customHeight="1" thickBot="1" x14ac:dyDescent="0.25">
      <c r="B162" s="510"/>
      <c r="C162" s="899"/>
      <c r="D162" s="899"/>
      <c r="E162" s="899"/>
      <c r="F162" s="899"/>
      <c r="G162" s="509"/>
      <c r="H162" s="901"/>
      <c r="I162" s="901"/>
      <c r="J162" s="901"/>
      <c r="L162" s="903"/>
      <c r="M162" s="903"/>
      <c r="N162" s="903"/>
      <c r="P162" s="897"/>
      <c r="Q162" s="897"/>
      <c r="R162" s="897"/>
    </row>
    <row r="163" spans="2:18" ht="19.5" thickTop="1" thickBot="1" x14ac:dyDescent="0.25">
      <c r="B163" s="171">
        <v>1</v>
      </c>
      <c r="C163" s="125" t="s">
        <v>209</v>
      </c>
      <c r="D163" s="111"/>
      <c r="E163" s="111"/>
      <c r="F163" s="111"/>
      <c r="G163" s="201"/>
      <c r="H163" s="415">
        <f>H164+H168+H178+H188+H198+H209+H220+H230</f>
        <v>471389</v>
      </c>
      <c r="I163" s="415">
        <f t="shared" ref="I163" si="79">I164+I168+I178+I188+I198+I209+I220+I230</f>
        <v>0</v>
      </c>
      <c r="J163" s="415">
        <f>H163+I163</f>
        <v>471389</v>
      </c>
      <c r="K163" s="113"/>
      <c r="L163" s="405">
        <f>L164+L168+L178+L188+L198+L209+L220+L230</f>
        <v>132000</v>
      </c>
      <c r="M163" s="405">
        <f t="shared" ref="M163" si="80">M164+M168+M178+M188+M198+M209+M220+M230</f>
        <v>0</v>
      </c>
      <c r="N163" s="405">
        <f>L163+M163</f>
        <v>132000</v>
      </c>
      <c r="O163" s="113"/>
      <c r="P163" s="372">
        <f t="shared" ref="P163:P194" si="81">H163+L163</f>
        <v>603389</v>
      </c>
      <c r="Q163" s="372">
        <f t="shared" ref="Q163:R178" si="82">I163+M163</f>
        <v>0</v>
      </c>
      <c r="R163" s="372">
        <f t="shared" si="82"/>
        <v>603389</v>
      </c>
    </row>
    <row r="164" spans="2:18" ht="16.5" thickTop="1" x14ac:dyDescent="0.25">
      <c r="B164" s="171">
        <f>B163+1</f>
        <v>2</v>
      </c>
      <c r="C164" s="23">
        <v>1</v>
      </c>
      <c r="D164" s="127" t="s">
        <v>102</v>
      </c>
      <c r="E164" s="24"/>
      <c r="F164" s="24"/>
      <c r="G164" s="193"/>
      <c r="H164" s="410">
        <f>SUM(H165:H167)</f>
        <v>25250</v>
      </c>
      <c r="I164" s="410">
        <f t="shared" ref="I164" si="83">SUM(I165:I167)</f>
        <v>0</v>
      </c>
      <c r="J164" s="410">
        <f>H164+I164</f>
        <v>25250</v>
      </c>
      <c r="K164" s="88"/>
      <c r="L164" s="774">
        <v>0</v>
      </c>
      <c r="M164" s="774">
        <v>0</v>
      </c>
      <c r="N164" s="774">
        <f>L164+M164</f>
        <v>0</v>
      </c>
      <c r="O164" s="88"/>
      <c r="P164" s="373">
        <f t="shared" si="81"/>
        <v>25250</v>
      </c>
      <c r="Q164" s="373">
        <f t="shared" si="82"/>
        <v>0</v>
      </c>
      <c r="R164" s="373">
        <f t="shared" si="82"/>
        <v>25250</v>
      </c>
    </row>
    <row r="165" spans="2:18" x14ac:dyDescent="0.2">
      <c r="B165" s="171">
        <f t="shared" ref="B165:B228" si="84">B164+1</f>
        <v>3</v>
      </c>
      <c r="C165" s="130"/>
      <c r="D165" s="131"/>
      <c r="E165" s="131" t="s">
        <v>670</v>
      </c>
      <c r="F165" s="131" t="s">
        <v>212</v>
      </c>
      <c r="G165" s="194" t="s">
        <v>259</v>
      </c>
      <c r="H165" s="527">
        <v>3600</v>
      </c>
      <c r="I165" s="527"/>
      <c r="J165" s="527">
        <f>H165+I165</f>
        <v>3600</v>
      </c>
      <c r="K165" s="132"/>
      <c r="L165" s="434"/>
      <c r="M165" s="434"/>
      <c r="N165" s="434"/>
      <c r="O165" s="132"/>
      <c r="P165" s="137">
        <f t="shared" si="81"/>
        <v>3600</v>
      </c>
      <c r="Q165" s="137">
        <f t="shared" si="82"/>
        <v>0</v>
      </c>
      <c r="R165" s="137">
        <f t="shared" si="82"/>
        <v>3600</v>
      </c>
    </row>
    <row r="166" spans="2:18" x14ac:dyDescent="0.2">
      <c r="B166" s="171">
        <f t="shared" si="84"/>
        <v>4</v>
      </c>
      <c r="C166" s="130"/>
      <c r="D166" s="131"/>
      <c r="E166" s="131" t="s">
        <v>670</v>
      </c>
      <c r="F166" s="131" t="s">
        <v>200</v>
      </c>
      <c r="G166" s="194" t="s">
        <v>529</v>
      </c>
      <c r="H166" s="527">
        <v>3300</v>
      </c>
      <c r="I166" s="527"/>
      <c r="J166" s="527">
        <f t="shared" ref="J166:J167" si="85">H166+I166</f>
        <v>3300</v>
      </c>
      <c r="K166" s="132"/>
      <c r="L166" s="434"/>
      <c r="M166" s="434"/>
      <c r="N166" s="434"/>
      <c r="O166" s="132"/>
      <c r="P166" s="137">
        <f t="shared" si="81"/>
        <v>3300</v>
      </c>
      <c r="Q166" s="137">
        <f t="shared" si="82"/>
        <v>0</v>
      </c>
      <c r="R166" s="137">
        <f t="shared" si="82"/>
        <v>3300</v>
      </c>
    </row>
    <row r="167" spans="2:18" x14ac:dyDescent="0.2">
      <c r="B167" s="171">
        <f t="shared" si="84"/>
        <v>5</v>
      </c>
      <c r="C167" s="130"/>
      <c r="D167" s="131"/>
      <c r="E167" s="131" t="s">
        <v>670</v>
      </c>
      <c r="F167" s="131" t="s">
        <v>216</v>
      </c>
      <c r="G167" s="194" t="s">
        <v>562</v>
      </c>
      <c r="H167" s="527">
        <v>18350</v>
      </c>
      <c r="I167" s="527"/>
      <c r="J167" s="527">
        <f t="shared" si="85"/>
        <v>18350</v>
      </c>
      <c r="K167" s="132"/>
      <c r="L167" s="434"/>
      <c r="M167" s="434"/>
      <c r="N167" s="434"/>
      <c r="O167" s="132"/>
      <c r="P167" s="137">
        <f t="shared" si="81"/>
        <v>18350</v>
      </c>
      <c r="Q167" s="137">
        <f t="shared" si="82"/>
        <v>0</v>
      </c>
      <c r="R167" s="137">
        <f t="shared" si="82"/>
        <v>18350</v>
      </c>
    </row>
    <row r="168" spans="2:18" ht="15.75" x14ac:dyDescent="0.25">
      <c r="B168" s="171">
        <f t="shared" si="84"/>
        <v>6</v>
      </c>
      <c r="C168" s="21">
        <v>2</v>
      </c>
      <c r="D168" s="126" t="s">
        <v>103</v>
      </c>
      <c r="E168" s="22"/>
      <c r="F168" s="22"/>
      <c r="G168" s="195"/>
      <c r="H168" s="411">
        <f>H169+H170+H171+H177</f>
        <v>87265</v>
      </c>
      <c r="I168" s="411">
        <f t="shared" ref="I168:J168" si="86">I169+I170+I171+I177</f>
        <v>0</v>
      </c>
      <c r="J168" s="411">
        <f t="shared" si="86"/>
        <v>87265</v>
      </c>
      <c r="K168" s="112"/>
      <c r="L168" s="776">
        <v>0</v>
      </c>
      <c r="M168" s="776">
        <v>0</v>
      </c>
      <c r="N168" s="776">
        <f>L168+M168</f>
        <v>0</v>
      </c>
      <c r="O168" s="112"/>
      <c r="P168" s="374">
        <f t="shared" si="81"/>
        <v>87265</v>
      </c>
      <c r="Q168" s="374">
        <f t="shared" si="82"/>
        <v>0</v>
      </c>
      <c r="R168" s="374">
        <f t="shared" si="82"/>
        <v>87265</v>
      </c>
    </row>
    <row r="169" spans="2:18" x14ac:dyDescent="0.2">
      <c r="B169" s="171">
        <f t="shared" si="84"/>
        <v>7</v>
      </c>
      <c r="C169" s="130"/>
      <c r="D169" s="130"/>
      <c r="E169" s="134" t="s">
        <v>272</v>
      </c>
      <c r="F169" s="149">
        <v>610</v>
      </c>
      <c r="G169" s="199" t="s">
        <v>257</v>
      </c>
      <c r="H169" s="388">
        <f>48000+3800+2265</f>
        <v>54065</v>
      </c>
      <c r="I169" s="388"/>
      <c r="J169" s="388">
        <f>H169+I169</f>
        <v>54065</v>
      </c>
      <c r="K169" s="132"/>
      <c r="L169" s="399"/>
      <c r="M169" s="399"/>
      <c r="N169" s="399"/>
      <c r="O169" s="132"/>
      <c r="P169" s="150">
        <f t="shared" si="81"/>
        <v>54065</v>
      </c>
      <c r="Q169" s="150">
        <f t="shared" si="82"/>
        <v>0</v>
      </c>
      <c r="R169" s="150">
        <f t="shared" si="82"/>
        <v>54065</v>
      </c>
    </row>
    <row r="170" spans="2:18" x14ac:dyDescent="0.2">
      <c r="B170" s="171">
        <f t="shared" si="84"/>
        <v>8</v>
      </c>
      <c r="C170" s="130"/>
      <c r="D170" s="130"/>
      <c r="E170" s="134" t="s">
        <v>272</v>
      </c>
      <c r="F170" s="149">
        <v>620</v>
      </c>
      <c r="G170" s="199" t="s">
        <v>259</v>
      </c>
      <c r="H170" s="388">
        <f>18000+2300</f>
        <v>20300</v>
      </c>
      <c r="I170" s="388"/>
      <c r="J170" s="388">
        <f t="shared" ref="J170:J177" si="87">H170+I170</f>
        <v>20300</v>
      </c>
      <c r="K170" s="132"/>
      <c r="L170" s="399"/>
      <c r="M170" s="399"/>
      <c r="N170" s="399"/>
      <c r="O170" s="132"/>
      <c r="P170" s="150">
        <f t="shared" si="81"/>
        <v>20300</v>
      </c>
      <c r="Q170" s="150">
        <f t="shared" si="82"/>
        <v>0</v>
      </c>
      <c r="R170" s="150">
        <f t="shared" si="82"/>
        <v>20300</v>
      </c>
    </row>
    <row r="171" spans="2:18" x14ac:dyDescent="0.2">
      <c r="B171" s="171">
        <f t="shared" si="84"/>
        <v>9</v>
      </c>
      <c r="C171" s="130"/>
      <c r="D171" s="130"/>
      <c r="E171" s="134" t="s">
        <v>272</v>
      </c>
      <c r="F171" s="149">
        <v>630</v>
      </c>
      <c r="G171" s="199" t="s">
        <v>445</v>
      </c>
      <c r="H171" s="388">
        <f>SUM(H172:H176)</f>
        <v>12700</v>
      </c>
      <c r="I171" s="388">
        <f t="shared" ref="I171" si="88">SUM(I172:I176)</f>
        <v>0</v>
      </c>
      <c r="J171" s="388">
        <f t="shared" si="87"/>
        <v>12700</v>
      </c>
      <c r="K171" s="132"/>
      <c r="L171" s="399"/>
      <c r="M171" s="399"/>
      <c r="N171" s="399"/>
      <c r="O171" s="132"/>
      <c r="P171" s="150">
        <f t="shared" si="81"/>
        <v>12700</v>
      </c>
      <c r="Q171" s="150">
        <f t="shared" si="82"/>
        <v>0</v>
      </c>
      <c r="R171" s="150">
        <f t="shared" si="82"/>
        <v>12700</v>
      </c>
    </row>
    <row r="172" spans="2:18" x14ac:dyDescent="0.2">
      <c r="B172" s="171">
        <f t="shared" si="84"/>
        <v>10</v>
      </c>
      <c r="C172" s="130"/>
      <c r="D172" s="130"/>
      <c r="E172" s="134"/>
      <c r="F172" s="134">
        <v>631</v>
      </c>
      <c r="G172" s="194" t="s">
        <v>291</v>
      </c>
      <c r="H172" s="527">
        <f>400+100</f>
        <v>500</v>
      </c>
      <c r="I172" s="527"/>
      <c r="J172" s="527">
        <f t="shared" si="87"/>
        <v>500</v>
      </c>
      <c r="K172" s="132"/>
      <c r="L172" s="399"/>
      <c r="M172" s="399"/>
      <c r="N172" s="399"/>
      <c r="O172" s="132"/>
      <c r="P172" s="529">
        <f t="shared" si="81"/>
        <v>500</v>
      </c>
      <c r="Q172" s="529">
        <f t="shared" si="82"/>
        <v>0</v>
      </c>
      <c r="R172" s="529">
        <f t="shared" si="82"/>
        <v>500</v>
      </c>
    </row>
    <row r="173" spans="2:18" x14ac:dyDescent="0.2">
      <c r="B173" s="171">
        <f t="shared" si="84"/>
        <v>11</v>
      </c>
      <c r="C173" s="130"/>
      <c r="D173" s="130"/>
      <c r="E173" s="134"/>
      <c r="F173" s="134">
        <v>632</v>
      </c>
      <c r="G173" s="194" t="s">
        <v>274</v>
      </c>
      <c r="H173" s="527">
        <f>1500+100+200</f>
        <v>1800</v>
      </c>
      <c r="I173" s="527"/>
      <c r="J173" s="527">
        <f t="shared" si="87"/>
        <v>1800</v>
      </c>
      <c r="K173" s="132"/>
      <c r="L173" s="399"/>
      <c r="M173" s="399"/>
      <c r="N173" s="399"/>
      <c r="O173" s="132"/>
      <c r="P173" s="529">
        <f t="shared" si="81"/>
        <v>1800</v>
      </c>
      <c r="Q173" s="529">
        <f t="shared" si="82"/>
        <v>0</v>
      </c>
      <c r="R173" s="529">
        <f t="shared" si="82"/>
        <v>1800</v>
      </c>
    </row>
    <row r="174" spans="2:18" x14ac:dyDescent="0.2">
      <c r="B174" s="171">
        <f t="shared" si="84"/>
        <v>12</v>
      </c>
      <c r="C174" s="130"/>
      <c r="D174" s="130"/>
      <c r="E174" s="134"/>
      <c r="F174" s="134">
        <v>633</v>
      </c>
      <c r="G174" s="194" t="s">
        <v>247</v>
      </c>
      <c r="H174" s="527">
        <f>2600+200</f>
        <v>2800</v>
      </c>
      <c r="I174" s="527"/>
      <c r="J174" s="527">
        <f t="shared" si="87"/>
        <v>2800</v>
      </c>
      <c r="K174" s="132"/>
      <c r="L174" s="399"/>
      <c r="M174" s="399"/>
      <c r="N174" s="399"/>
      <c r="O174" s="132"/>
      <c r="P174" s="529">
        <f t="shared" si="81"/>
        <v>2800</v>
      </c>
      <c r="Q174" s="529">
        <f t="shared" si="82"/>
        <v>0</v>
      </c>
      <c r="R174" s="529">
        <f t="shared" si="82"/>
        <v>2800</v>
      </c>
    </row>
    <row r="175" spans="2:18" x14ac:dyDescent="0.2">
      <c r="B175" s="171">
        <f t="shared" si="84"/>
        <v>13</v>
      </c>
      <c r="C175" s="130"/>
      <c r="D175" s="130"/>
      <c r="E175" s="134"/>
      <c r="F175" s="134">
        <v>635</v>
      </c>
      <c r="G175" s="194" t="s">
        <v>261</v>
      </c>
      <c r="H175" s="527">
        <v>100</v>
      </c>
      <c r="I175" s="527"/>
      <c r="J175" s="527">
        <f t="shared" si="87"/>
        <v>100</v>
      </c>
      <c r="K175" s="132"/>
      <c r="L175" s="399"/>
      <c r="M175" s="399"/>
      <c r="N175" s="399"/>
      <c r="O175" s="132"/>
      <c r="P175" s="529">
        <f t="shared" si="81"/>
        <v>100</v>
      </c>
      <c r="Q175" s="529">
        <f t="shared" si="82"/>
        <v>0</v>
      </c>
      <c r="R175" s="529">
        <f t="shared" si="82"/>
        <v>100</v>
      </c>
    </row>
    <row r="176" spans="2:18" x14ac:dyDescent="0.2">
      <c r="B176" s="171">
        <f t="shared" si="84"/>
        <v>14</v>
      </c>
      <c r="C176" s="130"/>
      <c r="D176" s="130"/>
      <c r="E176" s="134"/>
      <c r="F176" s="134">
        <v>637</v>
      </c>
      <c r="G176" s="194" t="s">
        <v>248</v>
      </c>
      <c r="H176" s="527">
        <f>6200+1500-200</f>
        <v>7500</v>
      </c>
      <c r="I176" s="527"/>
      <c r="J176" s="527">
        <f t="shared" si="87"/>
        <v>7500</v>
      </c>
      <c r="K176" s="132"/>
      <c r="L176" s="399"/>
      <c r="M176" s="399"/>
      <c r="N176" s="399"/>
      <c r="O176" s="132"/>
      <c r="P176" s="529">
        <f t="shared" si="81"/>
        <v>7500</v>
      </c>
      <c r="Q176" s="529">
        <f t="shared" si="82"/>
        <v>0</v>
      </c>
      <c r="R176" s="529">
        <f t="shared" si="82"/>
        <v>7500</v>
      </c>
    </row>
    <row r="177" spans="2:18" x14ac:dyDescent="0.2">
      <c r="B177" s="171">
        <f t="shared" si="84"/>
        <v>15</v>
      </c>
      <c r="C177" s="130"/>
      <c r="D177" s="159"/>
      <c r="E177" s="134" t="s">
        <v>272</v>
      </c>
      <c r="F177" s="149">
        <v>640</v>
      </c>
      <c r="G177" s="199" t="s">
        <v>267</v>
      </c>
      <c r="H177" s="388">
        <v>200</v>
      </c>
      <c r="I177" s="388"/>
      <c r="J177" s="388">
        <f t="shared" si="87"/>
        <v>200</v>
      </c>
      <c r="K177" s="132"/>
      <c r="L177" s="430"/>
      <c r="M177" s="430"/>
      <c r="N177" s="430"/>
      <c r="O177" s="132"/>
      <c r="P177" s="150">
        <f t="shared" si="81"/>
        <v>200</v>
      </c>
      <c r="Q177" s="150">
        <f t="shared" si="82"/>
        <v>0</v>
      </c>
      <c r="R177" s="150">
        <f t="shared" si="82"/>
        <v>200</v>
      </c>
    </row>
    <row r="178" spans="2:18" ht="15.75" x14ac:dyDescent="0.25">
      <c r="B178" s="171">
        <f t="shared" si="84"/>
        <v>16</v>
      </c>
      <c r="C178" s="23">
        <v>3</v>
      </c>
      <c r="D178" s="127" t="s">
        <v>137</v>
      </c>
      <c r="E178" s="24"/>
      <c r="F178" s="24"/>
      <c r="G178" s="193"/>
      <c r="H178" s="411">
        <f>H179+H180+H181+H187</f>
        <v>163125</v>
      </c>
      <c r="I178" s="411">
        <f>I179+I180+I181+I187</f>
        <v>0</v>
      </c>
      <c r="J178" s="411">
        <f>H178+I178</f>
        <v>163125</v>
      </c>
      <c r="K178" s="88"/>
      <c r="L178" s="774">
        <v>0</v>
      </c>
      <c r="M178" s="774">
        <v>0</v>
      </c>
      <c r="N178" s="774">
        <f>L178+M178</f>
        <v>0</v>
      </c>
      <c r="O178" s="88"/>
      <c r="P178" s="373">
        <f t="shared" si="81"/>
        <v>163125</v>
      </c>
      <c r="Q178" s="373">
        <f t="shared" si="82"/>
        <v>0</v>
      </c>
      <c r="R178" s="373">
        <f t="shared" si="82"/>
        <v>163125</v>
      </c>
    </row>
    <row r="179" spans="2:18" x14ac:dyDescent="0.2">
      <c r="B179" s="171">
        <f t="shared" si="84"/>
        <v>17</v>
      </c>
      <c r="C179" s="135"/>
      <c r="D179" s="135"/>
      <c r="E179" s="134" t="s">
        <v>669</v>
      </c>
      <c r="F179" s="149">
        <v>610</v>
      </c>
      <c r="G179" s="199" t="s">
        <v>257</v>
      </c>
      <c r="H179" s="388">
        <v>111145</v>
      </c>
      <c r="I179" s="388"/>
      <c r="J179" s="388">
        <f>H179+I179</f>
        <v>111145</v>
      </c>
      <c r="K179" s="132"/>
      <c r="L179" s="399"/>
      <c r="M179" s="399"/>
      <c r="N179" s="399"/>
      <c r="O179" s="132"/>
      <c r="P179" s="150">
        <f t="shared" si="81"/>
        <v>111145</v>
      </c>
      <c r="Q179" s="150">
        <f t="shared" ref="Q179:R194" si="89">I179+M179</f>
        <v>0</v>
      </c>
      <c r="R179" s="150">
        <f t="shared" si="89"/>
        <v>111145</v>
      </c>
    </row>
    <row r="180" spans="2:18" x14ac:dyDescent="0.2">
      <c r="B180" s="171">
        <f t="shared" si="84"/>
        <v>18</v>
      </c>
      <c r="C180" s="130"/>
      <c r="D180" s="130"/>
      <c r="E180" s="134" t="s">
        <v>669</v>
      </c>
      <c r="F180" s="149">
        <v>620</v>
      </c>
      <c r="G180" s="199" t="s">
        <v>259</v>
      </c>
      <c r="H180" s="388">
        <v>38510</v>
      </c>
      <c r="I180" s="388"/>
      <c r="J180" s="388">
        <f t="shared" ref="J180:J187" si="90">H180+I180</f>
        <v>38510</v>
      </c>
      <c r="K180" s="132"/>
      <c r="L180" s="399"/>
      <c r="M180" s="399"/>
      <c r="N180" s="399"/>
      <c r="O180" s="132"/>
      <c r="P180" s="150">
        <f t="shared" si="81"/>
        <v>38510</v>
      </c>
      <c r="Q180" s="150">
        <f t="shared" si="89"/>
        <v>0</v>
      </c>
      <c r="R180" s="150">
        <f t="shared" si="89"/>
        <v>38510</v>
      </c>
    </row>
    <row r="181" spans="2:18" x14ac:dyDescent="0.2">
      <c r="B181" s="171">
        <f t="shared" si="84"/>
        <v>19</v>
      </c>
      <c r="C181" s="130"/>
      <c r="D181" s="130"/>
      <c r="E181" s="134" t="s">
        <v>669</v>
      </c>
      <c r="F181" s="149">
        <v>630</v>
      </c>
      <c r="G181" s="199" t="s">
        <v>445</v>
      </c>
      <c r="H181" s="388">
        <f>SUM(H182:H186)</f>
        <v>13170</v>
      </c>
      <c r="I181" s="388">
        <f t="shared" ref="I181" si="91">SUM(I182:I186)</f>
        <v>0</v>
      </c>
      <c r="J181" s="388">
        <f t="shared" si="90"/>
        <v>13170</v>
      </c>
      <c r="K181" s="132"/>
      <c r="L181" s="399"/>
      <c r="M181" s="399"/>
      <c r="N181" s="399"/>
      <c r="O181" s="132"/>
      <c r="P181" s="150">
        <f t="shared" si="81"/>
        <v>13170</v>
      </c>
      <c r="Q181" s="150">
        <f t="shared" si="89"/>
        <v>0</v>
      </c>
      <c r="R181" s="150">
        <f t="shared" si="89"/>
        <v>13170</v>
      </c>
    </row>
    <row r="182" spans="2:18" x14ac:dyDescent="0.2">
      <c r="B182" s="171">
        <f t="shared" si="84"/>
        <v>20</v>
      </c>
      <c r="C182" s="130"/>
      <c r="D182" s="130"/>
      <c r="E182" s="134"/>
      <c r="F182" s="134">
        <v>631</v>
      </c>
      <c r="G182" s="194" t="s">
        <v>291</v>
      </c>
      <c r="H182" s="527">
        <v>100</v>
      </c>
      <c r="I182" s="527"/>
      <c r="J182" s="527">
        <f t="shared" si="90"/>
        <v>100</v>
      </c>
      <c r="K182" s="132"/>
      <c r="L182" s="399"/>
      <c r="M182" s="399"/>
      <c r="N182" s="399"/>
      <c r="O182" s="132"/>
      <c r="P182" s="529">
        <f t="shared" si="81"/>
        <v>100</v>
      </c>
      <c r="Q182" s="529">
        <f t="shared" si="89"/>
        <v>0</v>
      </c>
      <c r="R182" s="529">
        <f t="shared" si="89"/>
        <v>100</v>
      </c>
    </row>
    <row r="183" spans="2:18" x14ac:dyDescent="0.2">
      <c r="B183" s="171">
        <f t="shared" si="84"/>
        <v>21</v>
      </c>
      <c r="C183" s="130"/>
      <c r="D183" s="130"/>
      <c r="E183" s="134"/>
      <c r="F183" s="134">
        <v>632</v>
      </c>
      <c r="G183" s="194" t="s">
        <v>274</v>
      </c>
      <c r="H183" s="527">
        <v>1500</v>
      </c>
      <c r="I183" s="527"/>
      <c r="J183" s="527">
        <f t="shared" si="90"/>
        <v>1500</v>
      </c>
      <c r="K183" s="132"/>
      <c r="L183" s="399"/>
      <c r="M183" s="399"/>
      <c r="N183" s="399"/>
      <c r="O183" s="132"/>
      <c r="P183" s="529">
        <f t="shared" si="81"/>
        <v>1500</v>
      </c>
      <c r="Q183" s="529">
        <f t="shared" si="89"/>
        <v>0</v>
      </c>
      <c r="R183" s="529">
        <f t="shared" si="89"/>
        <v>1500</v>
      </c>
    </row>
    <row r="184" spans="2:18" x14ac:dyDescent="0.2">
      <c r="B184" s="171">
        <f t="shared" si="84"/>
        <v>22</v>
      </c>
      <c r="C184" s="130"/>
      <c r="D184" s="130"/>
      <c r="E184" s="134"/>
      <c r="F184" s="134">
        <v>633</v>
      </c>
      <c r="G184" s="194" t="s">
        <v>417</v>
      </c>
      <c r="H184" s="527">
        <v>1900</v>
      </c>
      <c r="I184" s="527"/>
      <c r="J184" s="527">
        <f t="shared" si="90"/>
        <v>1900</v>
      </c>
      <c r="K184" s="132"/>
      <c r="L184" s="399"/>
      <c r="M184" s="399"/>
      <c r="N184" s="399"/>
      <c r="O184" s="132"/>
      <c r="P184" s="529">
        <f t="shared" si="81"/>
        <v>1900</v>
      </c>
      <c r="Q184" s="529">
        <f t="shared" si="89"/>
        <v>0</v>
      </c>
      <c r="R184" s="529">
        <f t="shared" si="89"/>
        <v>1900</v>
      </c>
    </row>
    <row r="185" spans="2:18" x14ac:dyDescent="0.2">
      <c r="B185" s="171">
        <f t="shared" si="84"/>
        <v>23</v>
      </c>
      <c r="C185" s="130"/>
      <c r="D185" s="130"/>
      <c r="E185" s="134"/>
      <c r="F185" s="134">
        <v>633</v>
      </c>
      <c r="G185" s="194" t="s">
        <v>247</v>
      </c>
      <c r="H185" s="527">
        <v>2470</v>
      </c>
      <c r="I185" s="527"/>
      <c r="J185" s="527">
        <f t="shared" si="90"/>
        <v>2470</v>
      </c>
      <c r="K185" s="132"/>
      <c r="L185" s="399"/>
      <c r="M185" s="399"/>
      <c r="N185" s="399"/>
      <c r="O185" s="132"/>
      <c r="P185" s="529">
        <f t="shared" si="81"/>
        <v>2470</v>
      </c>
      <c r="Q185" s="529">
        <f t="shared" si="89"/>
        <v>0</v>
      </c>
      <c r="R185" s="529">
        <f t="shared" si="89"/>
        <v>2470</v>
      </c>
    </row>
    <row r="186" spans="2:18" x14ac:dyDescent="0.2">
      <c r="B186" s="171">
        <f t="shared" si="84"/>
        <v>24</v>
      </c>
      <c r="C186" s="130"/>
      <c r="D186" s="130"/>
      <c r="E186" s="134"/>
      <c r="F186" s="134">
        <v>637</v>
      </c>
      <c r="G186" s="194" t="s">
        <v>248</v>
      </c>
      <c r="H186" s="527">
        <f>7300-100</f>
        <v>7200</v>
      </c>
      <c r="I186" s="527"/>
      <c r="J186" s="527">
        <f t="shared" si="90"/>
        <v>7200</v>
      </c>
      <c r="K186" s="132"/>
      <c r="L186" s="399"/>
      <c r="M186" s="399"/>
      <c r="N186" s="399"/>
      <c r="O186" s="132"/>
      <c r="P186" s="529">
        <f t="shared" si="81"/>
        <v>7200</v>
      </c>
      <c r="Q186" s="529">
        <f t="shared" si="89"/>
        <v>0</v>
      </c>
      <c r="R186" s="529">
        <f t="shared" si="89"/>
        <v>7200</v>
      </c>
    </row>
    <row r="187" spans="2:18" x14ac:dyDescent="0.2">
      <c r="B187" s="171">
        <f t="shared" si="84"/>
        <v>25</v>
      </c>
      <c r="C187" s="130"/>
      <c r="D187" s="525"/>
      <c r="E187" s="159"/>
      <c r="F187" s="210">
        <v>642</v>
      </c>
      <c r="G187" s="199" t="s">
        <v>605</v>
      </c>
      <c r="H187" s="388">
        <f>200+100</f>
        <v>300</v>
      </c>
      <c r="I187" s="388"/>
      <c r="J187" s="388">
        <f t="shared" si="90"/>
        <v>300</v>
      </c>
      <c r="K187" s="145"/>
      <c r="L187" s="462"/>
      <c r="M187" s="462"/>
      <c r="N187" s="462"/>
      <c r="O187" s="145"/>
      <c r="P187" s="483">
        <f t="shared" si="81"/>
        <v>300</v>
      </c>
      <c r="Q187" s="483">
        <f t="shared" si="89"/>
        <v>0</v>
      </c>
      <c r="R187" s="483">
        <f t="shared" si="89"/>
        <v>300</v>
      </c>
    </row>
    <row r="188" spans="2:18" ht="15.75" x14ac:dyDescent="0.25">
      <c r="B188" s="171">
        <f t="shared" si="84"/>
        <v>26</v>
      </c>
      <c r="C188" s="23">
        <v>4</v>
      </c>
      <c r="D188" s="127" t="s">
        <v>104</v>
      </c>
      <c r="E188" s="24"/>
      <c r="F188" s="24"/>
      <c r="G188" s="193"/>
      <c r="H188" s="411">
        <f>H189</f>
        <v>38300</v>
      </c>
      <c r="I188" s="411">
        <f t="shared" ref="I188" si="92">I189</f>
        <v>0</v>
      </c>
      <c r="J188" s="411">
        <f>H188+I188</f>
        <v>38300</v>
      </c>
      <c r="K188" s="88"/>
      <c r="L188" s="774">
        <v>0</v>
      </c>
      <c r="M188" s="774">
        <v>0</v>
      </c>
      <c r="N188" s="774">
        <f>L188+M188</f>
        <v>0</v>
      </c>
      <c r="O188" s="88"/>
      <c r="P188" s="373">
        <f t="shared" si="81"/>
        <v>38300</v>
      </c>
      <c r="Q188" s="373">
        <f t="shared" si="89"/>
        <v>0</v>
      </c>
      <c r="R188" s="373">
        <f t="shared" si="89"/>
        <v>38300</v>
      </c>
    </row>
    <row r="189" spans="2:18" x14ac:dyDescent="0.2">
      <c r="B189" s="171">
        <f t="shared" si="84"/>
        <v>27</v>
      </c>
      <c r="C189" s="135"/>
      <c r="D189" s="135"/>
      <c r="E189" s="225" t="s">
        <v>241</v>
      </c>
      <c r="F189" s="225"/>
      <c r="G189" s="224" t="s">
        <v>444</v>
      </c>
      <c r="H189" s="387">
        <f>H190+H191+H192+H197</f>
        <v>38300</v>
      </c>
      <c r="I189" s="387">
        <f t="shared" ref="I189" si="93">I190+I191+I192+I197</f>
        <v>0</v>
      </c>
      <c r="J189" s="387">
        <f>H189+I189</f>
        <v>38300</v>
      </c>
      <c r="K189" s="132"/>
      <c r="L189" s="399"/>
      <c r="M189" s="399"/>
      <c r="N189" s="399"/>
      <c r="O189" s="132"/>
      <c r="P189" s="150">
        <f t="shared" si="81"/>
        <v>38300</v>
      </c>
      <c r="Q189" s="150">
        <f t="shared" si="89"/>
        <v>0</v>
      </c>
      <c r="R189" s="150">
        <f t="shared" si="89"/>
        <v>38300</v>
      </c>
    </row>
    <row r="190" spans="2:18" x14ac:dyDescent="0.2">
      <c r="B190" s="171">
        <f t="shared" si="84"/>
        <v>28</v>
      </c>
      <c r="C190" s="130"/>
      <c r="D190" s="130"/>
      <c r="E190" s="134"/>
      <c r="F190" s="149">
        <v>610</v>
      </c>
      <c r="G190" s="199" t="s">
        <v>257</v>
      </c>
      <c r="H190" s="388">
        <v>18400</v>
      </c>
      <c r="I190" s="388"/>
      <c r="J190" s="388">
        <f>H190+I190</f>
        <v>18400</v>
      </c>
      <c r="K190" s="132"/>
      <c r="L190" s="399"/>
      <c r="M190" s="399"/>
      <c r="N190" s="399"/>
      <c r="O190" s="132"/>
      <c r="P190" s="150">
        <f t="shared" si="81"/>
        <v>18400</v>
      </c>
      <c r="Q190" s="150">
        <f t="shared" si="89"/>
        <v>0</v>
      </c>
      <c r="R190" s="150">
        <f t="shared" si="89"/>
        <v>18400</v>
      </c>
    </row>
    <row r="191" spans="2:18" x14ac:dyDescent="0.2">
      <c r="B191" s="171">
        <f t="shared" si="84"/>
        <v>29</v>
      </c>
      <c r="C191" s="130"/>
      <c r="D191" s="130"/>
      <c r="E191" s="134"/>
      <c r="F191" s="149">
        <v>620</v>
      </c>
      <c r="G191" s="199" t="s">
        <v>259</v>
      </c>
      <c r="H191" s="388">
        <v>6465</v>
      </c>
      <c r="I191" s="388"/>
      <c r="J191" s="388">
        <f t="shared" ref="J191:J197" si="94">H191+I191</f>
        <v>6465</v>
      </c>
      <c r="K191" s="132"/>
      <c r="L191" s="399"/>
      <c r="M191" s="399"/>
      <c r="N191" s="399"/>
      <c r="O191" s="132"/>
      <c r="P191" s="150">
        <f t="shared" si="81"/>
        <v>6465</v>
      </c>
      <c r="Q191" s="150">
        <f t="shared" si="89"/>
        <v>0</v>
      </c>
      <c r="R191" s="150">
        <f t="shared" si="89"/>
        <v>6465</v>
      </c>
    </row>
    <row r="192" spans="2:18" x14ac:dyDescent="0.2">
      <c r="B192" s="171">
        <f t="shared" si="84"/>
        <v>30</v>
      </c>
      <c r="C192" s="130"/>
      <c r="D192" s="130"/>
      <c r="E192" s="134"/>
      <c r="F192" s="149">
        <v>630</v>
      </c>
      <c r="G192" s="199" t="s">
        <v>445</v>
      </c>
      <c r="H192" s="388">
        <f>SUM(H193:H196)</f>
        <v>13385</v>
      </c>
      <c r="I192" s="388">
        <f t="shared" ref="I192" si="95">SUM(I193:I196)</f>
        <v>0</v>
      </c>
      <c r="J192" s="388">
        <f t="shared" si="94"/>
        <v>13385</v>
      </c>
      <c r="K192" s="132"/>
      <c r="L192" s="527"/>
      <c r="M192" s="527"/>
      <c r="N192" s="527"/>
      <c r="O192" s="132"/>
      <c r="P192" s="150">
        <f t="shared" si="81"/>
        <v>13385</v>
      </c>
      <c r="Q192" s="150">
        <f t="shared" si="89"/>
        <v>0</v>
      </c>
      <c r="R192" s="150">
        <f t="shared" si="89"/>
        <v>13385</v>
      </c>
    </row>
    <row r="193" spans="2:18" x14ac:dyDescent="0.2">
      <c r="B193" s="171">
        <f t="shared" si="84"/>
        <v>31</v>
      </c>
      <c r="C193" s="130"/>
      <c r="D193" s="130"/>
      <c r="E193" s="134"/>
      <c r="F193" s="134">
        <v>632</v>
      </c>
      <c r="G193" s="194" t="s">
        <v>246</v>
      </c>
      <c r="H193" s="527">
        <v>7940</v>
      </c>
      <c r="I193" s="527"/>
      <c r="J193" s="527">
        <f t="shared" si="94"/>
        <v>7940</v>
      </c>
      <c r="K193" s="132"/>
      <c r="L193" s="527"/>
      <c r="M193" s="527"/>
      <c r="N193" s="527"/>
      <c r="O193" s="132"/>
      <c r="P193" s="529">
        <f t="shared" si="81"/>
        <v>7940</v>
      </c>
      <c r="Q193" s="529">
        <f t="shared" si="89"/>
        <v>0</v>
      </c>
      <c r="R193" s="529">
        <f t="shared" si="89"/>
        <v>7940</v>
      </c>
    </row>
    <row r="194" spans="2:18" x14ac:dyDescent="0.2">
      <c r="B194" s="171">
        <f t="shared" si="84"/>
        <v>32</v>
      </c>
      <c r="C194" s="130"/>
      <c r="D194" s="130"/>
      <c r="E194" s="134"/>
      <c r="F194" s="134">
        <v>633</v>
      </c>
      <c r="G194" s="194" t="s">
        <v>247</v>
      </c>
      <c r="H194" s="527">
        <v>1725</v>
      </c>
      <c r="I194" s="527"/>
      <c r="J194" s="527">
        <f t="shared" si="94"/>
        <v>1725</v>
      </c>
      <c r="K194" s="132"/>
      <c r="L194" s="527"/>
      <c r="M194" s="527"/>
      <c r="N194" s="527"/>
      <c r="O194" s="132"/>
      <c r="P194" s="529">
        <f t="shared" si="81"/>
        <v>1725</v>
      </c>
      <c r="Q194" s="529">
        <f t="shared" si="89"/>
        <v>0</v>
      </c>
      <c r="R194" s="529">
        <f t="shared" si="89"/>
        <v>1725</v>
      </c>
    </row>
    <row r="195" spans="2:18" x14ac:dyDescent="0.2">
      <c r="B195" s="171">
        <f t="shared" si="84"/>
        <v>33</v>
      </c>
      <c r="C195" s="130"/>
      <c r="D195" s="130"/>
      <c r="E195" s="134"/>
      <c r="F195" s="134">
        <v>635</v>
      </c>
      <c r="G195" s="194" t="s">
        <v>261</v>
      </c>
      <c r="H195" s="527">
        <f>200+300</f>
        <v>500</v>
      </c>
      <c r="I195" s="527"/>
      <c r="J195" s="527">
        <f t="shared" si="94"/>
        <v>500</v>
      </c>
      <c r="K195" s="132"/>
      <c r="L195" s="527"/>
      <c r="M195" s="527"/>
      <c r="N195" s="527"/>
      <c r="O195" s="132"/>
      <c r="P195" s="529">
        <f t="shared" ref="P195:P230" si="96">H195+L195</f>
        <v>500</v>
      </c>
      <c r="Q195" s="529">
        <f t="shared" ref="Q195:R210" si="97">I195+M195</f>
        <v>0</v>
      </c>
      <c r="R195" s="529">
        <f t="shared" si="97"/>
        <v>500</v>
      </c>
    </row>
    <row r="196" spans="2:18" x14ac:dyDescent="0.2">
      <c r="B196" s="171">
        <f t="shared" si="84"/>
        <v>34</v>
      </c>
      <c r="C196" s="130"/>
      <c r="D196" s="130"/>
      <c r="E196" s="134"/>
      <c r="F196" s="134">
        <v>637</v>
      </c>
      <c r="G196" s="194" t="s">
        <v>248</v>
      </c>
      <c r="H196" s="527">
        <v>3220</v>
      </c>
      <c r="I196" s="527"/>
      <c r="J196" s="527">
        <f t="shared" si="94"/>
        <v>3220</v>
      </c>
      <c r="K196" s="132"/>
      <c r="L196" s="527"/>
      <c r="M196" s="527"/>
      <c r="N196" s="527"/>
      <c r="O196" s="132"/>
      <c r="P196" s="529">
        <f t="shared" si="96"/>
        <v>3220</v>
      </c>
      <c r="Q196" s="529">
        <f t="shared" si="97"/>
        <v>0</v>
      </c>
      <c r="R196" s="529">
        <f t="shared" si="97"/>
        <v>3220</v>
      </c>
    </row>
    <row r="197" spans="2:18" x14ac:dyDescent="0.2">
      <c r="B197" s="171">
        <f t="shared" si="84"/>
        <v>35</v>
      </c>
      <c r="C197" s="130"/>
      <c r="D197" s="525"/>
      <c r="E197" s="525"/>
      <c r="F197" s="154">
        <v>640</v>
      </c>
      <c r="G197" s="199" t="s">
        <v>301</v>
      </c>
      <c r="H197" s="388">
        <v>50</v>
      </c>
      <c r="I197" s="388"/>
      <c r="J197" s="388">
        <f t="shared" si="94"/>
        <v>50</v>
      </c>
      <c r="K197" s="132"/>
      <c r="L197" s="382"/>
      <c r="M197" s="382"/>
      <c r="N197" s="382"/>
      <c r="O197" s="132"/>
      <c r="P197" s="483">
        <f t="shared" si="96"/>
        <v>50</v>
      </c>
      <c r="Q197" s="483">
        <f t="shared" si="97"/>
        <v>0</v>
      </c>
      <c r="R197" s="483">
        <f t="shared" si="97"/>
        <v>50</v>
      </c>
    </row>
    <row r="198" spans="2:18" ht="15.75" x14ac:dyDescent="0.25">
      <c r="B198" s="171">
        <f t="shared" si="84"/>
        <v>36</v>
      </c>
      <c r="C198" s="23">
        <v>5</v>
      </c>
      <c r="D198" s="127" t="s">
        <v>138</v>
      </c>
      <c r="E198" s="24"/>
      <c r="F198" s="24"/>
      <c r="G198" s="193"/>
      <c r="H198" s="411">
        <f>H199</f>
        <v>28900</v>
      </c>
      <c r="I198" s="411">
        <f t="shared" ref="I198" si="98">I199</f>
        <v>0</v>
      </c>
      <c r="J198" s="411">
        <f>H198+I198</f>
        <v>28900</v>
      </c>
      <c r="K198" s="88"/>
      <c r="L198" s="379">
        <f>SUM(L199:L208)</f>
        <v>5000</v>
      </c>
      <c r="M198" s="379">
        <f t="shared" ref="M198" si="99">SUM(M199:M208)</f>
        <v>0</v>
      </c>
      <c r="N198" s="379">
        <f>L198+M198</f>
        <v>5000</v>
      </c>
      <c r="O198" s="88"/>
      <c r="P198" s="373">
        <f t="shared" si="96"/>
        <v>33900</v>
      </c>
      <c r="Q198" s="373">
        <f t="shared" si="97"/>
        <v>0</v>
      </c>
      <c r="R198" s="373">
        <f t="shared" si="97"/>
        <v>33900</v>
      </c>
    </row>
    <row r="199" spans="2:18" x14ac:dyDescent="0.2">
      <c r="B199" s="171">
        <f t="shared" si="84"/>
        <v>37</v>
      </c>
      <c r="C199" s="130"/>
      <c r="D199" s="130"/>
      <c r="E199" s="225" t="s">
        <v>241</v>
      </c>
      <c r="F199" s="225"/>
      <c r="G199" s="226" t="s">
        <v>443</v>
      </c>
      <c r="H199" s="387">
        <f>H200+H201+H202</f>
        <v>28900</v>
      </c>
      <c r="I199" s="387">
        <f t="shared" ref="I199" si="100">I200+I201+I202</f>
        <v>0</v>
      </c>
      <c r="J199" s="387">
        <f>H199+I199</f>
        <v>28900</v>
      </c>
      <c r="K199" s="132"/>
      <c r="L199" s="527"/>
      <c r="M199" s="527"/>
      <c r="N199" s="527"/>
      <c r="O199" s="132"/>
      <c r="P199" s="150">
        <f t="shared" si="96"/>
        <v>28900</v>
      </c>
      <c r="Q199" s="150">
        <f t="shared" si="97"/>
        <v>0</v>
      </c>
      <c r="R199" s="150">
        <f t="shared" si="97"/>
        <v>28900</v>
      </c>
    </row>
    <row r="200" spans="2:18" x14ac:dyDescent="0.2">
      <c r="B200" s="171">
        <f t="shared" si="84"/>
        <v>38</v>
      </c>
      <c r="C200" s="143"/>
      <c r="D200" s="143"/>
      <c r="E200" s="134"/>
      <c r="F200" s="149">
        <v>610</v>
      </c>
      <c r="G200" s="199" t="s">
        <v>257</v>
      </c>
      <c r="H200" s="388">
        <v>6600</v>
      </c>
      <c r="I200" s="388"/>
      <c r="J200" s="388">
        <f>H200+I200</f>
        <v>6600</v>
      </c>
      <c r="K200" s="145"/>
      <c r="L200" s="388"/>
      <c r="M200" s="388"/>
      <c r="N200" s="527"/>
      <c r="O200" s="145"/>
      <c r="P200" s="150">
        <f t="shared" si="96"/>
        <v>6600</v>
      </c>
      <c r="Q200" s="150">
        <f t="shared" si="97"/>
        <v>0</v>
      </c>
      <c r="R200" s="150">
        <f t="shared" si="97"/>
        <v>6600</v>
      </c>
    </row>
    <row r="201" spans="2:18" x14ac:dyDescent="0.2">
      <c r="B201" s="171">
        <f t="shared" si="84"/>
        <v>39</v>
      </c>
      <c r="C201" s="130"/>
      <c r="D201" s="130"/>
      <c r="E201" s="134"/>
      <c r="F201" s="149">
        <v>620</v>
      </c>
      <c r="G201" s="199" t="s">
        <v>259</v>
      </c>
      <c r="H201" s="388">
        <v>2950</v>
      </c>
      <c r="I201" s="388"/>
      <c r="J201" s="388">
        <f t="shared" ref="J201:J208" si="101">H201+I201</f>
        <v>2950</v>
      </c>
      <c r="K201" s="132"/>
      <c r="L201" s="527"/>
      <c r="M201" s="527"/>
      <c r="N201" s="527"/>
      <c r="O201" s="132"/>
      <c r="P201" s="150">
        <f t="shared" si="96"/>
        <v>2950</v>
      </c>
      <c r="Q201" s="150">
        <f t="shared" si="97"/>
        <v>0</v>
      </c>
      <c r="R201" s="150">
        <f t="shared" si="97"/>
        <v>2950</v>
      </c>
    </row>
    <row r="202" spans="2:18" x14ac:dyDescent="0.2">
      <c r="B202" s="171">
        <f t="shared" si="84"/>
        <v>40</v>
      </c>
      <c r="C202" s="130"/>
      <c r="D202" s="130"/>
      <c r="E202" s="525"/>
      <c r="F202" s="210">
        <v>630</v>
      </c>
      <c r="G202" s="199" t="s">
        <v>445</v>
      </c>
      <c r="H202" s="388">
        <f>SUM(H203:H207)</f>
        <v>19350</v>
      </c>
      <c r="I202" s="388">
        <f t="shared" ref="I202" si="102">SUM(I203:I207)</f>
        <v>0</v>
      </c>
      <c r="J202" s="388">
        <f t="shared" si="101"/>
        <v>19350</v>
      </c>
      <c r="K202" s="132"/>
      <c r="L202" s="527"/>
      <c r="M202" s="527"/>
      <c r="N202" s="527"/>
      <c r="O202" s="132"/>
      <c r="P202" s="150">
        <f t="shared" si="96"/>
        <v>19350</v>
      </c>
      <c r="Q202" s="150">
        <f t="shared" si="97"/>
        <v>0</v>
      </c>
      <c r="R202" s="150">
        <f t="shared" si="97"/>
        <v>19350</v>
      </c>
    </row>
    <row r="203" spans="2:18" x14ac:dyDescent="0.2">
      <c r="B203" s="171">
        <f t="shared" si="84"/>
        <v>41</v>
      </c>
      <c r="C203" s="130"/>
      <c r="D203" s="130"/>
      <c r="E203" s="134"/>
      <c r="F203" s="134">
        <v>632</v>
      </c>
      <c r="G203" s="194" t="s">
        <v>246</v>
      </c>
      <c r="H203" s="382">
        <v>5900</v>
      </c>
      <c r="I203" s="382"/>
      <c r="J203" s="527">
        <f t="shared" si="101"/>
        <v>5900</v>
      </c>
      <c r="K203" s="132"/>
      <c r="L203" s="527"/>
      <c r="M203" s="527"/>
      <c r="N203" s="527"/>
      <c r="O203" s="132"/>
      <c r="P203" s="529">
        <f t="shared" si="96"/>
        <v>5900</v>
      </c>
      <c r="Q203" s="529">
        <f t="shared" si="97"/>
        <v>0</v>
      </c>
      <c r="R203" s="529">
        <f t="shared" si="97"/>
        <v>5900</v>
      </c>
    </row>
    <row r="204" spans="2:18" x14ac:dyDescent="0.2">
      <c r="B204" s="171">
        <f t="shared" si="84"/>
        <v>42</v>
      </c>
      <c r="C204" s="130"/>
      <c r="D204" s="130"/>
      <c r="E204" s="134"/>
      <c r="F204" s="134">
        <v>633</v>
      </c>
      <c r="G204" s="194" t="s">
        <v>247</v>
      </c>
      <c r="H204" s="527">
        <f>500+700</f>
        <v>1200</v>
      </c>
      <c r="I204" s="527"/>
      <c r="J204" s="527">
        <f t="shared" si="101"/>
        <v>1200</v>
      </c>
      <c r="K204" s="132"/>
      <c r="L204" s="527"/>
      <c r="M204" s="527"/>
      <c r="N204" s="527"/>
      <c r="O204" s="132"/>
      <c r="P204" s="529">
        <f t="shared" si="96"/>
        <v>1200</v>
      </c>
      <c r="Q204" s="529">
        <f t="shared" si="97"/>
        <v>0</v>
      </c>
      <c r="R204" s="529">
        <f t="shared" si="97"/>
        <v>1200</v>
      </c>
    </row>
    <row r="205" spans="2:18" x14ac:dyDescent="0.2">
      <c r="B205" s="171">
        <f t="shared" si="84"/>
        <v>43</v>
      </c>
      <c r="C205" s="130"/>
      <c r="D205" s="130"/>
      <c r="E205" s="134"/>
      <c r="F205" s="134">
        <v>636</v>
      </c>
      <c r="G205" s="194" t="s">
        <v>346</v>
      </c>
      <c r="H205" s="527">
        <v>1650</v>
      </c>
      <c r="I205" s="527"/>
      <c r="J205" s="527">
        <f t="shared" si="101"/>
        <v>1650</v>
      </c>
      <c r="K205" s="132"/>
      <c r="L205" s="527"/>
      <c r="M205" s="527"/>
      <c r="N205" s="527"/>
      <c r="O205" s="132"/>
      <c r="P205" s="529">
        <f t="shared" si="96"/>
        <v>1650</v>
      </c>
      <c r="Q205" s="529">
        <f t="shared" si="97"/>
        <v>0</v>
      </c>
      <c r="R205" s="529">
        <f t="shared" si="97"/>
        <v>1650</v>
      </c>
    </row>
    <row r="206" spans="2:18" x14ac:dyDescent="0.2">
      <c r="B206" s="171">
        <f t="shared" si="84"/>
        <v>44</v>
      </c>
      <c r="C206" s="130"/>
      <c r="D206" s="130"/>
      <c r="E206" s="134"/>
      <c r="F206" s="134">
        <v>635</v>
      </c>
      <c r="G206" s="194" t="s">
        <v>261</v>
      </c>
      <c r="H206" s="527">
        <f>50+200</f>
        <v>250</v>
      </c>
      <c r="I206" s="527"/>
      <c r="J206" s="527">
        <f t="shared" si="101"/>
        <v>250</v>
      </c>
      <c r="K206" s="132"/>
      <c r="L206" s="527"/>
      <c r="M206" s="527"/>
      <c r="N206" s="527"/>
      <c r="O206" s="132"/>
      <c r="P206" s="529">
        <f t="shared" si="96"/>
        <v>250</v>
      </c>
      <c r="Q206" s="529">
        <f t="shared" si="97"/>
        <v>0</v>
      </c>
      <c r="R206" s="529">
        <f t="shared" si="97"/>
        <v>250</v>
      </c>
    </row>
    <row r="207" spans="2:18" x14ac:dyDescent="0.2">
      <c r="B207" s="171">
        <f t="shared" si="84"/>
        <v>45</v>
      </c>
      <c r="C207" s="130"/>
      <c r="D207" s="130"/>
      <c r="E207" s="134"/>
      <c r="F207" s="134">
        <v>637</v>
      </c>
      <c r="G207" s="194" t="s">
        <v>248</v>
      </c>
      <c r="H207" s="527">
        <v>10350</v>
      </c>
      <c r="I207" s="527"/>
      <c r="J207" s="527">
        <f t="shared" si="101"/>
        <v>10350</v>
      </c>
      <c r="K207" s="132"/>
      <c r="L207" s="527"/>
      <c r="M207" s="527"/>
      <c r="N207" s="527"/>
      <c r="O207" s="132"/>
      <c r="P207" s="529">
        <f t="shared" si="96"/>
        <v>10350</v>
      </c>
      <c r="Q207" s="529">
        <f t="shared" si="97"/>
        <v>0</v>
      </c>
      <c r="R207" s="529">
        <f t="shared" si="97"/>
        <v>10350</v>
      </c>
    </row>
    <row r="208" spans="2:18" x14ac:dyDescent="0.2">
      <c r="B208" s="171">
        <f t="shared" si="84"/>
        <v>46</v>
      </c>
      <c r="C208" s="130"/>
      <c r="D208" s="130"/>
      <c r="E208" s="134"/>
      <c r="F208" s="134">
        <v>718</v>
      </c>
      <c r="G208" s="194" t="s">
        <v>640</v>
      </c>
      <c r="H208" s="527"/>
      <c r="I208" s="527"/>
      <c r="J208" s="527">
        <f t="shared" si="101"/>
        <v>0</v>
      </c>
      <c r="K208" s="132"/>
      <c r="L208" s="527">
        <v>5000</v>
      </c>
      <c r="M208" s="527"/>
      <c r="N208" s="527">
        <f t="shared" ref="N208" si="103">L208+M208</f>
        <v>5000</v>
      </c>
      <c r="O208" s="132"/>
      <c r="P208" s="529">
        <f t="shared" si="96"/>
        <v>5000</v>
      </c>
      <c r="Q208" s="529">
        <f t="shared" si="97"/>
        <v>0</v>
      </c>
      <c r="R208" s="529">
        <f t="shared" si="97"/>
        <v>5000</v>
      </c>
    </row>
    <row r="209" spans="2:18" ht="15.75" x14ac:dyDescent="0.25">
      <c r="B209" s="171">
        <f t="shared" si="84"/>
        <v>47</v>
      </c>
      <c r="C209" s="23">
        <v>6</v>
      </c>
      <c r="D209" s="127" t="s">
        <v>163</v>
      </c>
      <c r="E209" s="24"/>
      <c r="F209" s="24"/>
      <c r="G209" s="193"/>
      <c r="H209" s="411">
        <f>SUM(H210:H218)</f>
        <v>125674</v>
      </c>
      <c r="I209" s="411">
        <f t="shared" ref="I209" si="104">SUM(I210:I218)</f>
        <v>0</v>
      </c>
      <c r="J209" s="411">
        <f>H209+I209</f>
        <v>125674</v>
      </c>
      <c r="K209" s="88"/>
      <c r="L209" s="379">
        <f>SUM(L210:L219)</f>
        <v>112000</v>
      </c>
      <c r="M209" s="379">
        <f t="shared" ref="M209" si="105">SUM(M210:M219)</f>
        <v>0</v>
      </c>
      <c r="N209" s="379">
        <f>L209+M209</f>
        <v>112000</v>
      </c>
      <c r="O209" s="88"/>
      <c r="P209" s="373">
        <f t="shared" si="96"/>
        <v>237674</v>
      </c>
      <c r="Q209" s="373">
        <f t="shared" si="97"/>
        <v>0</v>
      </c>
      <c r="R209" s="373">
        <f t="shared" si="97"/>
        <v>237674</v>
      </c>
    </row>
    <row r="210" spans="2:18" x14ac:dyDescent="0.2">
      <c r="B210" s="171">
        <f t="shared" si="84"/>
        <v>48</v>
      </c>
      <c r="C210" s="130"/>
      <c r="D210" s="130"/>
      <c r="E210" s="525" t="s">
        <v>276</v>
      </c>
      <c r="F210" s="134">
        <v>632</v>
      </c>
      <c r="G210" s="194" t="s">
        <v>488</v>
      </c>
      <c r="H210" s="527">
        <v>27000</v>
      </c>
      <c r="I210" s="527"/>
      <c r="J210" s="527">
        <f>H210+I210</f>
        <v>27000</v>
      </c>
      <c r="K210" s="132"/>
      <c r="L210" s="527"/>
      <c r="M210" s="527"/>
      <c r="N210" s="527"/>
      <c r="O210" s="132"/>
      <c r="P210" s="529">
        <f t="shared" si="96"/>
        <v>27000</v>
      </c>
      <c r="Q210" s="529">
        <f t="shared" si="97"/>
        <v>0</v>
      </c>
      <c r="R210" s="529">
        <f t="shared" si="97"/>
        <v>27000</v>
      </c>
    </row>
    <row r="211" spans="2:18" x14ac:dyDescent="0.2">
      <c r="B211" s="171">
        <f t="shared" si="84"/>
        <v>49</v>
      </c>
      <c r="C211" s="130"/>
      <c r="D211" s="130"/>
      <c r="E211" s="525" t="s">
        <v>276</v>
      </c>
      <c r="F211" s="134">
        <v>637</v>
      </c>
      <c r="G211" s="194" t="s">
        <v>489</v>
      </c>
      <c r="H211" s="527">
        <v>91800</v>
      </c>
      <c r="I211" s="527"/>
      <c r="J211" s="527">
        <f t="shared" ref="J211:J217" si="106">H211+I211</f>
        <v>91800</v>
      </c>
      <c r="K211" s="132"/>
      <c r="L211" s="527"/>
      <c r="M211" s="527"/>
      <c r="N211" s="527"/>
      <c r="O211" s="132"/>
      <c r="P211" s="529">
        <f t="shared" si="96"/>
        <v>91800</v>
      </c>
      <c r="Q211" s="529">
        <f t="shared" ref="Q211:R226" si="107">I211+M211</f>
        <v>0</v>
      </c>
      <c r="R211" s="529">
        <f t="shared" si="107"/>
        <v>91800</v>
      </c>
    </row>
    <row r="212" spans="2:18" x14ac:dyDescent="0.2">
      <c r="B212" s="171">
        <f t="shared" si="84"/>
        <v>50</v>
      </c>
      <c r="C212" s="130"/>
      <c r="D212" s="130"/>
      <c r="E212" s="525" t="s">
        <v>276</v>
      </c>
      <c r="F212" s="134">
        <v>637</v>
      </c>
      <c r="G212" s="194" t="s">
        <v>641</v>
      </c>
      <c r="H212" s="527">
        <v>6694</v>
      </c>
      <c r="I212" s="527"/>
      <c r="J212" s="527">
        <f t="shared" si="106"/>
        <v>6694</v>
      </c>
      <c r="K212" s="132"/>
      <c r="L212" s="527"/>
      <c r="M212" s="527"/>
      <c r="N212" s="527"/>
      <c r="O212" s="132"/>
      <c r="P212" s="529">
        <f t="shared" si="96"/>
        <v>6694</v>
      </c>
      <c r="Q212" s="529">
        <f t="shared" si="107"/>
        <v>0</v>
      </c>
      <c r="R212" s="529">
        <f t="shared" si="107"/>
        <v>6694</v>
      </c>
    </row>
    <row r="213" spans="2:18" x14ac:dyDescent="0.2">
      <c r="B213" s="171">
        <f t="shared" si="84"/>
        <v>51</v>
      </c>
      <c r="C213" s="130"/>
      <c r="D213" s="130"/>
      <c r="E213" s="525" t="s">
        <v>276</v>
      </c>
      <c r="F213" s="134">
        <v>637</v>
      </c>
      <c r="G213" s="194" t="s">
        <v>303</v>
      </c>
      <c r="H213" s="527">
        <v>180</v>
      </c>
      <c r="I213" s="527"/>
      <c r="J213" s="527">
        <f t="shared" si="106"/>
        <v>180</v>
      </c>
      <c r="K213" s="132"/>
      <c r="L213" s="527"/>
      <c r="M213" s="527"/>
      <c r="N213" s="527"/>
      <c r="O213" s="132"/>
      <c r="P213" s="529">
        <f t="shared" si="96"/>
        <v>180</v>
      </c>
      <c r="Q213" s="529">
        <f t="shared" si="107"/>
        <v>0</v>
      </c>
      <c r="R213" s="529">
        <f t="shared" si="107"/>
        <v>180</v>
      </c>
    </row>
    <row r="214" spans="2:18" x14ac:dyDescent="0.2">
      <c r="B214" s="171">
        <f t="shared" si="84"/>
        <v>52</v>
      </c>
      <c r="C214" s="130"/>
      <c r="D214" s="159"/>
      <c r="E214" s="525" t="s">
        <v>276</v>
      </c>
      <c r="F214" s="525">
        <v>716</v>
      </c>
      <c r="G214" s="194" t="s">
        <v>694</v>
      </c>
      <c r="H214" s="527"/>
      <c r="I214" s="527"/>
      <c r="J214" s="527">
        <f t="shared" si="106"/>
        <v>0</v>
      </c>
      <c r="K214" s="132"/>
      <c r="L214" s="382">
        <v>3500</v>
      </c>
      <c r="M214" s="382"/>
      <c r="N214" s="382">
        <f>L214+M214</f>
        <v>3500</v>
      </c>
      <c r="O214" s="132"/>
      <c r="P214" s="160">
        <f t="shared" si="96"/>
        <v>3500</v>
      </c>
      <c r="Q214" s="160">
        <f t="shared" si="107"/>
        <v>0</v>
      </c>
      <c r="R214" s="160">
        <f t="shared" si="107"/>
        <v>3500</v>
      </c>
    </row>
    <row r="215" spans="2:18" ht="24" x14ac:dyDescent="0.2">
      <c r="B215" s="674">
        <f t="shared" si="84"/>
        <v>53</v>
      </c>
      <c r="C215" s="454"/>
      <c r="D215" s="464"/>
      <c r="E215" s="458" t="s">
        <v>276</v>
      </c>
      <c r="F215" s="458">
        <v>717</v>
      </c>
      <c r="G215" s="496" t="s">
        <v>844</v>
      </c>
      <c r="H215" s="532"/>
      <c r="I215" s="532"/>
      <c r="J215" s="527">
        <f t="shared" si="106"/>
        <v>0</v>
      </c>
      <c r="K215" s="448"/>
      <c r="L215" s="465">
        <v>46500</v>
      </c>
      <c r="M215" s="465"/>
      <c r="N215" s="382">
        <f t="shared" ref="N215:N217" si="108">L215+M215</f>
        <v>46500</v>
      </c>
      <c r="O215" s="448"/>
      <c r="P215" s="777">
        <f t="shared" si="96"/>
        <v>46500</v>
      </c>
      <c r="Q215" s="777">
        <f t="shared" si="107"/>
        <v>0</v>
      </c>
      <c r="R215" s="777">
        <f t="shared" si="107"/>
        <v>46500</v>
      </c>
    </row>
    <row r="216" spans="2:18" x14ac:dyDescent="0.2">
      <c r="B216" s="171">
        <f t="shared" si="84"/>
        <v>54</v>
      </c>
      <c r="C216" s="130"/>
      <c r="D216" s="159"/>
      <c r="E216" s="525" t="s">
        <v>276</v>
      </c>
      <c r="F216" s="722">
        <v>716</v>
      </c>
      <c r="G216" s="709" t="s">
        <v>817</v>
      </c>
      <c r="H216" s="527"/>
      <c r="I216" s="527"/>
      <c r="J216" s="527">
        <f t="shared" si="106"/>
        <v>0</v>
      </c>
      <c r="K216" s="132"/>
      <c r="L216" s="382">
        <f>2000+988</f>
        <v>2988</v>
      </c>
      <c r="M216" s="382"/>
      <c r="N216" s="382">
        <f t="shared" si="108"/>
        <v>2988</v>
      </c>
      <c r="O216" s="132"/>
      <c r="P216" s="160">
        <f t="shared" si="96"/>
        <v>2988</v>
      </c>
      <c r="Q216" s="160">
        <f t="shared" si="107"/>
        <v>0</v>
      </c>
      <c r="R216" s="160">
        <f t="shared" si="107"/>
        <v>2988</v>
      </c>
    </row>
    <row r="217" spans="2:18" x14ac:dyDescent="0.2">
      <c r="B217" s="171">
        <f t="shared" si="84"/>
        <v>55</v>
      </c>
      <c r="C217" s="130"/>
      <c r="D217" s="159"/>
      <c r="E217" s="525" t="s">
        <v>276</v>
      </c>
      <c r="F217" s="525">
        <v>717</v>
      </c>
      <c r="G217" s="194" t="s">
        <v>766</v>
      </c>
      <c r="H217" s="527"/>
      <c r="I217" s="527"/>
      <c r="J217" s="527">
        <f t="shared" si="106"/>
        <v>0</v>
      </c>
      <c r="K217" s="132"/>
      <c r="L217" s="382">
        <v>45000</v>
      </c>
      <c r="M217" s="382"/>
      <c r="N217" s="382">
        <f t="shared" si="108"/>
        <v>45000</v>
      </c>
      <c r="O217" s="132"/>
      <c r="P217" s="160">
        <f t="shared" si="96"/>
        <v>45000</v>
      </c>
      <c r="Q217" s="160">
        <f t="shared" si="107"/>
        <v>0</v>
      </c>
      <c r="R217" s="160">
        <f t="shared" si="107"/>
        <v>45000</v>
      </c>
    </row>
    <row r="218" spans="2:18" x14ac:dyDescent="0.2">
      <c r="B218" s="171">
        <f t="shared" si="84"/>
        <v>56</v>
      </c>
      <c r="C218" s="130"/>
      <c r="D218" s="159"/>
      <c r="E218" s="525" t="s">
        <v>276</v>
      </c>
      <c r="F218" s="722">
        <v>717</v>
      </c>
      <c r="G218" s="709" t="s">
        <v>767</v>
      </c>
      <c r="H218" s="710"/>
      <c r="I218" s="710"/>
      <c r="J218" s="710"/>
      <c r="K218" s="711"/>
      <c r="L218" s="712">
        <f>5000-988</f>
        <v>4012</v>
      </c>
      <c r="M218" s="712"/>
      <c r="N218" s="712">
        <f>L218+M218</f>
        <v>4012</v>
      </c>
      <c r="O218" s="711"/>
      <c r="P218" s="713">
        <f t="shared" si="96"/>
        <v>4012</v>
      </c>
      <c r="Q218" s="713">
        <f t="shared" si="107"/>
        <v>0</v>
      </c>
      <c r="R218" s="713">
        <f t="shared" si="107"/>
        <v>4012</v>
      </c>
    </row>
    <row r="219" spans="2:18" x14ac:dyDescent="0.2">
      <c r="B219" s="171">
        <f t="shared" si="84"/>
        <v>57</v>
      </c>
      <c r="C219" s="130"/>
      <c r="D219" s="159"/>
      <c r="E219" s="525" t="s">
        <v>276</v>
      </c>
      <c r="F219" s="695">
        <v>717</v>
      </c>
      <c r="G219" s="717" t="s">
        <v>808</v>
      </c>
      <c r="H219" s="718"/>
      <c r="I219" s="718"/>
      <c r="J219" s="718"/>
      <c r="K219" s="719"/>
      <c r="L219" s="720">
        <v>10000</v>
      </c>
      <c r="M219" s="720"/>
      <c r="N219" s="720">
        <f>L219+M219</f>
        <v>10000</v>
      </c>
      <c r="O219" s="719"/>
      <c r="P219" s="721">
        <f t="shared" si="96"/>
        <v>10000</v>
      </c>
      <c r="Q219" s="721">
        <f t="shared" si="107"/>
        <v>0</v>
      </c>
      <c r="R219" s="721">
        <f t="shared" si="107"/>
        <v>10000</v>
      </c>
    </row>
    <row r="220" spans="2:18" ht="15.75" x14ac:dyDescent="0.25">
      <c r="B220" s="171">
        <f t="shared" si="84"/>
        <v>58</v>
      </c>
      <c r="C220" s="23">
        <v>7</v>
      </c>
      <c r="D220" s="127" t="s">
        <v>561</v>
      </c>
      <c r="E220" s="24"/>
      <c r="F220" s="24"/>
      <c r="G220" s="193"/>
      <c r="H220" s="411">
        <f>H221</f>
        <v>2875</v>
      </c>
      <c r="I220" s="411">
        <f t="shared" ref="I220" si="109">I221</f>
        <v>0</v>
      </c>
      <c r="J220" s="411">
        <f>H220+I220</f>
        <v>2875</v>
      </c>
      <c r="K220" s="88"/>
      <c r="L220" s="774">
        <f>L229</f>
        <v>15000</v>
      </c>
      <c r="M220" s="774">
        <f t="shared" ref="M220" si="110">M229</f>
        <v>0</v>
      </c>
      <c r="N220" s="774">
        <f>L220+M220</f>
        <v>15000</v>
      </c>
      <c r="O220" s="88"/>
      <c r="P220" s="373">
        <f t="shared" si="96"/>
        <v>17875</v>
      </c>
      <c r="Q220" s="373">
        <f t="shared" si="107"/>
        <v>0</v>
      </c>
      <c r="R220" s="373">
        <f t="shared" si="107"/>
        <v>17875</v>
      </c>
    </row>
    <row r="221" spans="2:18" x14ac:dyDescent="0.2">
      <c r="B221" s="171">
        <f t="shared" si="84"/>
        <v>59</v>
      </c>
      <c r="C221" s="130"/>
      <c r="D221" s="130"/>
      <c r="E221" s="227" t="s">
        <v>426</v>
      </c>
      <c r="F221" s="225"/>
      <c r="G221" s="224" t="s">
        <v>443</v>
      </c>
      <c r="H221" s="387">
        <f>H222+H223+H224</f>
        <v>2875</v>
      </c>
      <c r="I221" s="387">
        <f t="shared" ref="I221" si="111">I222+I223+I224</f>
        <v>0</v>
      </c>
      <c r="J221" s="387">
        <f>H221+I221</f>
        <v>2875</v>
      </c>
      <c r="K221" s="132"/>
      <c r="L221" s="527"/>
      <c r="M221" s="527"/>
      <c r="N221" s="527"/>
      <c r="O221" s="132"/>
      <c r="P221" s="150">
        <f t="shared" si="96"/>
        <v>2875</v>
      </c>
      <c r="Q221" s="150">
        <f t="shared" si="107"/>
        <v>0</v>
      </c>
      <c r="R221" s="150">
        <f t="shared" si="107"/>
        <v>2875</v>
      </c>
    </row>
    <row r="222" spans="2:18" x14ac:dyDescent="0.2">
      <c r="B222" s="171">
        <f t="shared" si="84"/>
        <v>60</v>
      </c>
      <c r="C222" s="130"/>
      <c r="D222" s="130"/>
      <c r="E222" s="525"/>
      <c r="F222" s="149">
        <v>610</v>
      </c>
      <c r="G222" s="199" t="s">
        <v>257</v>
      </c>
      <c r="H222" s="388">
        <v>700</v>
      </c>
      <c r="I222" s="388"/>
      <c r="J222" s="388">
        <f>H222+I222</f>
        <v>700</v>
      </c>
      <c r="K222" s="132"/>
      <c r="L222" s="527"/>
      <c r="M222" s="527"/>
      <c r="N222" s="527"/>
      <c r="O222" s="132"/>
      <c r="P222" s="150">
        <f t="shared" si="96"/>
        <v>700</v>
      </c>
      <c r="Q222" s="150">
        <f t="shared" si="107"/>
        <v>0</v>
      </c>
      <c r="R222" s="150">
        <f t="shared" si="107"/>
        <v>700</v>
      </c>
    </row>
    <row r="223" spans="2:18" x14ac:dyDescent="0.2">
      <c r="B223" s="171">
        <f t="shared" si="84"/>
        <v>61</v>
      </c>
      <c r="C223" s="130"/>
      <c r="D223" s="130"/>
      <c r="E223" s="525"/>
      <c r="F223" s="149">
        <v>620</v>
      </c>
      <c r="G223" s="199" t="s">
        <v>259</v>
      </c>
      <c r="H223" s="388">
        <v>245</v>
      </c>
      <c r="I223" s="388"/>
      <c r="J223" s="388">
        <f t="shared" ref="J223:J228" si="112">H223+I223</f>
        <v>245</v>
      </c>
      <c r="K223" s="132"/>
      <c r="L223" s="527"/>
      <c r="M223" s="527"/>
      <c r="N223" s="527"/>
      <c r="O223" s="132"/>
      <c r="P223" s="150">
        <f t="shared" si="96"/>
        <v>245</v>
      </c>
      <c r="Q223" s="150">
        <f t="shared" si="107"/>
        <v>0</v>
      </c>
      <c r="R223" s="150">
        <f t="shared" si="107"/>
        <v>245</v>
      </c>
    </row>
    <row r="224" spans="2:18" x14ac:dyDescent="0.2">
      <c r="B224" s="171">
        <f t="shared" si="84"/>
        <v>62</v>
      </c>
      <c r="C224" s="130"/>
      <c r="D224" s="130"/>
      <c r="E224" s="525"/>
      <c r="F224" s="149">
        <v>630</v>
      </c>
      <c r="G224" s="199" t="s">
        <v>445</v>
      </c>
      <c r="H224" s="388">
        <f>SUM(H225:H228)</f>
        <v>1930</v>
      </c>
      <c r="I224" s="388">
        <f t="shared" ref="I224" si="113">SUM(I225:I228)</f>
        <v>0</v>
      </c>
      <c r="J224" s="388">
        <f t="shared" si="112"/>
        <v>1930</v>
      </c>
      <c r="K224" s="132"/>
      <c r="L224" s="527"/>
      <c r="M224" s="527"/>
      <c r="N224" s="527"/>
      <c r="O224" s="132"/>
      <c r="P224" s="150">
        <f t="shared" si="96"/>
        <v>1930</v>
      </c>
      <c r="Q224" s="150">
        <f t="shared" si="107"/>
        <v>0</v>
      </c>
      <c r="R224" s="150">
        <f t="shared" si="107"/>
        <v>1930</v>
      </c>
    </row>
    <row r="225" spans="2:18" x14ac:dyDescent="0.2">
      <c r="B225" s="171">
        <f t="shared" si="84"/>
        <v>63</v>
      </c>
      <c r="C225" s="130"/>
      <c r="D225" s="130"/>
      <c r="E225" s="525"/>
      <c r="F225" s="134">
        <v>633</v>
      </c>
      <c r="G225" s="194" t="s">
        <v>247</v>
      </c>
      <c r="H225" s="527">
        <v>800</v>
      </c>
      <c r="I225" s="527"/>
      <c r="J225" s="527">
        <f t="shared" si="112"/>
        <v>800</v>
      </c>
      <c r="K225" s="132"/>
      <c r="L225" s="527"/>
      <c r="M225" s="527"/>
      <c r="N225" s="527"/>
      <c r="O225" s="132"/>
      <c r="P225" s="529">
        <f t="shared" si="96"/>
        <v>800</v>
      </c>
      <c r="Q225" s="529">
        <f t="shared" si="107"/>
        <v>0</v>
      </c>
      <c r="R225" s="529">
        <f t="shared" si="107"/>
        <v>800</v>
      </c>
    </row>
    <row r="226" spans="2:18" x14ac:dyDescent="0.2">
      <c r="B226" s="171">
        <f t="shared" si="84"/>
        <v>64</v>
      </c>
      <c r="C226" s="130"/>
      <c r="D226" s="130"/>
      <c r="E226" s="525"/>
      <c r="F226" s="134">
        <v>634</v>
      </c>
      <c r="G226" s="194" t="s">
        <v>260</v>
      </c>
      <c r="H226" s="527">
        <v>450</v>
      </c>
      <c r="I226" s="527"/>
      <c r="J226" s="527">
        <f t="shared" si="112"/>
        <v>450</v>
      </c>
      <c r="K226" s="132"/>
      <c r="L226" s="527"/>
      <c r="M226" s="527"/>
      <c r="N226" s="527"/>
      <c r="O226" s="132"/>
      <c r="P226" s="529">
        <f t="shared" si="96"/>
        <v>450</v>
      </c>
      <c r="Q226" s="529">
        <f t="shared" si="107"/>
        <v>0</v>
      </c>
      <c r="R226" s="529">
        <f t="shared" si="107"/>
        <v>450</v>
      </c>
    </row>
    <row r="227" spans="2:18" x14ac:dyDescent="0.2">
      <c r="B227" s="171">
        <f t="shared" si="84"/>
        <v>65</v>
      </c>
      <c r="C227" s="130"/>
      <c r="D227" s="130"/>
      <c r="E227" s="525"/>
      <c r="F227" s="134">
        <v>635</v>
      </c>
      <c r="G227" s="194" t="s">
        <v>261</v>
      </c>
      <c r="H227" s="527">
        <v>350</v>
      </c>
      <c r="I227" s="527"/>
      <c r="J227" s="527">
        <f t="shared" si="112"/>
        <v>350</v>
      </c>
      <c r="K227" s="132"/>
      <c r="L227" s="527"/>
      <c r="M227" s="527"/>
      <c r="N227" s="527"/>
      <c r="O227" s="132"/>
      <c r="P227" s="529">
        <f t="shared" si="96"/>
        <v>350</v>
      </c>
      <c r="Q227" s="529">
        <f t="shared" ref="Q227:R230" si="114">I227+M227</f>
        <v>0</v>
      </c>
      <c r="R227" s="529">
        <f t="shared" si="114"/>
        <v>350</v>
      </c>
    </row>
    <row r="228" spans="2:18" x14ac:dyDescent="0.2">
      <c r="B228" s="171">
        <f t="shared" si="84"/>
        <v>66</v>
      </c>
      <c r="C228" s="525"/>
      <c r="D228" s="525"/>
      <c r="E228" s="525"/>
      <c r="F228" s="525">
        <v>637</v>
      </c>
      <c r="G228" s="202" t="s">
        <v>248</v>
      </c>
      <c r="H228" s="527">
        <v>330</v>
      </c>
      <c r="I228" s="527"/>
      <c r="J228" s="527">
        <f t="shared" si="112"/>
        <v>330</v>
      </c>
      <c r="K228" s="132"/>
      <c r="L228" s="527"/>
      <c r="M228" s="527"/>
      <c r="N228" s="527"/>
      <c r="O228" s="132"/>
      <c r="P228" s="529">
        <f t="shared" si="96"/>
        <v>330</v>
      </c>
      <c r="Q228" s="529">
        <f t="shared" si="114"/>
        <v>0</v>
      </c>
      <c r="R228" s="529">
        <f t="shared" si="114"/>
        <v>330</v>
      </c>
    </row>
    <row r="229" spans="2:18" x14ac:dyDescent="0.2">
      <c r="B229" s="171">
        <f t="shared" ref="B229" si="115">B228+1</f>
        <v>67</v>
      </c>
      <c r="C229" s="652"/>
      <c r="D229" s="525"/>
      <c r="E229" s="525"/>
      <c r="F229" s="690">
        <v>717</v>
      </c>
      <c r="G229" s="723" t="s">
        <v>768</v>
      </c>
      <c r="H229" s="380"/>
      <c r="I229" s="380"/>
      <c r="J229" s="380"/>
      <c r="K229" s="724"/>
      <c r="L229" s="380">
        <v>15000</v>
      </c>
      <c r="M229" s="380"/>
      <c r="N229" s="380">
        <f>L229+M229</f>
        <v>15000</v>
      </c>
      <c r="O229" s="724"/>
      <c r="P229" s="725">
        <f t="shared" si="96"/>
        <v>15000</v>
      </c>
      <c r="Q229" s="725">
        <f t="shared" si="114"/>
        <v>0</v>
      </c>
      <c r="R229" s="725">
        <f t="shared" si="114"/>
        <v>15000</v>
      </c>
    </row>
    <row r="230" spans="2:18" ht="16.5" thickBot="1" x14ac:dyDescent="0.3">
      <c r="B230" s="171">
        <v>69</v>
      </c>
      <c r="C230" s="276">
        <v>8</v>
      </c>
      <c r="D230" s="277" t="s">
        <v>547</v>
      </c>
      <c r="E230" s="278"/>
      <c r="F230" s="278"/>
      <c r="G230" s="279"/>
      <c r="H230" s="416">
        <v>0</v>
      </c>
      <c r="I230" s="416">
        <v>0</v>
      </c>
      <c r="J230" s="416">
        <v>0</v>
      </c>
      <c r="K230" s="121"/>
      <c r="L230" s="775">
        <v>0</v>
      </c>
      <c r="M230" s="775">
        <v>0</v>
      </c>
      <c r="N230" s="775">
        <f>L230+M230</f>
        <v>0</v>
      </c>
      <c r="O230" s="282"/>
      <c r="P230" s="376">
        <f t="shared" si="96"/>
        <v>0</v>
      </c>
      <c r="Q230" s="376">
        <f t="shared" si="114"/>
        <v>0</v>
      </c>
      <c r="R230" s="376">
        <f t="shared" si="114"/>
        <v>0</v>
      </c>
    </row>
    <row r="233" spans="2:18" ht="27.75" thickBot="1" x14ac:dyDescent="0.4">
      <c r="B233" s="246" t="s">
        <v>139</v>
      </c>
      <c r="C233" s="246"/>
      <c r="D233" s="246"/>
      <c r="E233" s="246"/>
      <c r="F233" s="246"/>
      <c r="G233" s="246"/>
      <c r="H233" s="246"/>
      <c r="I233" s="246"/>
      <c r="J233" s="246"/>
      <c r="K233" s="246"/>
      <c r="L233" s="246"/>
      <c r="M233" s="246"/>
      <c r="N233" s="246"/>
      <c r="O233" s="246"/>
      <c r="P233" s="246"/>
      <c r="Q233" s="246"/>
      <c r="R233" s="246"/>
    </row>
    <row r="234" spans="2:18" ht="13.5" customHeight="1" thickBot="1" x14ac:dyDescent="0.25">
      <c r="B234" s="905" t="s">
        <v>631</v>
      </c>
      <c r="C234" s="906"/>
      <c r="D234" s="906"/>
      <c r="E234" s="906"/>
      <c r="F234" s="906"/>
      <c r="G234" s="906"/>
      <c r="H234" s="906"/>
      <c r="I234" s="906"/>
      <c r="J234" s="906"/>
      <c r="K234" s="906"/>
      <c r="L234" s="906"/>
      <c r="M234" s="906"/>
      <c r="N234" s="907"/>
      <c r="O234" s="120"/>
      <c r="P234" s="895" t="s">
        <v>721</v>
      </c>
      <c r="Q234" s="895" t="s">
        <v>860</v>
      </c>
      <c r="R234" s="895" t="s">
        <v>721</v>
      </c>
    </row>
    <row r="235" spans="2:18" ht="13.5" customHeight="1" thickTop="1" x14ac:dyDescent="0.2">
      <c r="B235" s="506"/>
      <c r="C235" s="898" t="s">
        <v>477</v>
      </c>
      <c r="D235" s="898" t="s">
        <v>476</v>
      </c>
      <c r="E235" s="898" t="s">
        <v>474</v>
      </c>
      <c r="F235" s="898" t="s">
        <v>475</v>
      </c>
      <c r="G235" s="508" t="s">
        <v>3</v>
      </c>
      <c r="H235" s="900" t="s">
        <v>722</v>
      </c>
      <c r="I235" s="904" t="s">
        <v>860</v>
      </c>
      <c r="J235" s="904" t="s">
        <v>722</v>
      </c>
      <c r="L235" s="902" t="s">
        <v>723</v>
      </c>
      <c r="M235" s="902" t="s">
        <v>860</v>
      </c>
      <c r="N235" s="902" t="s">
        <v>723</v>
      </c>
      <c r="P235" s="896"/>
      <c r="Q235" s="896"/>
      <c r="R235" s="896"/>
    </row>
    <row r="236" spans="2:18" ht="57.75" customHeight="1" thickBot="1" x14ac:dyDescent="0.25">
      <c r="B236" s="510"/>
      <c r="C236" s="899"/>
      <c r="D236" s="899"/>
      <c r="E236" s="899"/>
      <c r="F236" s="899"/>
      <c r="G236" s="509"/>
      <c r="H236" s="901"/>
      <c r="I236" s="901"/>
      <c r="J236" s="901"/>
      <c r="L236" s="903"/>
      <c r="M236" s="903"/>
      <c r="N236" s="903"/>
      <c r="P236" s="897"/>
      <c r="Q236" s="897"/>
      <c r="R236" s="897"/>
    </row>
    <row r="237" spans="2:18" ht="19.5" thickTop="1" thickBot="1" x14ac:dyDescent="0.25">
      <c r="B237" s="171">
        <v>1</v>
      </c>
      <c r="C237" s="125" t="s">
        <v>210</v>
      </c>
      <c r="D237" s="111"/>
      <c r="E237" s="111"/>
      <c r="F237" s="111"/>
      <c r="G237" s="192"/>
      <c r="H237" s="409">
        <f>H238+H250+H265+H268+H270</f>
        <v>1620460</v>
      </c>
      <c r="I237" s="409">
        <f>I238+I250+I265+I268+I270</f>
        <v>0</v>
      </c>
      <c r="J237" s="409">
        <f t="shared" ref="J237:J277" si="116">I237+H237</f>
        <v>1620460</v>
      </c>
      <c r="K237" s="113"/>
      <c r="L237" s="378">
        <f>L238+L250+L265+L268+L270</f>
        <v>93583</v>
      </c>
      <c r="M237" s="378">
        <f>M238+M250+M265+M268+M270</f>
        <v>0</v>
      </c>
      <c r="N237" s="378">
        <f>M237+L237</f>
        <v>93583</v>
      </c>
      <c r="O237" s="113"/>
      <c r="P237" s="392">
        <f t="shared" ref="P237:P261" si="117">H237+L237</f>
        <v>1714043</v>
      </c>
      <c r="Q237" s="392">
        <f t="shared" ref="Q237:R252" si="118">I237+M237</f>
        <v>0</v>
      </c>
      <c r="R237" s="392">
        <f t="shared" si="118"/>
        <v>1714043</v>
      </c>
    </row>
    <row r="238" spans="2:18" ht="16.5" thickTop="1" x14ac:dyDescent="0.25">
      <c r="B238" s="171">
        <f>B237+1</f>
        <v>2</v>
      </c>
      <c r="C238" s="23">
        <v>1</v>
      </c>
      <c r="D238" s="127" t="s">
        <v>140</v>
      </c>
      <c r="E238" s="24"/>
      <c r="F238" s="24"/>
      <c r="G238" s="193"/>
      <c r="H238" s="410">
        <f>H239+H240+H241+H249</f>
        <v>900000</v>
      </c>
      <c r="I238" s="423">
        <f>I239+I240+I241+I249</f>
        <v>0</v>
      </c>
      <c r="J238" s="423">
        <f t="shared" si="116"/>
        <v>900000</v>
      </c>
      <c r="K238" s="88"/>
      <c r="L238" s="395">
        <f>SUM(L239:L249)</f>
        <v>0</v>
      </c>
      <c r="M238" s="810">
        <f>SUM(M239:M249)</f>
        <v>0</v>
      </c>
      <c r="N238" s="810">
        <f>SUM(N239:N249)</f>
        <v>0</v>
      </c>
      <c r="O238" s="88"/>
      <c r="P238" s="390">
        <f t="shared" si="117"/>
        <v>900000</v>
      </c>
      <c r="Q238" s="390">
        <f t="shared" si="118"/>
        <v>0</v>
      </c>
      <c r="R238" s="390">
        <f t="shared" si="118"/>
        <v>900000</v>
      </c>
    </row>
    <row r="239" spans="2:18" x14ac:dyDescent="0.2">
      <c r="B239" s="171">
        <f t="shared" ref="B239:B277" si="119">B238+1</f>
        <v>3</v>
      </c>
      <c r="C239" s="143"/>
      <c r="D239" s="144"/>
      <c r="E239" s="131" t="s">
        <v>307</v>
      </c>
      <c r="F239" s="144" t="s">
        <v>211</v>
      </c>
      <c r="G239" s="199" t="s">
        <v>257</v>
      </c>
      <c r="H239" s="388">
        <f>556300-4000</f>
        <v>552300</v>
      </c>
      <c r="I239" s="388"/>
      <c r="J239" s="388">
        <f t="shared" si="116"/>
        <v>552300</v>
      </c>
      <c r="K239" s="145"/>
      <c r="L239" s="388"/>
      <c r="M239" s="388"/>
      <c r="N239" s="388"/>
      <c r="O239" s="145"/>
      <c r="P239" s="166">
        <f t="shared" si="117"/>
        <v>552300</v>
      </c>
      <c r="Q239" s="166">
        <f t="shared" si="118"/>
        <v>0</v>
      </c>
      <c r="R239" s="166">
        <f t="shared" si="118"/>
        <v>552300</v>
      </c>
    </row>
    <row r="240" spans="2:18" x14ac:dyDescent="0.2">
      <c r="B240" s="171">
        <f t="shared" si="119"/>
        <v>4</v>
      </c>
      <c r="C240" s="143"/>
      <c r="D240" s="144"/>
      <c r="E240" s="131" t="s">
        <v>307</v>
      </c>
      <c r="F240" s="144" t="s">
        <v>212</v>
      </c>
      <c r="G240" s="199" t="s">
        <v>305</v>
      </c>
      <c r="H240" s="388">
        <v>201700</v>
      </c>
      <c r="I240" s="388"/>
      <c r="J240" s="388">
        <f t="shared" si="116"/>
        <v>201700</v>
      </c>
      <c r="K240" s="145"/>
      <c r="L240" s="396"/>
      <c r="M240" s="396"/>
      <c r="N240" s="396"/>
      <c r="O240" s="145"/>
      <c r="P240" s="166">
        <f t="shared" si="117"/>
        <v>201700</v>
      </c>
      <c r="Q240" s="166">
        <f t="shared" si="118"/>
        <v>0</v>
      </c>
      <c r="R240" s="166">
        <f t="shared" si="118"/>
        <v>201700</v>
      </c>
    </row>
    <row r="241" spans="2:18" x14ac:dyDescent="0.2">
      <c r="B241" s="171">
        <f t="shared" si="119"/>
        <v>5</v>
      </c>
      <c r="C241" s="143"/>
      <c r="D241" s="144"/>
      <c r="E241" s="131" t="s">
        <v>307</v>
      </c>
      <c r="F241" s="144" t="s">
        <v>218</v>
      </c>
      <c r="G241" s="199" t="s">
        <v>249</v>
      </c>
      <c r="H241" s="388">
        <f>SUM(H242:H248)</f>
        <v>141534</v>
      </c>
      <c r="I241" s="388">
        <f>SUM(I242:I248)</f>
        <v>0</v>
      </c>
      <c r="J241" s="388">
        <f t="shared" si="116"/>
        <v>141534</v>
      </c>
      <c r="K241" s="145"/>
      <c r="L241" s="396"/>
      <c r="M241" s="396"/>
      <c r="N241" s="396"/>
      <c r="O241" s="145"/>
      <c r="P241" s="166">
        <f t="shared" si="117"/>
        <v>141534</v>
      </c>
      <c r="Q241" s="166">
        <f t="shared" si="118"/>
        <v>0</v>
      </c>
      <c r="R241" s="166">
        <f t="shared" si="118"/>
        <v>141534</v>
      </c>
    </row>
    <row r="242" spans="2:18" x14ac:dyDescent="0.2">
      <c r="B242" s="171">
        <f t="shared" si="119"/>
        <v>6</v>
      </c>
      <c r="C242" s="130"/>
      <c r="D242" s="131"/>
      <c r="E242" s="131"/>
      <c r="F242" s="131" t="s">
        <v>213</v>
      </c>
      <c r="G242" s="194" t="s">
        <v>306</v>
      </c>
      <c r="H242" s="527">
        <f>970+2000+3500</f>
        <v>6470</v>
      </c>
      <c r="I242" s="527"/>
      <c r="J242" s="527">
        <f t="shared" si="116"/>
        <v>6470</v>
      </c>
      <c r="K242" s="132"/>
      <c r="L242" s="528"/>
      <c r="M242" s="528"/>
      <c r="N242" s="528"/>
      <c r="O242" s="132"/>
      <c r="P242" s="167">
        <f t="shared" si="117"/>
        <v>6470</v>
      </c>
      <c r="Q242" s="167">
        <f t="shared" si="118"/>
        <v>0</v>
      </c>
      <c r="R242" s="167">
        <f t="shared" si="118"/>
        <v>6470</v>
      </c>
    </row>
    <row r="243" spans="2:18" x14ac:dyDescent="0.2">
      <c r="B243" s="171">
        <f t="shared" si="119"/>
        <v>7</v>
      </c>
      <c r="C243" s="130"/>
      <c r="D243" s="131"/>
      <c r="E243" s="131"/>
      <c r="F243" s="131" t="s">
        <v>199</v>
      </c>
      <c r="G243" s="194" t="s">
        <v>246</v>
      </c>
      <c r="H243" s="527">
        <v>25000</v>
      </c>
      <c r="I243" s="527"/>
      <c r="J243" s="527">
        <f t="shared" si="116"/>
        <v>25000</v>
      </c>
      <c r="K243" s="132"/>
      <c r="L243" s="528"/>
      <c r="M243" s="528"/>
      <c r="N243" s="528"/>
      <c r="O243" s="132"/>
      <c r="P243" s="167">
        <f t="shared" si="117"/>
        <v>25000</v>
      </c>
      <c r="Q243" s="167">
        <f t="shared" si="118"/>
        <v>0</v>
      </c>
      <c r="R243" s="167">
        <f t="shared" si="118"/>
        <v>25000</v>
      </c>
    </row>
    <row r="244" spans="2:18" x14ac:dyDescent="0.2">
      <c r="B244" s="171">
        <f t="shared" si="119"/>
        <v>8</v>
      </c>
      <c r="C244" s="130"/>
      <c r="D244" s="131"/>
      <c r="E244" s="131"/>
      <c r="F244" s="131" t="s">
        <v>200</v>
      </c>
      <c r="G244" s="194" t="s">
        <v>247</v>
      </c>
      <c r="H244" s="527">
        <f>37149-4000-3500</f>
        <v>29649</v>
      </c>
      <c r="I244" s="527"/>
      <c r="J244" s="527">
        <f t="shared" si="116"/>
        <v>29649</v>
      </c>
      <c r="K244" s="132"/>
      <c r="L244" s="528"/>
      <c r="M244" s="528"/>
      <c r="N244" s="528"/>
      <c r="O244" s="132"/>
      <c r="P244" s="167">
        <f t="shared" si="117"/>
        <v>29649</v>
      </c>
      <c r="Q244" s="167">
        <f t="shared" si="118"/>
        <v>0</v>
      </c>
      <c r="R244" s="167">
        <f t="shared" si="118"/>
        <v>29649</v>
      </c>
    </row>
    <row r="245" spans="2:18" x14ac:dyDescent="0.2">
      <c r="B245" s="171">
        <f t="shared" si="119"/>
        <v>9</v>
      </c>
      <c r="C245" s="130"/>
      <c r="D245" s="131"/>
      <c r="E245" s="131"/>
      <c r="F245" s="131" t="s">
        <v>201</v>
      </c>
      <c r="G245" s="194" t="s">
        <v>260</v>
      </c>
      <c r="H245" s="527">
        <v>31980</v>
      </c>
      <c r="I245" s="527"/>
      <c r="J245" s="527">
        <f t="shared" si="116"/>
        <v>31980</v>
      </c>
      <c r="K245" s="132"/>
      <c r="L245" s="528"/>
      <c r="M245" s="528"/>
      <c r="N245" s="528"/>
      <c r="O245" s="132"/>
      <c r="P245" s="167">
        <f t="shared" si="117"/>
        <v>31980</v>
      </c>
      <c r="Q245" s="167">
        <f t="shared" si="118"/>
        <v>0</v>
      </c>
      <c r="R245" s="167">
        <f t="shared" si="118"/>
        <v>31980</v>
      </c>
    </row>
    <row r="246" spans="2:18" x14ac:dyDescent="0.2">
      <c r="B246" s="171">
        <f t="shared" si="119"/>
        <v>10</v>
      </c>
      <c r="C246" s="130"/>
      <c r="D246" s="131"/>
      <c r="E246" s="131"/>
      <c r="F246" s="131" t="s">
        <v>214</v>
      </c>
      <c r="G246" s="194" t="s">
        <v>261</v>
      </c>
      <c r="H246" s="527">
        <v>1800</v>
      </c>
      <c r="I246" s="527"/>
      <c r="J246" s="527">
        <f t="shared" si="116"/>
        <v>1800</v>
      </c>
      <c r="K246" s="132"/>
      <c r="L246" s="528"/>
      <c r="M246" s="528"/>
      <c r="N246" s="528"/>
      <c r="O246" s="132"/>
      <c r="P246" s="167">
        <f t="shared" si="117"/>
        <v>1800</v>
      </c>
      <c r="Q246" s="167">
        <f t="shared" si="118"/>
        <v>0</v>
      </c>
      <c r="R246" s="167">
        <f t="shared" si="118"/>
        <v>1800</v>
      </c>
    </row>
    <row r="247" spans="2:18" x14ac:dyDescent="0.2">
      <c r="B247" s="171">
        <f t="shared" si="119"/>
        <v>11</v>
      </c>
      <c r="C247" s="130"/>
      <c r="D247" s="131"/>
      <c r="E247" s="131"/>
      <c r="F247" s="131" t="s">
        <v>216</v>
      </c>
      <c r="G247" s="194" t="s">
        <v>248</v>
      </c>
      <c r="H247" s="527">
        <v>43635</v>
      </c>
      <c r="I247" s="527"/>
      <c r="J247" s="527">
        <f t="shared" si="116"/>
        <v>43635</v>
      </c>
      <c r="K247" s="132"/>
      <c r="L247" s="528"/>
      <c r="M247" s="528"/>
      <c r="N247" s="528"/>
      <c r="O247" s="132"/>
      <c r="P247" s="167">
        <f t="shared" si="117"/>
        <v>43635</v>
      </c>
      <c r="Q247" s="167">
        <f t="shared" si="118"/>
        <v>0</v>
      </c>
      <c r="R247" s="167">
        <f t="shared" si="118"/>
        <v>43635</v>
      </c>
    </row>
    <row r="248" spans="2:18" x14ac:dyDescent="0.2">
      <c r="B248" s="171">
        <f t="shared" si="119"/>
        <v>12</v>
      </c>
      <c r="C248" s="130"/>
      <c r="D248" s="169"/>
      <c r="E248" s="131" t="s">
        <v>834</v>
      </c>
      <c r="F248" s="131" t="s">
        <v>216</v>
      </c>
      <c r="G248" s="194" t="s">
        <v>658</v>
      </c>
      <c r="H248" s="527">
        <f>500+2000+500</f>
        <v>3000</v>
      </c>
      <c r="I248" s="527"/>
      <c r="J248" s="527">
        <f t="shared" si="116"/>
        <v>3000</v>
      </c>
      <c r="K248" s="132"/>
      <c r="L248" s="528"/>
      <c r="M248" s="528"/>
      <c r="N248" s="528"/>
      <c r="O248" s="132"/>
      <c r="P248" s="167">
        <f t="shared" si="117"/>
        <v>3000</v>
      </c>
      <c r="Q248" s="167">
        <f t="shared" si="118"/>
        <v>0</v>
      </c>
      <c r="R248" s="167">
        <f t="shared" si="118"/>
        <v>3000</v>
      </c>
    </row>
    <row r="249" spans="2:18" x14ac:dyDescent="0.2">
      <c r="B249" s="171">
        <f t="shared" si="119"/>
        <v>13</v>
      </c>
      <c r="C249" s="130"/>
      <c r="D249" s="169"/>
      <c r="E249" s="290"/>
      <c r="F249" s="284" t="s">
        <v>217</v>
      </c>
      <c r="G249" s="199" t="s">
        <v>267</v>
      </c>
      <c r="H249" s="388">
        <f>966+3500</f>
        <v>4466</v>
      </c>
      <c r="I249" s="388"/>
      <c r="J249" s="388">
        <f t="shared" si="116"/>
        <v>4466</v>
      </c>
      <c r="K249" s="132"/>
      <c r="L249" s="528"/>
      <c r="M249" s="528"/>
      <c r="N249" s="528"/>
      <c r="O249" s="132"/>
      <c r="P249" s="166">
        <f t="shared" si="117"/>
        <v>4466</v>
      </c>
      <c r="Q249" s="166">
        <f t="shared" si="118"/>
        <v>0</v>
      </c>
      <c r="R249" s="166">
        <f t="shared" si="118"/>
        <v>4466</v>
      </c>
    </row>
    <row r="250" spans="2:18" ht="15.75" x14ac:dyDescent="0.25">
      <c r="B250" s="171">
        <f t="shared" si="119"/>
        <v>14</v>
      </c>
      <c r="C250" s="21">
        <v>2</v>
      </c>
      <c r="D250" s="126" t="s">
        <v>99</v>
      </c>
      <c r="E250" s="22"/>
      <c r="F250" s="22"/>
      <c r="G250" s="195"/>
      <c r="H250" s="411">
        <f>H251+H254</f>
        <v>686960</v>
      </c>
      <c r="I250" s="413">
        <f>I251+I254</f>
        <v>0</v>
      </c>
      <c r="J250" s="413">
        <f t="shared" si="116"/>
        <v>686960</v>
      </c>
      <c r="K250" s="112"/>
      <c r="L250" s="397">
        <f>SUM(L251:L264)</f>
        <v>73583</v>
      </c>
      <c r="M250" s="381">
        <f>SUM(M251:M263)</f>
        <v>0</v>
      </c>
      <c r="N250" s="381">
        <f>M250+L250</f>
        <v>73583</v>
      </c>
      <c r="O250" s="112"/>
      <c r="P250" s="391">
        <f t="shared" si="117"/>
        <v>760543</v>
      </c>
      <c r="Q250" s="391">
        <f t="shared" si="118"/>
        <v>0</v>
      </c>
      <c r="R250" s="391">
        <f t="shared" si="118"/>
        <v>760543</v>
      </c>
    </row>
    <row r="251" spans="2:18" x14ac:dyDescent="0.2">
      <c r="B251" s="171">
        <f t="shared" si="119"/>
        <v>15</v>
      </c>
      <c r="C251" s="130"/>
      <c r="D251" s="130"/>
      <c r="E251" s="134" t="s">
        <v>239</v>
      </c>
      <c r="F251" s="134">
        <v>630</v>
      </c>
      <c r="G251" s="199" t="s">
        <v>249</v>
      </c>
      <c r="H251" s="388">
        <f>H252+H253</f>
        <v>614700</v>
      </c>
      <c r="I251" s="388">
        <f>I252+I253</f>
        <v>0</v>
      </c>
      <c r="J251" s="388">
        <f t="shared" si="116"/>
        <v>614700</v>
      </c>
      <c r="K251" s="132"/>
      <c r="L251" s="527"/>
      <c r="M251" s="527"/>
      <c r="N251" s="527"/>
      <c r="O251" s="132"/>
      <c r="P251" s="531">
        <f t="shared" si="117"/>
        <v>614700</v>
      </c>
      <c r="Q251" s="531">
        <f t="shared" si="118"/>
        <v>0</v>
      </c>
      <c r="R251" s="531">
        <f t="shared" si="118"/>
        <v>614700</v>
      </c>
    </row>
    <row r="252" spans="2:18" x14ac:dyDescent="0.2">
      <c r="B252" s="171">
        <f t="shared" si="119"/>
        <v>16</v>
      </c>
      <c r="C252" s="130"/>
      <c r="D252" s="130"/>
      <c r="E252" s="134"/>
      <c r="F252" s="134">
        <v>632</v>
      </c>
      <c r="G252" s="194" t="s">
        <v>238</v>
      </c>
      <c r="H252" s="527">
        <f>95400+96000+256000</f>
        <v>447400</v>
      </c>
      <c r="I252" s="527"/>
      <c r="J252" s="527">
        <f t="shared" si="116"/>
        <v>447400</v>
      </c>
      <c r="K252" s="132"/>
      <c r="L252" s="527"/>
      <c r="M252" s="527"/>
      <c r="N252" s="527"/>
      <c r="O252" s="132"/>
      <c r="P252" s="168">
        <f t="shared" si="117"/>
        <v>447400</v>
      </c>
      <c r="Q252" s="168">
        <f t="shared" si="118"/>
        <v>0</v>
      </c>
      <c r="R252" s="168">
        <f t="shared" si="118"/>
        <v>447400</v>
      </c>
    </row>
    <row r="253" spans="2:18" x14ac:dyDescent="0.2">
      <c r="B253" s="171">
        <f t="shared" si="119"/>
        <v>17</v>
      </c>
      <c r="C253" s="130"/>
      <c r="D253" s="130"/>
      <c r="E253" s="134"/>
      <c r="F253" s="134">
        <v>635</v>
      </c>
      <c r="G253" s="194" t="s">
        <v>490</v>
      </c>
      <c r="H253" s="398">
        <f>84400+78000+4900</f>
        <v>167300</v>
      </c>
      <c r="I253" s="398"/>
      <c r="J253" s="398">
        <f t="shared" si="116"/>
        <v>167300</v>
      </c>
      <c r="K253" s="132"/>
      <c r="L253" s="527"/>
      <c r="M253" s="527"/>
      <c r="N253" s="527"/>
      <c r="O253" s="132"/>
      <c r="P253" s="168">
        <f t="shared" si="117"/>
        <v>167300</v>
      </c>
      <c r="Q253" s="168">
        <f t="shared" ref="Q253:R261" si="120">I253+M253</f>
        <v>0</v>
      </c>
      <c r="R253" s="168">
        <f t="shared" si="120"/>
        <v>167300</v>
      </c>
    </row>
    <row r="254" spans="2:18" x14ac:dyDescent="0.2">
      <c r="B254" s="171">
        <f t="shared" si="119"/>
        <v>18</v>
      </c>
      <c r="C254" s="130"/>
      <c r="D254" s="130"/>
      <c r="E254" s="134" t="s">
        <v>239</v>
      </c>
      <c r="F254" s="156"/>
      <c r="G254" s="224" t="s">
        <v>696</v>
      </c>
      <c r="H254" s="394">
        <f>H255+H256+H257</f>
        <v>72260</v>
      </c>
      <c r="I254" s="394">
        <f>I255+I256+I257</f>
        <v>0</v>
      </c>
      <c r="J254" s="394">
        <f t="shared" si="116"/>
        <v>72260</v>
      </c>
      <c r="K254" s="132"/>
      <c r="L254" s="527"/>
      <c r="M254" s="527"/>
      <c r="N254" s="527"/>
      <c r="O254" s="132"/>
      <c r="P254" s="531">
        <f t="shared" si="117"/>
        <v>72260</v>
      </c>
      <c r="Q254" s="531">
        <f t="shared" si="120"/>
        <v>0</v>
      </c>
      <c r="R254" s="531">
        <f t="shared" si="120"/>
        <v>72260</v>
      </c>
    </row>
    <row r="255" spans="2:18" x14ac:dyDescent="0.2">
      <c r="B255" s="171">
        <f t="shared" si="119"/>
        <v>19</v>
      </c>
      <c r="C255" s="130"/>
      <c r="D255" s="130"/>
      <c r="E255" s="134"/>
      <c r="F255" s="154">
        <v>610</v>
      </c>
      <c r="G255" s="199" t="s">
        <v>257</v>
      </c>
      <c r="H255" s="388">
        <v>14200</v>
      </c>
      <c r="I255" s="388"/>
      <c r="J255" s="388">
        <f t="shared" si="116"/>
        <v>14200</v>
      </c>
      <c r="K255" s="132"/>
      <c r="L255" s="527"/>
      <c r="M255" s="527"/>
      <c r="N255" s="527"/>
      <c r="O255" s="132"/>
      <c r="P255" s="531">
        <f t="shared" si="117"/>
        <v>14200</v>
      </c>
      <c r="Q255" s="531">
        <f t="shared" si="120"/>
        <v>0</v>
      </c>
      <c r="R255" s="531">
        <f t="shared" si="120"/>
        <v>14200</v>
      </c>
    </row>
    <row r="256" spans="2:18" x14ac:dyDescent="0.2">
      <c r="B256" s="171">
        <f t="shared" si="119"/>
        <v>20</v>
      </c>
      <c r="C256" s="130"/>
      <c r="D256" s="130"/>
      <c r="E256" s="134"/>
      <c r="F256" s="154">
        <v>620</v>
      </c>
      <c r="G256" s="199" t="s">
        <v>259</v>
      </c>
      <c r="H256" s="388">
        <v>10640</v>
      </c>
      <c r="I256" s="388"/>
      <c r="J256" s="388">
        <f t="shared" si="116"/>
        <v>10640</v>
      </c>
      <c r="K256" s="132"/>
      <c r="L256" s="527"/>
      <c r="M256" s="527"/>
      <c r="N256" s="527"/>
      <c r="O256" s="132"/>
      <c r="P256" s="531">
        <f t="shared" si="117"/>
        <v>10640</v>
      </c>
      <c r="Q256" s="531">
        <f t="shared" si="120"/>
        <v>0</v>
      </c>
      <c r="R256" s="531">
        <f t="shared" si="120"/>
        <v>10640</v>
      </c>
    </row>
    <row r="257" spans="2:18" x14ac:dyDescent="0.2">
      <c r="B257" s="171">
        <f t="shared" si="119"/>
        <v>21</v>
      </c>
      <c r="C257" s="130"/>
      <c r="D257" s="130"/>
      <c r="E257" s="134"/>
      <c r="F257" s="154">
        <v>630</v>
      </c>
      <c r="G257" s="199" t="s">
        <v>249</v>
      </c>
      <c r="H257" s="388">
        <f>SUM(H258:H261)</f>
        <v>47420</v>
      </c>
      <c r="I257" s="388">
        <f>SUM(I258:I261)</f>
        <v>0</v>
      </c>
      <c r="J257" s="388">
        <f t="shared" si="116"/>
        <v>47420</v>
      </c>
      <c r="K257" s="132"/>
      <c r="L257" s="527"/>
      <c r="M257" s="527"/>
      <c r="N257" s="527"/>
      <c r="O257" s="132"/>
      <c r="P257" s="531">
        <f t="shared" si="117"/>
        <v>47420</v>
      </c>
      <c r="Q257" s="531">
        <f t="shared" si="120"/>
        <v>0</v>
      </c>
      <c r="R257" s="531">
        <f t="shared" si="120"/>
        <v>47420</v>
      </c>
    </row>
    <row r="258" spans="2:18" x14ac:dyDescent="0.2">
      <c r="B258" s="171">
        <f t="shared" si="119"/>
        <v>22</v>
      </c>
      <c r="C258" s="130"/>
      <c r="D258" s="130"/>
      <c r="E258" s="134"/>
      <c r="F258" s="157">
        <v>633</v>
      </c>
      <c r="G258" s="194" t="s">
        <v>247</v>
      </c>
      <c r="H258" s="527">
        <f>5400+200+5000</f>
        <v>10600</v>
      </c>
      <c r="I258" s="527"/>
      <c r="J258" s="527">
        <f t="shared" si="116"/>
        <v>10600</v>
      </c>
      <c r="K258" s="132"/>
      <c r="L258" s="527"/>
      <c r="M258" s="527"/>
      <c r="N258" s="527"/>
      <c r="O258" s="132"/>
      <c r="P258" s="168">
        <f t="shared" si="117"/>
        <v>10600</v>
      </c>
      <c r="Q258" s="168">
        <f t="shared" si="120"/>
        <v>0</v>
      </c>
      <c r="R258" s="168">
        <f t="shared" si="120"/>
        <v>10600</v>
      </c>
    </row>
    <row r="259" spans="2:18" x14ac:dyDescent="0.2">
      <c r="B259" s="171">
        <f t="shared" si="119"/>
        <v>23</v>
      </c>
      <c r="C259" s="130"/>
      <c r="D259" s="130"/>
      <c r="E259" s="134"/>
      <c r="F259" s="134">
        <v>634</v>
      </c>
      <c r="G259" s="194" t="s">
        <v>260</v>
      </c>
      <c r="H259" s="527">
        <f>4500+900</f>
        <v>5400</v>
      </c>
      <c r="I259" s="527"/>
      <c r="J259" s="527">
        <f t="shared" si="116"/>
        <v>5400</v>
      </c>
      <c r="K259" s="132"/>
      <c r="L259" s="527"/>
      <c r="M259" s="527"/>
      <c r="N259" s="527"/>
      <c r="O259" s="132"/>
      <c r="P259" s="168">
        <f t="shared" si="117"/>
        <v>5400</v>
      </c>
      <c r="Q259" s="168">
        <f t="shared" si="120"/>
        <v>0</v>
      </c>
      <c r="R259" s="168">
        <f t="shared" si="120"/>
        <v>5400</v>
      </c>
    </row>
    <row r="260" spans="2:18" x14ac:dyDescent="0.2">
      <c r="B260" s="171">
        <f t="shared" si="119"/>
        <v>24</v>
      </c>
      <c r="C260" s="130"/>
      <c r="D260" s="130"/>
      <c r="E260" s="134"/>
      <c r="F260" s="134">
        <v>635</v>
      </c>
      <c r="G260" s="194" t="s">
        <v>261</v>
      </c>
      <c r="H260" s="527">
        <v>9000</v>
      </c>
      <c r="I260" s="527"/>
      <c r="J260" s="527">
        <f t="shared" si="116"/>
        <v>9000</v>
      </c>
      <c r="K260" s="132"/>
      <c r="L260" s="527"/>
      <c r="M260" s="527"/>
      <c r="N260" s="527"/>
      <c r="O260" s="132"/>
      <c r="P260" s="168">
        <f t="shared" si="117"/>
        <v>9000</v>
      </c>
      <c r="Q260" s="168">
        <f t="shared" si="120"/>
        <v>0</v>
      </c>
      <c r="R260" s="168">
        <f t="shared" si="120"/>
        <v>9000</v>
      </c>
    </row>
    <row r="261" spans="2:18" x14ac:dyDescent="0.2">
      <c r="B261" s="171">
        <f t="shared" si="119"/>
        <v>25</v>
      </c>
      <c r="C261" s="130"/>
      <c r="D261" s="130"/>
      <c r="E261" s="134"/>
      <c r="F261" s="134">
        <v>637</v>
      </c>
      <c r="G261" s="194" t="s">
        <v>248</v>
      </c>
      <c r="H261" s="527">
        <f>100+9000+1000+900+220+16200-5000</f>
        <v>22420</v>
      </c>
      <c r="I261" s="527"/>
      <c r="J261" s="527">
        <f t="shared" si="116"/>
        <v>22420</v>
      </c>
      <c r="K261" s="132"/>
      <c r="L261" s="527"/>
      <c r="M261" s="527"/>
      <c r="N261" s="527"/>
      <c r="O261" s="132"/>
      <c r="P261" s="168">
        <f t="shared" si="117"/>
        <v>22420</v>
      </c>
      <c r="Q261" s="168">
        <f t="shared" si="120"/>
        <v>0</v>
      </c>
      <c r="R261" s="168">
        <f t="shared" si="120"/>
        <v>22420</v>
      </c>
    </row>
    <row r="262" spans="2:18" x14ac:dyDescent="0.2">
      <c r="B262" s="171">
        <f t="shared" si="119"/>
        <v>26</v>
      </c>
      <c r="C262" s="130"/>
      <c r="D262" s="130"/>
      <c r="E262" s="159"/>
      <c r="F262" s="134"/>
      <c r="G262" s="194"/>
      <c r="H262" s="527"/>
      <c r="I262" s="527"/>
      <c r="J262" s="527">
        <f t="shared" si="116"/>
        <v>0</v>
      </c>
      <c r="K262" s="132"/>
      <c r="L262" s="527"/>
      <c r="M262" s="527"/>
      <c r="N262" s="527"/>
      <c r="O262" s="132"/>
      <c r="P262" s="168"/>
      <c r="Q262" s="168"/>
      <c r="R262" s="168"/>
    </row>
    <row r="263" spans="2:18" x14ac:dyDescent="0.2">
      <c r="B263" s="171">
        <f t="shared" si="119"/>
        <v>27</v>
      </c>
      <c r="C263" s="130"/>
      <c r="D263" s="130"/>
      <c r="E263" s="134" t="s">
        <v>239</v>
      </c>
      <c r="F263" s="134">
        <v>714</v>
      </c>
      <c r="G263" s="366" t="s">
        <v>684</v>
      </c>
      <c r="H263" s="527"/>
      <c r="I263" s="527"/>
      <c r="J263" s="527">
        <f t="shared" si="116"/>
        <v>0</v>
      </c>
      <c r="K263" s="132"/>
      <c r="L263" s="482">
        <f>70000+18000-16480</f>
        <v>71520</v>
      </c>
      <c r="M263" s="482"/>
      <c r="N263" s="482">
        <f>M263+L263</f>
        <v>71520</v>
      </c>
      <c r="O263" s="132"/>
      <c r="P263" s="168">
        <f>H263+L263</f>
        <v>71520</v>
      </c>
      <c r="Q263" s="168">
        <f t="shared" ref="Q263:R263" si="121">I263+M263</f>
        <v>0</v>
      </c>
      <c r="R263" s="168">
        <f t="shared" si="121"/>
        <v>71520</v>
      </c>
    </row>
    <row r="264" spans="2:18" x14ac:dyDescent="0.2">
      <c r="B264" s="171">
        <f t="shared" si="119"/>
        <v>28</v>
      </c>
      <c r="C264" s="130"/>
      <c r="D264" s="159"/>
      <c r="E264" s="525" t="s">
        <v>239</v>
      </c>
      <c r="F264" s="525">
        <v>716</v>
      </c>
      <c r="G264" s="366" t="s">
        <v>845</v>
      </c>
      <c r="H264" s="527"/>
      <c r="I264" s="527"/>
      <c r="J264" s="527"/>
      <c r="K264" s="132"/>
      <c r="L264" s="482">
        <v>2063</v>
      </c>
      <c r="M264" s="482"/>
      <c r="N264" s="482">
        <f>M264+L264</f>
        <v>2063</v>
      </c>
      <c r="O264" s="132"/>
      <c r="P264" s="213">
        <f>L264</f>
        <v>2063</v>
      </c>
      <c r="Q264" s="213">
        <f t="shared" ref="Q264:R264" si="122">M264</f>
        <v>0</v>
      </c>
      <c r="R264" s="213">
        <f t="shared" si="122"/>
        <v>2063</v>
      </c>
    </row>
    <row r="265" spans="2:18" ht="15.75" x14ac:dyDescent="0.25">
      <c r="B265" s="171">
        <f t="shared" si="119"/>
        <v>29</v>
      </c>
      <c r="C265" s="23">
        <v>3</v>
      </c>
      <c r="D265" s="127" t="s">
        <v>141</v>
      </c>
      <c r="E265" s="24"/>
      <c r="F265" s="24"/>
      <c r="G265" s="193"/>
      <c r="H265" s="411">
        <f>H266</f>
        <v>5000</v>
      </c>
      <c r="I265" s="413">
        <f>I266</f>
        <v>0</v>
      </c>
      <c r="J265" s="413">
        <f t="shared" si="116"/>
        <v>5000</v>
      </c>
      <c r="K265" s="88"/>
      <c r="L265" s="397">
        <f>L266+L267</f>
        <v>20000</v>
      </c>
      <c r="M265" s="381">
        <f>M266+M267</f>
        <v>0</v>
      </c>
      <c r="N265" s="381">
        <f>M265+L265</f>
        <v>20000</v>
      </c>
      <c r="O265" s="88"/>
      <c r="P265" s="390">
        <f t="shared" ref="P265:P277" si="123">H265+L265</f>
        <v>25000</v>
      </c>
      <c r="Q265" s="390">
        <f t="shared" ref="Q265:R277" si="124">I265+M265</f>
        <v>0</v>
      </c>
      <c r="R265" s="390">
        <f t="shared" si="124"/>
        <v>25000</v>
      </c>
    </row>
    <row r="266" spans="2:18" x14ac:dyDescent="0.2">
      <c r="B266" s="171">
        <f t="shared" si="119"/>
        <v>30</v>
      </c>
      <c r="C266" s="130"/>
      <c r="D266" s="130"/>
      <c r="E266" s="134" t="s">
        <v>241</v>
      </c>
      <c r="F266" s="134">
        <v>635</v>
      </c>
      <c r="G266" s="194" t="s">
        <v>535</v>
      </c>
      <c r="H266" s="527">
        <v>5000</v>
      </c>
      <c r="I266" s="527"/>
      <c r="J266" s="527">
        <f t="shared" si="116"/>
        <v>5000</v>
      </c>
      <c r="K266" s="132"/>
      <c r="L266" s="527"/>
      <c r="M266" s="527"/>
      <c r="N266" s="527"/>
      <c r="O266" s="132"/>
      <c r="P266" s="168">
        <f t="shared" si="123"/>
        <v>5000</v>
      </c>
      <c r="Q266" s="168">
        <f t="shared" si="124"/>
        <v>0</v>
      </c>
      <c r="R266" s="168">
        <f t="shared" si="124"/>
        <v>5000</v>
      </c>
    </row>
    <row r="267" spans="2:18" x14ac:dyDescent="0.2">
      <c r="B267" s="171">
        <f t="shared" si="119"/>
        <v>31</v>
      </c>
      <c r="C267" s="130"/>
      <c r="D267" s="159"/>
      <c r="E267" s="134" t="s">
        <v>241</v>
      </c>
      <c r="F267" s="525">
        <v>713</v>
      </c>
      <c r="G267" s="772" t="s">
        <v>830</v>
      </c>
      <c r="H267" s="527"/>
      <c r="I267" s="527"/>
      <c r="J267" s="527">
        <f t="shared" si="116"/>
        <v>0</v>
      </c>
      <c r="K267" s="132"/>
      <c r="L267" s="527">
        <f>5000+15000</f>
        <v>20000</v>
      </c>
      <c r="M267" s="527"/>
      <c r="N267" s="527">
        <f>M267+L267</f>
        <v>20000</v>
      </c>
      <c r="O267" s="132"/>
      <c r="P267" s="213">
        <f t="shared" si="123"/>
        <v>20000</v>
      </c>
      <c r="Q267" s="213">
        <f t="shared" si="124"/>
        <v>0</v>
      </c>
      <c r="R267" s="213">
        <f t="shared" si="124"/>
        <v>20000</v>
      </c>
    </row>
    <row r="268" spans="2:18" ht="15.75" x14ac:dyDescent="0.25">
      <c r="B268" s="171">
        <f t="shared" si="119"/>
        <v>32</v>
      </c>
      <c r="C268" s="23">
        <v>4</v>
      </c>
      <c r="D268" s="127" t="s">
        <v>473</v>
      </c>
      <c r="E268" s="24"/>
      <c r="F268" s="24"/>
      <c r="G268" s="193"/>
      <c r="H268" s="411">
        <f>H269</f>
        <v>7000</v>
      </c>
      <c r="I268" s="413">
        <f>I269</f>
        <v>0</v>
      </c>
      <c r="J268" s="413">
        <f t="shared" si="116"/>
        <v>7000</v>
      </c>
      <c r="K268" s="88"/>
      <c r="L268" s="397">
        <f>L269</f>
        <v>0</v>
      </c>
      <c r="M268" s="381">
        <f>M269</f>
        <v>0</v>
      </c>
      <c r="N268" s="381">
        <f>M268+L268</f>
        <v>0</v>
      </c>
      <c r="O268" s="88"/>
      <c r="P268" s="390">
        <f t="shared" si="123"/>
        <v>7000</v>
      </c>
      <c r="Q268" s="390">
        <f t="shared" si="124"/>
        <v>0</v>
      </c>
      <c r="R268" s="390">
        <f t="shared" si="124"/>
        <v>7000</v>
      </c>
    </row>
    <row r="269" spans="2:18" x14ac:dyDescent="0.2">
      <c r="B269" s="171">
        <f t="shared" si="119"/>
        <v>33</v>
      </c>
      <c r="C269" s="135"/>
      <c r="D269" s="135"/>
      <c r="E269" s="525" t="s">
        <v>277</v>
      </c>
      <c r="F269" s="525">
        <v>637</v>
      </c>
      <c r="G269" s="202" t="s">
        <v>278</v>
      </c>
      <c r="H269" s="527">
        <v>7000</v>
      </c>
      <c r="I269" s="527"/>
      <c r="J269" s="527">
        <f t="shared" si="116"/>
        <v>7000</v>
      </c>
      <c r="K269" s="132"/>
      <c r="L269" s="527"/>
      <c r="M269" s="527"/>
      <c r="N269" s="527"/>
      <c r="O269" s="132"/>
      <c r="P269" s="168">
        <f t="shared" si="123"/>
        <v>7000</v>
      </c>
      <c r="Q269" s="168">
        <f t="shared" si="124"/>
        <v>0</v>
      </c>
      <c r="R269" s="168">
        <f t="shared" si="124"/>
        <v>7000</v>
      </c>
    </row>
    <row r="270" spans="2:18" ht="15.75" x14ac:dyDescent="0.25">
      <c r="B270" s="171">
        <f t="shared" si="119"/>
        <v>34</v>
      </c>
      <c r="C270" s="23">
        <v>5</v>
      </c>
      <c r="D270" s="127" t="s">
        <v>97</v>
      </c>
      <c r="E270" s="24"/>
      <c r="F270" s="24"/>
      <c r="G270" s="193"/>
      <c r="H270" s="411">
        <f>SUM(H271:H277)</f>
        <v>21500</v>
      </c>
      <c r="I270" s="413">
        <f>SUM(I271:I277)</f>
        <v>0</v>
      </c>
      <c r="J270" s="413">
        <f t="shared" si="116"/>
        <v>21500</v>
      </c>
      <c r="K270" s="88"/>
      <c r="L270" s="397">
        <v>0</v>
      </c>
      <c r="M270" s="381">
        <v>0</v>
      </c>
      <c r="N270" s="381">
        <f>M270+L270</f>
        <v>0</v>
      </c>
      <c r="O270" s="88"/>
      <c r="P270" s="390">
        <f t="shared" si="123"/>
        <v>21500</v>
      </c>
      <c r="Q270" s="390">
        <f t="shared" si="124"/>
        <v>0</v>
      </c>
      <c r="R270" s="390">
        <f t="shared" si="124"/>
        <v>21500</v>
      </c>
    </row>
    <row r="271" spans="2:18" x14ac:dyDescent="0.2">
      <c r="B271" s="171">
        <f t="shared" si="119"/>
        <v>35</v>
      </c>
      <c r="C271" s="130"/>
      <c r="D271" s="130"/>
      <c r="E271" s="525" t="s">
        <v>273</v>
      </c>
      <c r="F271" s="525">
        <v>640</v>
      </c>
      <c r="G271" s="202" t="s">
        <v>740</v>
      </c>
      <c r="H271" s="527">
        <v>5000</v>
      </c>
      <c r="I271" s="527"/>
      <c r="J271" s="527">
        <f t="shared" si="116"/>
        <v>5000</v>
      </c>
      <c r="K271" s="132"/>
      <c r="L271" s="527"/>
      <c r="M271" s="527"/>
      <c r="N271" s="527"/>
      <c r="O271" s="132"/>
      <c r="P271" s="168">
        <f t="shared" si="123"/>
        <v>5000</v>
      </c>
      <c r="Q271" s="168">
        <f t="shared" si="124"/>
        <v>0</v>
      </c>
      <c r="R271" s="168">
        <f t="shared" si="124"/>
        <v>5000</v>
      </c>
    </row>
    <row r="272" spans="2:18" x14ac:dyDescent="0.2">
      <c r="B272" s="171">
        <f t="shared" si="119"/>
        <v>36</v>
      </c>
      <c r="C272" s="130"/>
      <c r="D272" s="130"/>
      <c r="E272" s="525" t="s">
        <v>273</v>
      </c>
      <c r="F272" s="525">
        <v>640</v>
      </c>
      <c r="G272" s="202" t="s">
        <v>741</v>
      </c>
      <c r="H272" s="527">
        <v>4000</v>
      </c>
      <c r="I272" s="527"/>
      <c r="J272" s="527">
        <f t="shared" si="116"/>
        <v>4000</v>
      </c>
      <c r="K272" s="132"/>
      <c r="L272" s="527"/>
      <c r="M272" s="527"/>
      <c r="N272" s="527"/>
      <c r="O272" s="132"/>
      <c r="P272" s="168">
        <f t="shared" si="123"/>
        <v>4000</v>
      </c>
      <c r="Q272" s="168">
        <f t="shared" si="124"/>
        <v>0</v>
      </c>
      <c r="R272" s="168">
        <f t="shared" si="124"/>
        <v>4000</v>
      </c>
    </row>
    <row r="273" spans="2:18" x14ac:dyDescent="0.2">
      <c r="B273" s="171">
        <f t="shared" si="119"/>
        <v>37</v>
      </c>
      <c r="C273" s="130"/>
      <c r="D273" s="130"/>
      <c r="E273" s="525" t="s">
        <v>273</v>
      </c>
      <c r="F273" s="525">
        <v>640</v>
      </c>
      <c r="G273" s="202" t="s">
        <v>742</v>
      </c>
      <c r="H273" s="527">
        <v>1000</v>
      </c>
      <c r="I273" s="527"/>
      <c r="J273" s="527">
        <f t="shared" si="116"/>
        <v>1000</v>
      </c>
      <c r="K273" s="132"/>
      <c r="L273" s="527"/>
      <c r="M273" s="527"/>
      <c r="N273" s="527"/>
      <c r="O273" s="132"/>
      <c r="P273" s="168">
        <f t="shared" si="123"/>
        <v>1000</v>
      </c>
      <c r="Q273" s="168">
        <f t="shared" si="124"/>
        <v>0</v>
      </c>
      <c r="R273" s="168">
        <f t="shared" si="124"/>
        <v>1000</v>
      </c>
    </row>
    <row r="274" spans="2:18" x14ac:dyDescent="0.2">
      <c r="B274" s="171">
        <f t="shared" si="119"/>
        <v>38</v>
      </c>
      <c r="C274" s="130"/>
      <c r="D274" s="130"/>
      <c r="E274" s="525" t="s">
        <v>273</v>
      </c>
      <c r="F274" s="134">
        <v>620</v>
      </c>
      <c r="G274" s="194" t="s">
        <v>259</v>
      </c>
      <c r="H274" s="527">
        <v>1200</v>
      </c>
      <c r="I274" s="527"/>
      <c r="J274" s="527">
        <f t="shared" si="116"/>
        <v>1200</v>
      </c>
      <c r="K274" s="132"/>
      <c r="L274" s="527"/>
      <c r="M274" s="527"/>
      <c r="N274" s="527"/>
      <c r="O274" s="132"/>
      <c r="P274" s="168">
        <f t="shared" si="123"/>
        <v>1200</v>
      </c>
      <c r="Q274" s="168">
        <f t="shared" si="124"/>
        <v>0</v>
      </c>
      <c r="R274" s="168">
        <f t="shared" si="124"/>
        <v>1200</v>
      </c>
    </row>
    <row r="275" spans="2:18" x14ac:dyDescent="0.2">
      <c r="B275" s="171">
        <f t="shared" si="119"/>
        <v>39</v>
      </c>
      <c r="C275" s="130"/>
      <c r="D275" s="130"/>
      <c r="E275" s="525" t="s">
        <v>273</v>
      </c>
      <c r="F275" s="134">
        <v>634</v>
      </c>
      <c r="G275" s="194" t="s">
        <v>303</v>
      </c>
      <c r="H275" s="527">
        <v>500</v>
      </c>
      <c r="I275" s="527"/>
      <c r="J275" s="527">
        <f t="shared" si="116"/>
        <v>500</v>
      </c>
      <c r="K275" s="132"/>
      <c r="L275" s="527"/>
      <c r="M275" s="527"/>
      <c r="N275" s="527"/>
      <c r="O275" s="132"/>
      <c r="P275" s="168">
        <f t="shared" si="123"/>
        <v>500</v>
      </c>
      <c r="Q275" s="168">
        <f t="shared" si="124"/>
        <v>0</v>
      </c>
      <c r="R275" s="168">
        <f t="shared" si="124"/>
        <v>500</v>
      </c>
    </row>
    <row r="276" spans="2:18" x14ac:dyDescent="0.2">
      <c r="B276" s="171">
        <f t="shared" si="119"/>
        <v>40</v>
      </c>
      <c r="C276" s="130"/>
      <c r="D276" s="130"/>
      <c r="E276" s="525" t="s">
        <v>273</v>
      </c>
      <c r="F276" s="134">
        <v>637</v>
      </c>
      <c r="G276" s="194" t="s">
        <v>422</v>
      </c>
      <c r="H276" s="527">
        <v>8000</v>
      </c>
      <c r="I276" s="527"/>
      <c r="J276" s="527">
        <f t="shared" si="116"/>
        <v>8000</v>
      </c>
      <c r="K276" s="132"/>
      <c r="L276" s="527"/>
      <c r="M276" s="527"/>
      <c r="N276" s="527"/>
      <c r="O276" s="132"/>
      <c r="P276" s="168">
        <f t="shared" si="123"/>
        <v>8000</v>
      </c>
      <c r="Q276" s="168">
        <f t="shared" si="124"/>
        <v>0</v>
      </c>
      <c r="R276" s="168">
        <f t="shared" si="124"/>
        <v>8000</v>
      </c>
    </row>
    <row r="277" spans="2:18" ht="13.5" thickBot="1" x14ac:dyDescent="0.25">
      <c r="B277" s="207">
        <f t="shared" si="119"/>
        <v>41</v>
      </c>
      <c r="C277" s="139"/>
      <c r="D277" s="139"/>
      <c r="E277" s="211" t="s">
        <v>273</v>
      </c>
      <c r="F277" s="140">
        <v>637</v>
      </c>
      <c r="G277" s="200" t="s">
        <v>303</v>
      </c>
      <c r="H277" s="385">
        <v>1800</v>
      </c>
      <c r="I277" s="385"/>
      <c r="J277" s="385">
        <f t="shared" si="116"/>
        <v>1800</v>
      </c>
      <c r="K277" s="141"/>
      <c r="L277" s="385"/>
      <c r="M277" s="385"/>
      <c r="N277" s="385"/>
      <c r="O277" s="141"/>
      <c r="P277" s="214">
        <f t="shared" si="123"/>
        <v>1800</v>
      </c>
      <c r="Q277" s="214">
        <f t="shared" si="124"/>
        <v>0</v>
      </c>
      <c r="R277" s="214">
        <f t="shared" si="124"/>
        <v>1800</v>
      </c>
    </row>
    <row r="281" spans="2:18" ht="27.75" thickBot="1" x14ac:dyDescent="0.4">
      <c r="B281" s="246" t="s">
        <v>221</v>
      </c>
      <c r="C281" s="246"/>
      <c r="D281" s="246"/>
      <c r="E281" s="246"/>
      <c r="F281" s="246"/>
      <c r="G281" s="246"/>
      <c r="H281" s="453"/>
      <c r="I281" s="453"/>
      <c r="J281" s="453"/>
      <c r="K281" s="246"/>
      <c r="L281" s="246"/>
      <c r="M281" s="246"/>
      <c r="N281" s="246"/>
      <c r="O281" s="246"/>
      <c r="P281" s="246"/>
      <c r="Q281" s="246"/>
      <c r="R281" s="246"/>
    </row>
    <row r="282" spans="2:18" ht="13.5" customHeight="1" thickBot="1" x14ac:dyDescent="0.25">
      <c r="B282" s="905" t="s">
        <v>631</v>
      </c>
      <c r="C282" s="906"/>
      <c r="D282" s="906"/>
      <c r="E282" s="906"/>
      <c r="F282" s="906"/>
      <c r="G282" s="906"/>
      <c r="H282" s="906"/>
      <c r="I282" s="906"/>
      <c r="J282" s="906"/>
      <c r="K282" s="906"/>
      <c r="L282" s="906"/>
      <c r="M282" s="906"/>
      <c r="N282" s="907"/>
      <c r="O282" s="120"/>
      <c r="P282" s="895" t="s">
        <v>721</v>
      </c>
      <c r="Q282" s="895" t="s">
        <v>860</v>
      </c>
      <c r="R282" s="895" t="s">
        <v>721</v>
      </c>
    </row>
    <row r="283" spans="2:18" ht="20.25" customHeight="1" thickTop="1" x14ac:dyDescent="0.2">
      <c r="B283" s="506"/>
      <c r="C283" s="898" t="s">
        <v>477</v>
      </c>
      <c r="D283" s="898" t="s">
        <v>476</v>
      </c>
      <c r="E283" s="898" t="s">
        <v>474</v>
      </c>
      <c r="F283" s="898" t="s">
        <v>475</v>
      </c>
      <c r="G283" s="508" t="s">
        <v>3</v>
      </c>
      <c r="H283" s="900" t="s">
        <v>722</v>
      </c>
      <c r="I283" s="904" t="s">
        <v>860</v>
      </c>
      <c r="J283" s="904" t="s">
        <v>722</v>
      </c>
      <c r="L283" s="902" t="s">
        <v>723</v>
      </c>
      <c r="M283" s="902" t="s">
        <v>860</v>
      </c>
      <c r="N283" s="902" t="s">
        <v>723</v>
      </c>
      <c r="P283" s="896"/>
      <c r="Q283" s="896"/>
      <c r="R283" s="896"/>
    </row>
    <row r="284" spans="2:18" ht="38.25" customHeight="1" thickBot="1" x14ac:dyDescent="0.25">
      <c r="B284" s="510"/>
      <c r="C284" s="899"/>
      <c r="D284" s="899"/>
      <c r="E284" s="899"/>
      <c r="F284" s="899"/>
      <c r="G284" s="509"/>
      <c r="H284" s="901"/>
      <c r="I284" s="901"/>
      <c r="J284" s="901"/>
      <c r="L284" s="903"/>
      <c r="M284" s="903"/>
      <c r="N284" s="903"/>
      <c r="P284" s="897"/>
      <c r="Q284" s="897"/>
      <c r="R284" s="897"/>
    </row>
    <row r="285" spans="2:18" ht="19.5" thickTop="1" thickBot="1" x14ac:dyDescent="0.25">
      <c r="B285" s="136">
        <v>1</v>
      </c>
      <c r="C285" s="125" t="s">
        <v>222</v>
      </c>
      <c r="D285" s="111"/>
      <c r="E285" s="111"/>
      <c r="F285" s="111"/>
      <c r="G285" s="111"/>
      <c r="H285" s="409">
        <f>H286+H290+H306</f>
        <v>3373146</v>
      </c>
      <c r="I285" s="409">
        <f>I286+I290+I306</f>
        <v>0</v>
      </c>
      <c r="J285" s="409">
        <f t="shared" ref="J285:J302" si="125">I285+H285</f>
        <v>3373146</v>
      </c>
      <c r="K285" s="113"/>
      <c r="L285" s="405">
        <f>L286+L290+L306</f>
        <v>1303750</v>
      </c>
      <c r="M285" s="405">
        <f>M286+M290+M306</f>
        <v>0</v>
      </c>
      <c r="N285" s="405">
        <f>M285+L285</f>
        <v>1303750</v>
      </c>
      <c r="O285" s="113"/>
      <c r="P285" s="392">
        <f t="shared" ref="P285:P293" si="126">H285+L285</f>
        <v>4676896</v>
      </c>
      <c r="Q285" s="392">
        <f t="shared" ref="Q285:R293" si="127">I285+M285</f>
        <v>0</v>
      </c>
      <c r="R285" s="392">
        <f t="shared" si="127"/>
        <v>4676896</v>
      </c>
    </row>
    <row r="286" spans="2:18" ht="16.5" thickTop="1" x14ac:dyDescent="0.25">
      <c r="B286" s="136">
        <f>B285+1</f>
        <v>2</v>
      </c>
      <c r="C286" s="23">
        <v>1</v>
      </c>
      <c r="D286" s="127" t="s">
        <v>161</v>
      </c>
      <c r="E286" s="24"/>
      <c r="F286" s="24"/>
      <c r="G286" s="352"/>
      <c r="H286" s="410">
        <f>H287+H288+H289</f>
        <v>2606146</v>
      </c>
      <c r="I286" s="423">
        <f>I287+I288+I289</f>
        <v>0</v>
      </c>
      <c r="J286" s="423">
        <f t="shared" si="125"/>
        <v>2606146</v>
      </c>
      <c r="K286" s="88"/>
      <c r="L286" s="393"/>
      <c r="M286" s="393"/>
      <c r="N286" s="393"/>
      <c r="O286" s="88"/>
      <c r="P286" s="373">
        <f t="shared" si="126"/>
        <v>2606146</v>
      </c>
      <c r="Q286" s="373">
        <f t="shared" si="127"/>
        <v>0</v>
      </c>
      <c r="R286" s="373">
        <f t="shared" si="127"/>
        <v>2606146</v>
      </c>
    </row>
    <row r="287" spans="2:18" x14ac:dyDescent="0.2">
      <c r="B287" s="136">
        <f t="shared" ref="B287:B350" si="128">B286+1</f>
        <v>3</v>
      </c>
      <c r="C287" s="130"/>
      <c r="D287" s="131"/>
      <c r="E287" s="131" t="s">
        <v>235</v>
      </c>
      <c r="F287" s="131" t="s">
        <v>216</v>
      </c>
      <c r="G287" s="353" t="s">
        <v>642</v>
      </c>
      <c r="H287" s="527">
        <f>460000-4600-4000-4900-43600-40751-8500-8000-20603</f>
        <v>325046</v>
      </c>
      <c r="I287" s="527"/>
      <c r="J287" s="527">
        <f t="shared" si="125"/>
        <v>325046</v>
      </c>
      <c r="K287" s="132"/>
      <c r="L287" s="528"/>
      <c r="M287" s="528"/>
      <c r="N287" s="528"/>
      <c r="O287" s="132"/>
      <c r="P287" s="137">
        <f t="shared" si="126"/>
        <v>325046</v>
      </c>
      <c r="Q287" s="137">
        <f t="shared" si="127"/>
        <v>0</v>
      </c>
      <c r="R287" s="137">
        <f t="shared" si="127"/>
        <v>325046</v>
      </c>
    </row>
    <row r="288" spans="2:18" x14ac:dyDescent="0.2">
      <c r="B288" s="136">
        <f t="shared" si="128"/>
        <v>4</v>
      </c>
      <c r="C288" s="130"/>
      <c r="D288" s="131"/>
      <c r="E288" s="131" t="s">
        <v>235</v>
      </c>
      <c r="F288" s="131" t="s">
        <v>216</v>
      </c>
      <c r="G288" s="353" t="s">
        <v>643</v>
      </c>
      <c r="H288" s="527">
        <f>2100000+186100-2000-27000</f>
        <v>2257100</v>
      </c>
      <c r="I288" s="527"/>
      <c r="J288" s="527">
        <f t="shared" si="125"/>
        <v>2257100</v>
      </c>
      <c r="K288" s="132"/>
      <c r="L288" s="528"/>
      <c r="M288" s="528"/>
      <c r="N288" s="528"/>
      <c r="O288" s="132"/>
      <c r="P288" s="137">
        <f t="shared" si="126"/>
        <v>2257100</v>
      </c>
      <c r="Q288" s="137">
        <f t="shared" si="127"/>
        <v>0</v>
      </c>
      <c r="R288" s="137">
        <f t="shared" si="127"/>
        <v>2257100</v>
      </c>
    </row>
    <row r="289" spans="2:18" x14ac:dyDescent="0.2">
      <c r="B289" s="136">
        <f t="shared" si="128"/>
        <v>5</v>
      </c>
      <c r="C289" s="130"/>
      <c r="D289" s="178"/>
      <c r="E289" s="131" t="s">
        <v>235</v>
      </c>
      <c r="F289" s="131" t="s">
        <v>216</v>
      </c>
      <c r="G289" s="353" t="s">
        <v>698</v>
      </c>
      <c r="H289" s="527">
        <f>10000+14000</f>
        <v>24000</v>
      </c>
      <c r="I289" s="527"/>
      <c r="J289" s="527">
        <f t="shared" si="125"/>
        <v>24000</v>
      </c>
      <c r="K289" s="132"/>
      <c r="L289" s="528"/>
      <c r="M289" s="528"/>
      <c r="N289" s="528"/>
      <c r="O289" s="132"/>
      <c r="P289" s="137">
        <f t="shared" si="126"/>
        <v>24000</v>
      </c>
      <c r="Q289" s="137">
        <f t="shared" si="127"/>
        <v>0</v>
      </c>
      <c r="R289" s="137">
        <f t="shared" si="127"/>
        <v>24000</v>
      </c>
    </row>
    <row r="290" spans="2:18" ht="15.75" x14ac:dyDescent="0.25">
      <c r="B290" s="136">
        <f t="shared" si="128"/>
        <v>6</v>
      </c>
      <c r="C290" s="21">
        <v>2</v>
      </c>
      <c r="D290" s="126" t="s">
        <v>219</v>
      </c>
      <c r="E290" s="22"/>
      <c r="F290" s="22"/>
      <c r="G290" s="354"/>
      <c r="H290" s="411">
        <f>H291+H292+H293+H294+H295</f>
        <v>767000</v>
      </c>
      <c r="I290" s="413">
        <f>I295</f>
        <v>0</v>
      </c>
      <c r="J290" s="413">
        <f t="shared" si="125"/>
        <v>767000</v>
      </c>
      <c r="K290" s="112"/>
      <c r="L290" s="381">
        <f>L304+L305</f>
        <v>87000</v>
      </c>
      <c r="M290" s="381">
        <f>SUM(M291:M305)</f>
        <v>0</v>
      </c>
      <c r="N290" s="381">
        <f>M290+L290</f>
        <v>87000</v>
      </c>
      <c r="O290" s="112"/>
      <c r="P290" s="374">
        <f t="shared" si="126"/>
        <v>854000</v>
      </c>
      <c r="Q290" s="374">
        <f t="shared" si="127"/>
        <v>0</v>
      </c>
      <c r="R290" s="374">
        <f t="shared" si="127"/>
        <v>854000</v>
      </c>
    </row>
    <row r="291" spans="2:18" x14ac:dyDescent="0.2">
      <c r="B291" s="136">
        <f t="shared" si="128"/>
        <v>7</v>
      </c>
      <c r="C291" s="130"/>
      <c r="D291" s="130"/>
      <c r="E291" s="134" t="s">
        <v>235</v>
      </c>
      <c r="F291" s="134">
        <v>635</v>
      </c>
      <c r="G291" s="353" t="s">
        <v>838</v>
      </c>
      <c r="H291" s="527">
        <f>630000-50000+40000+9000</f>
        <v>629000</v>
      </c>
      <c r="I291" s="527"/>
      <c r="J291" s="527">
        <f t="shared" si="125"/>
        <v>629000</v>
      </c>
      <c r="K291" s="132"/>
      <c r="L291" s="527"/>
      <c r="M291" s="527"/>
      <c r="N291" s="527"/>
      <c r="O291" s="132"/>
      <c r="P291" s="529">
        <f t="shared" si="126"/>
        <v>629000</v>
      </c>
      <c r="Q291" s="529">
        <f t="shared" si="127"/>
        <v>0</v>
      </c>
      <c r="R291" s="529">
        <f t="shared" si="127"/>
        <v>629000</v>
      </c>
    </row>
    <row r="292" spans="2:18" x14ac:dyDescent="0.2">
      <c r="B292" s="136">
        <f t="shared" si="128"/>
        <v>8</v>
      </c>
      <c r="C292" s="130"/>
      <c r="D292" s="130"/>
      <c r="E292" s="134" t="s">
        <v>235</v>
      </c>
      <c r="F292" s="134">
        <v>635</v>
      </c>
      <c r="G292" s="353" t="s">
        <v>446</v>
      </c>
      <c r="H292" s="527">
        <f>70000-4000</f>
        <v>66000</v>
      </c>
      <c r="I292" s="527"/>
      <c r="J292" s="527">
        <f t="shared" si="125"/>
        <v>66000</v>
      </c>
      <c r="K292" s="132"/>
      <c r="L292" s="527"/>
      <c r="M292" s="527"/>
      <c r="N292" s="527"/>
      <c r="O292" s="132"/>
      <c r="P292" s="529">
        <f t="shared" si="126"/>
        <v>66000</v>
      </c>
      <c r="Q292" s="529">
        <f t="shared" si="127"/>
        <v>0</v>
      </c>
      <c r="R292" s="529">
        <f t="shared" si="127"/>
        <v>66000</v>
      </c>
    </row>
    <row r="293" spans="2:18" x14ac:dyDescent="0.2">
      <c r="B293" s="136">
        <f t="shared" si="128"/>
        <v>9</v>
      </c>
      <c r="C293" s="130"/>
      <c r="D293" s="130"/>
      <c r="E293" s="134" t="s">
        <v>235</v>
      </c>
      <c r="F293" s="134">
        <v>637</v>
      </c>
      <c r="G293" s="353" t="s">
        <v>603</v>
      </c>
      <c r="H293" s="527">
        <v>2000</v>
      </c>
      <c r="I293" s="527"/>
      <c r="J293" s="527">
        <f t="shared" si="125"/>
        <v>2000</v>
      </c>
      <c r="K293" s="132"/>
      <c r="L293" s="527"/>
      <c r="M293" s="527"/>
      <c r="N293" s="527"/>
      <c r="O293" s="132"/>
      <c r="P293" s="529">
        <f t="shared" si="126"/>
        <v>2000</v>
      </c>
      <c r="Q293" s="529">
        <f t="shared" si="127"/>
        <v>0</v>
      </c>
      <c r="R293" s="529">
        <f t="shared" si="127"/>
        <v>2000</v>
      </c>
    </row>
    <row r="294" spans="2:18" x14ac:dyDescent="0.2">
      <c r="B294" s="136">
        <f t="shared" si="128"/>
        <v>10</v>
      </c>
      <c r="C294" s="130"/>
      <c r="D294" s="159"/>
      <c r="E294" s="134" t="s">
        <v>235</v>
      </c>
      <c r="F294" s="749">
        <v>635</v>
      </c>
      <c r="G294" s="750" t="s">
        <v>800</v>
      </c>
      <c r="H294" s="751">
        <f>7500+4500</f>
        <v>12000</v>
      </c>
      <c r="I294" s="751"/>
      <c r="J294" s="751">
        <f t="shared" si="125"/>
        <v>12000</v>
      </c>
      <c r="K294" s="724"/>
      <c r="L294" s="752"/>
      <c r="M294" s="752"/>
      <c r="N294" s="752"/>
      <c r="O294" s="724"/>
      <c r="P294" s="753">
        <f>L294+H294</f>
        <v>12000</v>
      </c>
      <c r="Q294" s="753">
        <f t="shared" ref="Q294:R294" si="129">M294+I294</f>
        <v>0</v>
      </c>
      <c r="R294" s="753">
        <f t="shared" si="129"/>
        <v>12000</v>
      </c>
    </row>
    <row r="295" spans="2:18" x14ac:dyDescent="0.2">
      <c r="B295" s="136">
        <f t="shared" si="128"/>
        <v>11</v>
      </c>
      <c r="C295" s="130"/>
      <c r="D295" s="159"/>
      <c r="E295" s="134" t="s">
        <v>235</v>
      </c>
      <c r="F295" s="156"/>
      <c r="G295" s="224" t="s">
        <v>659</v>
      </c>
      <c r="H295" s="394">
        <f>H296+H297+H298</f>
        <v>58000</v>
      </c>
      <c r="I295" s="394">
        <f>I296+I297+I298</f>
        <v>0</v>
      </c>
      <c r="J295" s="394">
        <f t="shared" si="125"/>
        <v>58000</v>
      </c>
      <c r="K295" s="132"/>
      <c r="L295" s="382"/>
      <c r="M295" s="382"/>
      <c r="N295" s="382"/>
      <c r="O295" s="132"/>
      <c r="P295" s="483">
        <f t="shared" ref="P295:P302" si="130">H295+L295</f>
        <v>58000</v>
      </c>
      <c r="Q295" s="483">
        <f t="shared" ref="Q295:R302" si="131">I295+M295</f>
        <v>0</v>
      </c>
      <c r="R295" s="483">
        <f t="shared" si="131"/>
        <v>58000</v>
      </c>
    </row>
    <row r="296" spans="2:18" x14ac:dyDescent="0.2">
      <c r="B296" s="136">
        <f t="shared" si="128"/>
        <v>12</v>
      </c>
      <c r="C296" s="130"/>
      <c r="D296" s="159"/>
      <c r="E296" s="134"/>
      <c r="F296" s="154">
        <v>610</v>
      </c>
      <c r="G296" s="199" t="s">
        <v>257</v>
      </c>
      <c r="H296" s="388">
        <v>14200</v>
      </c>
      <c r="I296" s="388"/>
      <c r="J296" s="388">
        <f t="shared" si="125"/>
        <v>14200</v>
      </c>
      <c r="K296" s="132"/>
      <c r="L296" s="382"/>
      <c r="M296" s="382"/>
      <c r="N296" s="382"/>
      <c r="O296" s="132"/>
      <c r="P296" s="483">
        <f t="shared" si="130"/>
        <v>14200</v>
      </c>
      <c r="Q296" s="483">
        <f t="shared" si="131"/>
        <v>0</v>
      </c>
      <c r="R296" s="483">
        <f t="shared" si="131"/>
        <v>14200</v>
      </c>
    </row>
    <row r="297" spans="2:18" x14ac:dyDescent="0.2">
      <c r="B297" s="136">
        <f t="shared" si="128"/>
        <v>13</v>
      </c>
      <c r="C297" s="130"/>
      <c r="D297" s="159"/>
      <c r="E297" s="134"/>
      <c r="F297" s="154">
        <v>620</v>
      </c>
      <c r="G297" s="199" t="s">
        <v>259</v>
      </c>
      <c r="H297" s="388">
        <v>9900</v>
      </c>
      <c r="I297" s="388"/>
      <c r="J297" s="388">
        <f t="shared" si="125"/>
        <v>9900</v>
      </c>
      <c r="K297" s="132"/>
      <c r="L297" s="382"/>
      <c r="M297" s="382"/>
      <c r="N297" s="382"/>
      <c r="O297" s="132"/>
      <c r="P297" s="483">
        <f t="shared" si="130"/>
        <v>9900</v>
      </c>
      <c r="Q297" s="483">
        <f t="shared" si="131"/>
        <v>0</v>
      </c>
      <c r="R297" s="483">
        <f t="shared" si="131"/>
        <v>9900</v>
      </c>
    </row>
    <row r="298" spans="2:18" x14ac:dyDescent="0.2">
      <c r="B298" s="136">
        <f t="shared" si="128"/>
        <v>14</v>
      </c>
      <c r="C298" s="130"/>
      <c r="D298" s="159"/>
      <c r="E298" s="134"/>
      <c r="F298" s="154">
        <v>630</v>
      </c>
      <c r="G298" s="199" t="s">
        <v>249</v>
      </c>
      <c r="H298" s="388">
        <f>SUM(H299:H302)</f>
        <v>33900</v>
      </c>
      <c r="I298" s="388">
        <f>SUM(I299:I302)</f>
        <v>0</v>
      </c>
      <c r="J298" s="388">
        <f t="shared" si="125"/>
        <v>33900</v>
      </c>
      <c r="K298" s="132"/>
      <c r="L298" s="382"/>
      <c r="M298" s="382"/>
      <c r="N298" s="382"/>
      <c r="O298" s="132"/>
      <c r="P298" s="483">
        <f t="shared" si="130"/>
        <v>33900</v>
      </c>
      <c r="Q298" s="483">
        <f t="shared" si="131"/>
        <v>0</v>
      </c>
      <c r="R298" s="483">
        <f t="shared" si="131"/>
        <v>33900</v>
      </c>
    </row>
    <row r="299" spans="2:18" x14ac:dyDescent="0.2">
      <c r="B299" s="136">
        <f t="shared" si="128"/>
        <v>15</v>
      </c>
      <c r="C299" s="130"/>
      <c r="D299" s="159"/>
      <c r="E299" s="134"/>
      <c r="F299" s="157">
        <v>633</v>
      </c>
      <c r="G299" s="194" t="s">
        <v>247</v>
      </c>
      <c r="H299" s="527">
        <v>12300</v>
      </c>
      <c r="I299" s="527"/>
      <c r="J299" s="527">
        <f t="shared" si="125"/>
        <v>12300</v>
      </c>
      <c r="K299" s="132"/>
      <c r="L299" s="382"/>
      <c r="M299" s="382"/>
      <c r="N299" s="382"/>
      <c r="O299" s="132"/>
      <c r="P299" s="160">
        <f t="shared" si="130"/>
        <v>12300</v>
      </c>
      <c r="Q299" s="160">
        <f t="shared" si="131"/>
        <v>0</v>
      </c>
      <c r="R299" s="160">
        <f t="shared" si="131"/>
        <v>12300</v>
      </c>
    </row>
    <row r="300" spans="2:18" x14ac:dyDescent="0.2">
      <c r="B300" s="136">
        <f t="shared" si="128"/>
        <v>16</v>
      </c>
      <c r="C300" s="130"/>
      <c r="D300" s="159"/>
      <c r="E300" s="134"/>
      <c r="F300" s="131" t="s">
        <v>201</v>
      </c>
      <c r="G300" s="194" t="s">
        <v>260</v>
      </c>
      <c r="H300" s="527">
        <v>7400</v>
      </c>
      <c r="I300" s="527"/>
      <c r="J300" s="527">
        <f t="shared" si="125"/>
        <v>7400</v>
      </c>
      <c r="K300" s="132"/>
      <c r="L300" s="382"/>
      <c r="M300" s="382"/>
      <c r="N300" s="382"/>
      <c r="O300" s="132"/>
      <c r="P300" s="160">
        <f t="shared" si="130"/>
        <v>7400</v>
      </c>
      <c r="Q300" s="160">
        <f t="shared" si="131"/>
        <v>0</v>
      </c>
      <c r="R300" s="160">
        <f t="shared" si="131"/>
        <v>7400</v>
      </c>
    </row>
    <row r="301" spans="2:18" x14ac:dyDescent="0.2">
      <c r="B301" s="136">
        <f t="shared" si="128"/>
        <v>17</v>
      </c>
      <c r="C301" s="130"/>
      <c r="D301" s="159"/>
      <c r="E301" s="134"/>
      <c r="F301" s="131" t="s">
        <v>214</v>
      </c>
      <c r="G301" s="194" t="s">
        <v>261</v>
      </c>
      <c r="H301" s="527">
        <v>330</v>
      </c>
      <c r="I301" s="527"/>
      <c r="J301" s="527">
        <f t="shared" si="125"/>
        <v>330</v>
      </c>
      <c r="K301" s="132"/>
      <c r="L301" s="382"/>
      <c r="M301" s="382"/>
      <c r="N301" s="527"/>
      <c r="O301" s="132"/>
      <c r="P301" s="160">
        <f t="shared" si="130"/>
        <v>330</v>
      </c>
      <c r="Q301" s="160">
        <f t="shared" si="131"/>
        <v>0</v>
      </c>
      <c r="R301" s="160">
        <f t="shared" si="131"/>
        <v>330</v>
      </c>
    </row>
    <row r="302" spans="2:18" x14ac:dyDescent="0.2">
      <c r="B302" s="136">
        <f t="shared" si="128"/>
        <v>18</v>
      </c>
      <c r="C302" s="130"/>
      <c r="D302" s="159"/>
      <c r="E302" s="134"/>
      <c r="F302" s="134">
        <v>637</v>
      </c>
      <c r="G302" s="194" t="s">
        <v>248</v>
      </c>
      <c r="H302" s="527">
        <f>15870-2000</f>
        <v>13870</v>
      </c>
      <c r="I302" s="527"/>
      <c r="J302" s="527">
        <f t="shared" si="125"/>
        <v>13870</v>
      </c>
      <c r="K302" s="132"/>
      <c r="L302" s="382"/>
      <c r="M302" s="382"/>
      <c r="N302" s="382"/>
      <c r="O302" s="132"/>
      <c r="P302" s="160">
        <f t="shared" si="130"/>
        <v>13870</v>
      </c>
      <c r="Q302" s="160">
        <f t="shared" si="131"/>
        <v>0</v>
      </c>
      <c r="R302" s="160">
        <f t="shared" si="131"/>
        <v>13870</v>
      </c>
    </row>
    <row r="303" spans="2:18" x14ac:dyDescent="0.2">
      <c r="B303" s="136">
        <f t="shared" si="128"/>
        <v>19</v>
      </c>
      <c r="C303" s="130"/>
      <c r="D303" s="159"/>
      <c r="E303" s="134"/>
      <c r="F303" s="134"/>
      <c r="G303" s="353"/>
      <c r="H303" s="527"/>
      <c r="I303" s="527"/>
      <c r="J303" s="527"/>
      <c r="K303" s="132"/>
      <c r="L303" s="382"/>
      <c r="M303" s="382"/>
      <c r="N303" s="382"/>
      <c r="O303" s="132"/>
      <c r="P303" s="160"/>
      <c r="Q303" s="160"/>
      <c r="R303" s="160"/>
    </row>
    <row r="304" spans="2:18" x14ac:dyDescent="0.2">
      <c r="B304" s="641">
        <f t="shared" si="128"/>
        <v>20</v>
      </c>
      <c r="C304" s="675"/>
      <c r="D304" s="159"/>
      <c r="E304" s="134"/>
      <c r="F304" s="134">
        <v>714</v>
      </c>
      <c r="G304" s="534" t="s">
        <v>683</v>
      </c>
      <c r="H304" s="527"/>
      <c r="I304" s="527"/>
      <c r="J304" s="527"/>
      <c r="K304" s="132"/>
      <c r="L304" s="482">
        <f>70000+5000</f>
        <v>75000</v>
      </c>
      <c r="M304" s="482"/>
      <c r="N304" s="482">
        <f t="shared" ref="N304:N306" si="132">M304+L304</f>
        <v>75000</v>
      </c>
      <c r="O304" s="132"/>
      <c r="P304" s="160">
        <f t="shared" ref="P304:P350" si="133">H304+L304</f>
        <v>75000</v>
      </c>
      <c r="Q304" s="160">
        <f t="shared" ref="Q304:R319" si="134">I304+M304</f>
        <v>0</v>
      </c>
      <c r="R304" s="160">
        <f t="shared" si="134"/>
        <v>75000</v>
      </c>
    </row>
    <row r="305" spans="2:18" x14ac:dyDescent="0.2">
      <c r="B305" s="641">
        <f t="shared" si="128"/>
        <v>21</v>
      </c>
      <c r="C305" s="675"/>
      <c r="D305" s="159"/>
      <c r="E305" s="134"/>
      <c r="F305" s="134">
        <v>714</v>
      </c>
      <c r="G305" s="534" t="s">
        <v>823</v>
      </c>
      <c r="H305" s="527"/>
      <c r="I305" s="527"/>
      <c r="J305" s="527"/>
      <c r="K305" s="132"/>
      <c r="L305" s="482">
        <v>12000</v>
      </c>
      <c r="M305" s="482"/>
      <c r="N305" s="482">
        <f t="shared" si="132"/>
        <v>12000</v>
      </c>
      <c r="O305" s="132"/>
      <c r="P305" s="160">
        <f t="shared" si="133"/>
        <v>12000</v>
      </c>
      <c r="Q305" s="160">
        <f t="shared" si="134"/>
        <v>0</v>
      </c>
      <c r="R305" s="160">
        <f t="shared" si="134"/>
        <v>12000</v>
      </c>
    </row>
    <row r="306" spans="2:18" ht="15.75" x14ac:dyDescent="0.25">
      <c r="B306" s="641">
        <f t="shared" si="128"/>
        <v>22</v>
      </c>
      <c r="C306" s="23">
        <v>3</v>
      </c>
      <c r="D306" s="127" t="s">
        <v>220</v>
      </c>
      <c r="E306" s="24"/>
      <c r="F306" s="24"/>
      <c r="G306" s="352"/>
      <c r="H306" s="411"/>
      <c r="I306" s="413"/>
      <c r="J306" s="413"/>
      <c r="K306" s="88"/>
      <c r="L306" s="379">
        <f>SUM(L307:L350)</f>
        <v>1216750</v>
      </c>
      <c r="M306" s="379">
        <f>SUM(M307:M351)</f>
        <v>0</v>
      </c>
      <c r="N306" s="379">
        <f t="shared" si="132"/>
        <v>1216750</v>
      </c>
      <c r="O306" s="88"/>
      <c r="P306" s="373">
        <f t="shared" si="133"/>
        <v>1216750</v>
      </c>
      <c r="Q306" s="373">
        <f t="shared" si="134"/>
        <v>0</v>
      </c>
      <c r="R306" s="373">
        <f t="shared" si="134"/>
        <v>1216750</v>
      </c>
    </row>
    <row r="307" spans="2:18" x14ac:dyDescent="0.2">
      <c r="B307" s="641">
        <f t="shared" si="128"/>
        <v>23</v>
      </c>
      <c r="C307" s="130"/>
      <c r="D307" s="130"/>
      <c r="E307" s="134" t="s">
        <v>235</v>
      </c>
      <c r="F307" s="134">
        <v>717</v>
      </c>
      <c r="G307" s="353" t="s">
        <v>660</v>
      </c>
      <c r="H307" s="382"/>
      <c r="I307" s="382"/>
      <c r="J307" s="382"/>
      <c r="K307" s="132"/>
      <c r="L307" s="527">
        <f>60000+30000</f>
        <v>90000</v>
      </c>
      <c r="M307" s="799"/>
      <c r="N307" s="527">
        <f>L307+M307</f>
        <v>90000</v>
      </c>
      <c r="O307" s="132"/>
      <c r="P307" s="529">
        <f t="shared" si="133"/>
        <v>90000</v>
      </c>
      <c r="Q307" s="529">
        <f t="shared" si="134"/>
        <v>0</v>
      </c>
      <c r="R307" s="529">
        <f t="shared" si="134"/>
        <v>90000</v>
      </c>
    </row>
    <row r="308" spans="2:18" x14ac:dyDescent="0.2">
      <c r="B308" s="641">
        <f t="shared" si="128"/>
        <v>24</v>
      </c>
      <c r="C308" s="130"/>
      <c r="D308" s="130"/>
      <c r="E308" s="134" t="s">
        <v>235</v>
      </c>
      <c r="F308" s="134">
        <v>717</v>
      </c>
      <c r="G308" s="601" t="s">
        <v>661</v>
      </c>
      <c r="H308" s="382"/>
      <c r="I308" s="382"/>
      <c r="J308" s="382"/>
      <c r="K308" s="132"/>
      <c r="L308" s="527">
        <v>2325</v>
      </c>
      <c r="M308" s="799"/>
      <c r="N308" s="527">
        <f t="shared" ref="N308:N322" si="135">L308+M308</f>
        <v>2325</v>
      </c>
      <c r="O308" s="132"/>
      <c r="P308" s="529">
        <f t="shared" si="133"/>
        <v>2325</v>
      </c>
      <c r="Q308" s="529">
        <f t="shared" si="134"/>
        <v>0</v>
      </c>
      <c r="R308" s="529">
        <f t="shared" si="134"/>
        <v>2325</v>
      </c>
    </row>
    <row r="309" spans="2:18" x14ac:dyDescent="0.2">
      <c r="B309" s="641">
        <f t="shared" si="128"/>
        <v>25</v>
      </c>
      <c r="C309" s="130"/>
      <c r="D309" s="130"/>
      <c r="E309" s="134" t="s">
        <v>235</v>
      </c>
      <c r="F309" s="134">
        <v>717</v>
      </c>
      <c r="G309" s="353" t="s">
        <v>644</v>
      </c>
      <c r="H309" s="382"/>
      <c r="I309" s="382"/>
      <c r="J309" s="382"/>
      <c r="K309" s="132"/>
      <c r="L309" s="527">
        <f>293000-2325</f>
        <v>290675</v>
      </c>
      <c r="M309" s="799"/>
      <c r="N309" s="527">
        <f t="shared" si="135"/>
        <v>290675</v>
      </c>
      <c r="O309" s="132"/>
      <c r="P309" s="529">
        <f t="shared" si="133"/>
        <v>290675</v>
      </c>
      <c r="Q309" s="529">
        <f t="shared" si="134"/>
        <v>0</v>
      </c>
      <c r="R309" s="529">
        <f t="shared" si="134"/>
        <v>290675</v>
      </c>
    </row>
    <row r="310" spans="2:18" x14ac:dyDescent="0.2">
      <c r="B310" s="641">
        <f t="shared" si="128"/>
        <v>26</v>
      </c>
      <c r="C310" s="130"/>
      <c r="D310" s="130"/>
      <c r="E310" s="134" t="s">
        <v>235</v>
      </c>
      <c r="F310" s="134">
        <v>716</v>
      </c>
      <c r="G310" s="353" t="s">
        <v>644</v>
      </c>
      <c r="H310" s="382"/>
      <c r="I310" s="382"/>
      <c r="J310" s="382"/>
      <c r="K310" s="132"/>
      <c r="L310" s="527">
        <v>7000</v>
      </c>
      <c r="M310" s="799"/>
      <c r="N310" s="527">
        <f t="shared" si="135"/>
        <v>7000</v>
      </c>
      <c r="O310" s="132"/>
      <c r="P310" s="529">
        <f t="shared" si="133"/>
        <v>7000</v>
      </c>
      <c r="Q310" s="529">
        <f t="shared" si="134"/>
        <v>0</v>
      </c>
      <c r="R310" s="529">
        <f t="shared" si="134"/>
        <v>7000</v>
      </c>
    </row>
    <row r="311" spans="2:18" x14ac:dyDescent="0.2">
      <c r="B311" s="641">
        <f t="shared" si="128"/>
        <v>27</v>
      </c>
      <c r="C311" s="130"/>
      <c r="D311" s="130"/>
      <c r="E311" s="134" t="s">
        <v>235</v>
      </c>
      <c r="F311" s="134">
        <v>716</v>
      </c>
      <c r="G311" s="353" t="s">
        <v>812</v>
      </c>
      <c r="H311" s="382"/>
      <c r="I311" s="382"/>
      <c r="J311" s="382"/>
      <c r="K311" s="132"/>
      <c r="L311" s="527">
        <v>480</v>
      </c>
      <c r="M311" s="799"/>
      <c r="N311" s="527">
        <f t="shared" si="135"/>
        <v>480</v>
      </c>
      <c r="O311" s="132"/>
      <c r="P311" s="529">
        <f t="shared" si="133"/>
        <v>480</v>
      </c>
      <c r="Q311" s="529">
        <f t="shared" si="134"/>
        <v>0</v>
      </c>
      <c r="R311" s="529">
        <f t="shared" si="134"/>
        <v>480</v>
      </c>
    </row>
    <row r="312" spans="2:18" x14ac:dyDescent="0.2">
      <c r="B312" s="641">
        <f t="shared" si="128"/>
        <v>28</v>
      </c>
      <c r="C312" s="130"/>
      <c r="D312" s="130"/>
      <c r="E312" s="134" t="s">
        <v>235</v>
      </c>
      <c r="F312" s="134">
        <v>717</v>
      </c>
      <c r="G312" s="353" t="s">
        <v>715</v>
      </c>
      <c r="H312" s="382"/>
      <c r="I312" s="382"/>
      <c r="J312" s="382"/>
      <c r="K312" s="132"/>
      <c r="L312" s="527">
        <f>62000+32323</f>
        <v>94323</v>
      </c>
      <c r="M312" s="799"/>
      <c r="N312" s="527">
        <f t="shared" si="135"/>
        <v>94323</v>
      </c>
      <c r="O312" s="132"/>
      <c r="P312" s="529">
        <f t="shared" si="133"/>
        <v>94323</v>
      </c>
      <c r="Q312" s="529">
        <f t="shared" si="134"/>
        <v>0</v>
      </c>
      <c r="R312" s="529">
        <f t="shared" si="134"/>
        <v>94323</v>
      </c>
    </row>
    <row r="313" spans="2:18" x14ac:dyDescent="0.2">
      <c r="B313" s="136">
        <f t="shared" si="128"/>
        <v>29</v>
      </c>
      <c r="C313" s="130"/>
      <c r="D313" s="130"/>
      <c r="E313" s="134" t="s">
        <v>235</v>
      </c>
      <c r="F313" s="134">
        <v>716</v>
      </c>
      <c r="G313" s="353" t="s">
        <v>700</v>
      </c>
      <c r="H313" s="382"/>
      <c r="I313" s="382"/>
      <c r="J313" s="382"/>
      <c r="K313" s="132"/>
      <c r="L313" s="527">
        <f>900+2000</f>
        <v>2900</v>
      </c>
      <c r="M313" s="799"/>
      <c r="N313" s="527">
        <f t="shared" si="135"/>
        <v>2900</v>
      </c>
      <c r="O313" s="132"/>
      <c r="P313" s="529">
        <f t="shared" si="133"/>
        <v>2900</v>
      </c>
      <c r="Q313" s="529">
        <f t="shared" si="134"/>
        <v>0</v>
      </c>
      <c r="R313" s="529">
        <f t="shared" si="134"/>
        <v>2900</v>
      </c>
    </row>
    <row r="314" spans="2:18" x14ac:dyDescent="0.2">
      <c r="B314" s="136">
        <f t="shared" si="128"/>
        <v>30</v>
      </c>
      <c r="C314" s="525"/>
      <c r="D314" s="525"/>
      <c r="E314" s="134" t="s">
        <v>235</v>
      </c>
      <c r="F314" s="134">
        <v>717</v>
      </c>
      <c r="G314" s="353" t="s">
        <v>700</v>
      </c>
      <c r="H314" s="382"/>
      <c r="I314" s="382"/>
      <c r="J314" s="382"/>
      <c r="K314" s="132"/>
      <c r="L314" s="527">
        <f>9000-900-2680</f>
        <v>5420</v>
      </c>
      <c r="M314" s="799"/>
      <c r="N314" s="527">
        <f t="shared" si="135"/>
        <v>5420</v>
      </c>
      <c r="O314" s="132"/>
      <c r="P314" s="529">
        <f t="shared" si="133"/>
        <v>5420</v>
      </c>
      <c r="Q314" s="529">
        <f t="shared" si="134"/>
        <v>0</v>
      </c>
      <c r="R314" s="529">
        <f t="shared" si="134"/>
        <v>5420</v>
      </c>
    </row>
    <row r="315" spans="2:18" x14ac:dyDescent="0.2">
      <c r="B315" s="136">
        <f t="shared" si="128"/>
        <v>31</v>
      </c>
      <c r="C315" s="525"/>
      <c r="D315" s="525"/>
      <c r="E315" s="180" t="s">
        <v>235</v>
      </c>
      <c r="F315" s="180">
        <v>716</v>
      </c>
      <c r="G315" s="307" t="s">
        <v>714</v>
      </c>
      <c r="H315" s="461"/>
      <c r="I315" s="461"/>
      <c r="J315" s="461"/>
      <c r="K315" s="132"/>
      <c r="L315" s="528">
        <v>5000</v>
      </c>
      <c r="M315" s="799"/>
      <c r="N315" s="527">
        <f t="shared" si="135"/>
        <v>5000</v>
      </c>
      <c r="O315" s="132"/>
      <c r="P315" s="137">
        <f t="shared" si="133"/>
        <v>5000</v>
      </c>
      <c r="Q315" s="137">
        <f t="shared" si="134"/>
        <v>0</v>
      </c>
      <c r="R315" s="137">
        <f t="shared" si="134"/>
        <v>5000</v>
      </c>
    </row>
    <row r="316" spans="2:18" x14ac:dyDescent="0.2">
      <c r="B316" s="136">
        <f t="shared" si="128"/>
        <v>32</v>
      </c>
      <c r="C316" s="525"/>
      <c r="D316" s="525"/>
      <c r="E316" s="525" t="s">
        <v>235</v>
      </c>
      <c r="F316" s="525">
        <v>716</v>
      </c>
      <c r="G316" s="526" t="s">
        <v>695</v>
      </c>
      <c r="H316" s="527"/>
      <c r="I316" s="527"/>
      <c r="J316" s="527"/>
      <c r="K316" s="132"/>
      <c r="L316" s="528">
        <v>2000</v>
      </c>
      <c r="M316" s="799"/>
      <c r="N316" s="527">
        <f t="shared" si="135"/>
        <v>2000</v>
      </c>
      <c r="O316" s="132"/>
      <c r="P316" s="137">
        <f t="shared" si="133"/>
        <v>2000</v>
      </c>
      <c r="Q316" s="137">
        <f t="shared" si="134"/>
        <v>0</v>
      </c>
      <c r="R316" s="137">
        <f t="shared" si="134"/>
        <v>2000</v>
      </c>
    </row>
    <row r="317" spans="2:18" x14ac:dyDescent="0.2">
      <c r="B317" s="136">
        <f t="shared" si="128"/>
        <v>33</v>
      </c>
      <c r="C317" s="525"/>
      <c r="D317" s="525"/>
      <c r="E317" s="525" t="s">
        <v>235</v>
      </c>
      <c r="F317" s="525">
        <v>717</v>
      </c>
      <c r="G317" s="526" t="s">
        <v>695</v>
      </c>
      <c r="H317" s="527"/>
      <c r="I317" s="527"/>
      <c r="J317" s="527"/>
      <c r="K317" s="650"/>
      <c r="L317" s="527">
        <f>20000-2000</f>
        <v>18000</v>
      </c>
      <c r="M317" s="799"/>
      <c r="N317" s="527">
        <f t="shared" si="135"/>
        <v>18000</v>
      </c>
      <c r="O317" s="181"/>
      <c r="P317" s="529">
        <f t="shared" si="133"/>
        <v>18000</v>
      </c>
      <c r="Q317" s="529">
        <f t="shared" si="134"/>
        <v>0</v>
      </c>
      <c r="R317" s="529">
        <f t="shared" si="134"/>
        <v>18000</v>
      </c>
    </row>
    <row r="318" spans="2:18" x14ac:dyDescent="0.2">
      <c r="B318" s="136">
        <f t="shared" si="128"/>
        <v>34</v>
      </c>
      <c r="C318" s="525"/>
      <c r="D318" s="525"/>
      <c r="E318" s="134" t="s">
        <v>235</v>
      </c>
      <c r="F318" s="525">
        <v>716</v>
      </c>
      <c r="G318" s="526" t="s">
        <v>744</v>
      </c>
      <c r="H318" s="527"/>
      <c r="I318" s="527"/>
      <c r="J318" s="527"/>
      <c r="K318" s="650"/>
      <c r="L318" s="527">
        <v>500</v>
      </c>
      <c r="M318" s="799"/>
      <c r="N318" s="527">
        <f t="shared" si="135"/>
        <v>500</v>
      </c>
      <c r="O318" s="181"/>
      <c r="P318" s="529">
        <f t="shared" si="133"/>
        <v>500</v>
      </c>
      <c r="Q318" s="529">
        <f t="shared" si="134"/>
        <v>0</v>
      </c>
      <c r="R318" s="529">
        <f t="shared" si="134"/>
        <v>500</v>
      </c>
    </row>
    <row r="319" spans="2:18" x14ac:dyDescent="0.2">
      <c r="B319" s="136">
        <f t="shared" si="128"/>
        <v>35</v>
      </c>
      <c r="C319" s="525"/>
      <c r="D319" s="525"/>
      <c r="E319" s="134" t="s">
        <v>235</v>
      </c>
      <c r="F319" s="652">
        <v>717</v>
      </c>
      <c r="G319" s="653" t="s">
        <v>745</v>
      </c>
      <c r="H319" s="527"/>
      <c r="I319" s="527"/>
      <c r="J319" s="527"/>
      <c r="K319" s="650"/>
      <c r="L319" s="527">
        <f>1500+6000</f>
        <v>7500</v>
      </c>
      <c r="M319" s="799"/>
      <c r="N319" s="527">
        <f t="shared" si="135"/>
        <v>7500</v>
      </c>
      <c r="O319" s="181"/>
      <c r="P319" s="529">
        <f t="shared" si="133"/>
        <v>7500</v>
      </c>
      <c r="Q319" s="529">
        <f t="shared" si="134"/>
        <v>0</v>
      </c>
      <c r="R319" s="529">
        <f t="shared" si="134"/>
        <v>7500</v>
      </c>
    </row>
    <row r="320" spans="2:18" x14ac:dyDescent="0.2">
      <c r="B320" s="136">
        <f t="shared" si="128"/>
        <v>36</v>
      </c>
      <c r="C320" s="525"/>
      <c r="D320" s="525"/>
      <c r="E320" s="180" t="s">
        <v>235</v>
      </c>
      <c r="F320" s="652">
        <v>717</v>
      </c>
      <c r="G320" s="653" t="s">
        <v>746</v>
      </c>
      <c r="H320" s="527"/>
      <c r="I320" s="527"/>
      <c r="J320" s="527"/>
      <c r="K320" s="650"/>
      <c r="L320" s="527">
        <f>14900-4000</f>
        <v>10900</v>
      </c>
      <c r="M320" s="799"/>
      <c r="N320" s="527">
        <f t="shared" si="135"/>
        <v>10900</v>
      </c>
      <c r="O320" s="181"/>
      <c r="P320" s="529">
        <f t="shared" si="133"/>
        <v>10900</v>
      </c>
      <c r="Q320" s="529">
        <f t="shared" ref="Q320:R335" si="136">I320+M320</f>
        <v>0</v>
      </c>
      <c r="R320" s="529">
        <f t="shared" si="136"/>
        <v>10900</v>
      </c>
    </row>
    <row r="321" spans="2:18" x14ac:dyDescent="0.2">
      <c r="B321" s="655">
        <f t="shared" si="128"/>
        <v>37</v>
      </c>
      <c r="C321" s="652"/>
      <c r="D321" s="652"/>
      <c r="E321" s="652" t="s">
        <v>235</v>
      </c>
      <c r="F321" s="652">
        <v>716</v>
      </c>
      <c r="G321" s="653" t="s">
        <v>747</v>
      </c>
      <c r="H321" s="528"/>
      <c r="I321" s="528"/>
      <c r="J321" s="528"/>
      <c r="K321" s="656"/>
      <c r="L321" s="528">
        <v>1500</v>
      </c>
      <c r="M321" s="800"/>
      <c r="N321" s="527">
        <f t="shared" si="135"/>
        <v>1500</v>
      </c>
      <c r="O321" s="841"/>
      <c r="P321" s="137">
        <f t="shared" si="133"/>
        <v>1500</v>
      </c>
      <c r="Q321" s="137">
        <f t="shared" si="136"/>
        <v>0</v>
      </c>
      <c r="R321" s="137">
        <f t="shared" si="136"/>
        <v>1500</v>
      </c>
    </row>
    <row r="322" spans="2:18" x14ac:dyDescent="0.2">
      <c r="B322" s="641">
        <f t="shared" si="128"/>
        <v>38</v>
      </c>
      <c r="C322" s="525"/>
      <c r="D322" s="525"/>
      <c r="E322" s="525" t="s">
        <v>235</v>
      </c>
      <c r="F322" s="525">
        <v>717</v>
      </c>
      <c r="G322" s="526" t="s">
        <v>769</v>
      </c>
      <c r="H322" s="527"/>
      <c r="I322" s="527"/>
      <c r="J322" s="527"/>
      <c r="K322" s="650"/>
      <c r="L322" s="527">
        <v>40000</v>
      </c>
      <c r="M322" s="799"/>
      <c r="N322" s="799">
        <f t="shared" si="135"/>
        <v>40000</v>
      </c>
      <c r="O322" s="651"/>
      <c r="P322" s="529">
        <f t="shared" si="133"/>
        <v>40000</v>
      </c>
      <c r="Q322" s="529">
        <f t="shared" si="136"/>
        <v>0</v>
      </c>
      <c r="R322" s="529">
        <f t="shared" si="136"/>
        <v>40000</v>
      </c>
    </row>
    <row r="323" spans="2:18" x14ac:dyDescent="0.2">
      <c r="B323" s="641">
        <f t="shared" si="128"/>
        <v>39</v>
      </c>
      <c r="C323" s="525"/>
      <c r="D323" s="525"/>
      <c r="E323" s="134" t="s">
        <v>235</v>
      </c>
      <c r="F323" s="676">
        <v>717</v>
      </c>
      <c r="G323" s="677" t="s">
        <v>770</v>
      </c>
      <c r="H323" s="649"/>
      <c r="I323" s="649"/>
      <c r="J323" s="649"/>
      <c r="K323" s="678"/>
      <c r="L323" s="649">
        <v>5000</v>
      </c>
      <c r="M323" s="801"/>
      <c r="N323" s="801">
        <f>L323+M323</f>
        <v>5000</v>
      </c>
      <c r="O323" s="679"/>
      <c r="P323" s="680">
        <f t="shared" si="133"/>
        <v>5000</v>
      </c>
      <c r="Q323" s="680">
        <f t="shared" si="136"/>
        <v>0</v>
      </c>
      <c r="R323" s="680">
        <f t="shared" si="136"/>
        <v>5000</v>
      </c>
    </row>
    <row r="324" spans="2:18" x14ac:dyDescent="0.2">
      <c r="B324" s="641">
        <f t="shared" si="128"/>
        <v>40</v>
      </c>
      <c r="C324" s="525"/>
      <c r="D324" s="525"/>
      <c r="E324" s="180" t="s">
        <v>235</v>
      </c>
      <c r="F324" s="676">
        <v>717</v>
      </c>
      <c r="G324" s="677" t="s">
        <v>771</v>
      </c>
      <c r="H324" s="649"/>
      <c r="I324" s="649"/>
      <c r="J324" s="649"/>
      <c r="K324" s="678"/>
      <c r="L324" s="649">
        <f>3000-49</f>
        <v>2951</v>
      </c>
      <c r="M324" s="801"/>
      <c r="N324" s="801">
        <f t="shared" ref="N324:N335" si="137">L324+M324</f>
        <v>2951</v>
      </c>
      <c r="O324" s="679"/>
      <c r="P324" s="680">
        <f t="shared" si="133"/>
        <v>2951</v>
      </c>
      <c r="Q324" s="680">
        <f t="shared" si="136"/>
        <v>0</v>
      </c>
      <c r="R324" s="680">
        <f t="shared" si="136"/>
        <v>2951</v>
      </c>
    </row>
    <row r="325" spans="2:18" x14ac:dyDescent="0.2">
      <c r="B325" s="641">
        <f t="shared" si="128"/>
        <v>41</v>
      </c>
      <c r="C325" s="525"/>
      <c r="D325" s="525"/>
      <c r="E325" s="525" t="s">
        <v>235</v>
      </c>
      <c r="F325" s="681">
        <v>717</v>
      </c>
      <c r="G325" s="648" t="s">
        <v>772</v>
      </c>
      <c r="H325" s="649"/>
      <c r="I325" s="649"/>
      <c r="J325" s="649"/>
      <c r="K325" s="678"/>
      <c r="L325" s="649">
        <v>1000</v>
      </c>
      <c r="M325" s="801"/>
      <c r="N325" s="801">
        <f t="shared" si="137"/>
        <v>1000</v>
      </c>
      <c r="O325" s="679"/>
      <c r="P325" s="680">
        <f t="shared" si="133"/>
        <v>1000</v>
      </c>
      <c r="Q325" s="680">
        <f t="shared" si="136"/>
        <v>0</v>
      </c>
      <c r="R325" s="680">
        <f t="shared" si="136"/>
        <v>1000</v>
      </c>
    </row>
    <row r="326" spans="2:18" x14ac:dyDescent="0.2">
      <c r="B326" s="641">
        <f t="shared" si="128"/>
        <v>42</v>
      </c>
      <c r="C326" s="180"/>
      <c r="D326" s="180"/>
      <c r="E326" s="525" t="s">
        <v>235</v>
      </c>
      <c r="F326" s="681">
        <v>716</v>
      </c>
      <c r="G326" s="648" t="s">
        <v>773</v>
      </c>
      <c r="H326" s="682"/>
      <c r="I326" s="682"/>
      <c r="J326" s="682"/>
      <c r="K326" s="683"/>
      <c r="L326" s="682">
        <v>3000</v>
      </c>
      <c r="M326" s="802"/>
      <c r="N326" s="801">
        <f t="shared" si="137"/>
        <v>3000</v>
      </c>
      <c r="O326" s="684"/>
      <c r="P326" s="685">
        <f t="shared" si="133"/>
        <v>3000</v>
      </c>
      <c r="Q326" s="685">
        <f t="shared" si="136"/>
        <v>0</v>
      </c>
      <c r="R326" s="685">
        <f t="shared" si="136"/>
        <v>3000</v>
      </c>
    </row>
    <row r="327" spans="2:18" x14ac:dyDescent="0.2">
      <c r="B327" s="641">
        <f t="shared" si="128"/>
        <v>43</v>
      </c>
      <c r="C327" s="652"/>
      <c r="D327" s="652"/>
      <c r="E327" s="525" t="s">
        <v>235</v>
      </c>
      <c r="F327" s="681">
        <v>717</v>
      </c>
      <c r="G327" s="648" t="s">
        <v>774</v>
      </c>
      <c r="H327" s="686"/>
      <c r="I327" s="686"/>
      <c r="J327" s="686"/>
      <c r="K327" s="687"/>
      <c r="L327" s="686">
        <f>118000-8139-32323</f>
        <v>77538</v>
      </c>
      <c r="M327" s="803"/>
      <c r="N327" s="801">
        <f t="shared" si="137"/>
        <v>77538</v>
      </c>
      <c r="O327" s="688"/>
      <c r="P327" s="689">
        <f t="shared" si="133"/>
        <v>77538</v>
      </c>
      <c r="Q327" s="689">
        <f t="shared" si="136"/>
        <v>0</v>
      </c>
      <c r="R327" s="689">
        <f t="shared" si="136"/>
        <v>77538</v>
      </c>
    </row>
    <row r="328" spans="2:18" x14ac:dyDescent="0.2">
      <c r="B328" s="641">
        <f t="shared" si="128"/>
        <v>44</v>
      </c>
      <c r="C328" s="652"/>
      <c r="D328" s="652"/>
      <c r="E328" s="525" t="s">
        <v>235</v>
      </c>
      <c r="F328" s="681">
        <v>716</v>
      </c>
      <c r="G328" s="648" t="s">
        <v>775</v>
      </c>
      <c r="H328" s="686"/>
      <c r="I328" s="686"/>
      <c r="J328" s="686"/>
      <c r="K328" s="687"/>
      <c r="L328" s="686">
        <v>2000</v>
      </c>
      <c r="M328" s="803"/>
      <c r="N328" s="801">
        <f t="shared" si="137"/>
        <v>2000</v>
      </c>
      <c r="O328" s="688"/>
      <c r="P328" s="689">
        <f t="shared" si="133"/>
        <v>2000</v>
      </c>
      <c r="Q328" s="689">
        <f t="shared" si="136"/>
        <v>0</v>
      </c>
      <c r="R328" s="689">
        <f t="shared" si="136"/>
        <v>2000</v>
      </c>
    </row>
    <row r="329" spans="2:18" x14ac:dyDescent="0.2">
      <c r="B329" s="641">
        <f t="shared" si="128"/>
        <v>45</v>
      </c>
      <c r="C329" s="652"/>
      <c r="D329" s="652"/>
      <c r="E329" s="525" t="s">
        <v>235</v>
      </c>
      <c r="F329" s="681">
        <v>716</v>
      </c>
      <c r="G329" s="648" t="s">
        <v>776</v>
      </c>
      <c r="H329" s="686"/>
      <c r="I329" s="686"/>
      <c r="J329" s="686"/>
      <c r="K329" s="687"/>
      <c r="L329" s="686">
        <v>2000</v>
      </c>
      <c r="M329" s="803"/>
      <c r="N329" s="801">
        <f t="shared" si="137"/>
        <v>2000</v>
      </c>
      <c r="O329" s="688"/>
      <c r="P329" s="689">
        <f t="shared" si="133"/>
        <v>2000</v>
      </c>
      <c r="Q329" s="689">
        <f t="shared" si="136"/>
        <v>0</v>
      </c>
      <c r="R329" s="689">
        <f t="shared" si="136"/>
        <v>2000</v>
      </c>
    </row>
    <row r="330" spans="2:18" x14ac:dyDescent="0.2">
      <c r="B330" s="641">
        <f t="shared" si="128"/>
        <v>46</v>
      </c>
      <c r="C330" s="652"/>
      <c r="D330" s="652"/>
      <c r="E330" s="525" t="s">
        <v>235</v>
      </c>
      <c r="F330" s="681">
        <v>717</v>
      </c>
      <c r="G330" s="648" t="s">
        <v>777</v>
      </c>
      <c r="H330" s="686"/>
      <c r="I330" s="686"/>
      <c r="J330" s="686"/>
      <c r="K330" s="687"/>
      <c r="L330" s="686">
        <f>6000+5717</f>
        <v>11717</v>
      </c>
      <c r="M330" s="803"/>
      <c r="N330" s="801">
        <f t="shared" si="137"/>
        <v>11717</v>
      </c>
      <c r="O330" s="688"/>
      <c r="P330" s="689">
        <f t="shared" si="133"/>
        <v>11717</v>
      </c>
      <c r="Q330" s="689">
        <f t="shared" si="136"/>
        <v>0</v>
      </c>
      <c r="R330" s="689">
        <f t="shared" si="136"/>
        <v>11717</v>
      </c>
    </row>
    <row r="331" spans="2:18" x14ac:dyDescent="0.2">
      <c r="B331" s="641">
        <f t="shared" si="128"/>
        <v>47</v>
      </c>
      <c r="C331" s="652"/>
      <c r="D331" s="652"/>
      <c r="E331" s="525" t="s">
        <v>235</v>
      </c>
      <c r="F331" s="681">
        <v>717</v>
      </c>
      <c r="G331" s="648" t="s">
        <v>778</v>
      </c>
      <c r="H331" s="686"/>
      <c r="I331" s="686"/>
      <c r="J331" s="686"/>
      <c r="K331" s="687"/>
      <c r="L331" s="686">
        <f>1000+203</f>
        <v>1203</v>
      </c>
      <c r="M331" s="803"/>
      <c r="N331" s="801">
        <f t="shared" si="137"/>
        <v>1203</v>
      </c>
      <c r="O331" s="688"/>
      <c r="P331" s="689">
        <f t="shared" si="133"/>
        <v>1203</v>
      </c>
      <c r="Q331" s="689">
        <f t="shared" si="136"/>
        <v>0</v>
      </c>
      <c r="R331" s="689">
        <f t="shared" si="136"/>
        <v>1203</v>
      </c>
    </row>
    <row r="332" spans="2:18" x14ac:dyDescent="0.2">
      <c r="B332" s="641">
        <f t="shared" si="128"/>
        <v>48</v>
      </c>
      <c r="C332" s="652"/>
      <c r="D332" s="652"/>
      <c r="E332" s="525" t="s">
        <v>235</v>
      </c>
      <c r="F332" s="681">
        <v>716</v>
      </c>
      <c r="G332" s="648" t="s">
        <v>779</v>
      </c>
      <c r="H332" s="686"/>
      <c r="I332" s="686"/>
      <c r="J332" s="686"/>
      <c r="K332" s="687"/>
      <c r="L332" s="686">
        <v>3500</v>
      </c>
      <c r="M332" s="803"/>
      <c r="N332" s="801">
        <f t="shared" si="137"/>
        <v>3500</v>
      </c>
      <c r="O332" s="688"/>
      <c r="P332" s="689">
        <f t="shared" si="133"/>
        <v>3500</v>
      </c>
      <c r="Q332" s="689">
        <f t="shared" si="136"/>
        <v>0</v>
      </c>
      <c r="R332" s="689">
        <f t="shared" si="136"/>
        <v>3500</v>
      </c>
    </row>
    <row r="333" spans="2:18" x14ac:dyDescent="0.2">
      <c r="B333" s="641">
        <f t="shared" si="128"/>
        <v>49</v>
      </c>
      <c r="C333" s="652"/>
      <c r="D333" s="652"/>
      <c r="E333" s="525" t="s">
        <v>235</v>
      </c>
      <c r="F333" s="681">
        <v>716</v>
      </c>
      <c r="G333" s="648" t="s">
        <v>780</v>
      </c>
      <c r="H333" s="686"/>
      <c r="I333" s="686"/>
      <c r="J333" s="686"/>
      <c r="K333" s="687"/>
      <c r="L333" s="686">
        <v>3500</v>
      </c>
      <c r="M333" s="803"/>
      <c r="N333" s="801">
        <f t="shared" si="137"/>
        <v>3500</v>
      </c>
      <c r="O333" s="688"/>
      <c r="P333" s="689">
        <f t="shared" si="133"/>
        <v>3500</v>
      </c>
      <c r="Q333" s="689">
        <f t="shared" si="136"/>
        <v>0</v>
      </c>
      <c r="R333" s="689">
        <f t="shared" si="136"/>
        <v>3500</v>
      </c>
    </row>
    <row r="334" spans="2:18" x14ac:dyDescent="0.2">
      <c r="B334" s="641">
        <f t="shared" si="128"/>
        <v>50</v>
      </c>
      <c r="C334" s="652"/>
      <c r="D334" s="652"/>
      <c r="E334" s="525" t="s">
        <v>235</v>
      </c>
      <c r="F334" s="681">
        <v>717</v>
      </c>
      <c r="G334" s="648" t="s">
        <v>781</v>
      </c>
      <c r="H334" s="686"/>
      <c r="I334" s="686"/>
      <c r="J334" s="686"/>
      <c r="K334" s="687"/>
      <c r="L334" s="686">
        <f>2500+2268</f>
        <v>4768</v>
      </c>
      <c r="M334" s="803"/>
      <c r="N334" s="801">
        <f t="shared" si="137"/>
        <v>4768</v>
      </c>
      <c r="O334" s="688"/>
      <c r="P334" s="689">
        <f t="shared" si="133"/>
        <v>4768</v>
      </c>
      <c r="Q334" s="689">
        <f t="shared" si="136"/>
        <v>0</v>
      </c>
      <c r="R334" s="689">
        <f t="shared" si="136"/>
        <v>4768</v>
      </c>
    </row>
    <row r="335" spans="2:18" x14ac:dyDescent="0.2">
      <c r="B335" s="641">
        <f t="shared" si="128"/>
        <v>51</v>
      </c>
      <c r="C335" s="652"/>
      <c r="D335" s="652"/>
      <c r="E335" s="525" t="s">
        <v>235</v>
      </c>
      <c r="F335" s="681">
        <v>717</v>
      </c>
      <c r="G335" s="648" t="s">
        <v>782</v>
      </c>
      <c r="H335" s="686"/>
      <c r="I335" s="686"/>
      <c r="J335" s="686"/>
      <c r="K335" s="687"/>
      <c r="L335" s="686">
        <v>2500</v>
      </c>
      <c r="M335" s="803"/>
      <c r="N335" s="801">
        <f t="shared" si="137"/>
        <v>2500</v>
      </c>
      <c r="O335" s="688"/>
      <c r="P335" s="689">
        <f t="shared" si="133"/>
        <v>2500</v>
      </c>
      <c r="Q335" s="689">
        <f t="shared" si="136"/>
        <v>0</v>
      </c>
      <c r="R335" s="689">
        <f t="shared" si="136"/>
        <v>2500</v>
      </c>
    </row>
    <row r="336" spans="2:18" x14ac:dyDescent="0.2">
      <c r="B336" s="641">
        <f t="shared" si="128"/>
        <v>52</v>
      </c>
      <c r="C336" s="652"/>
      <c r="D336" s="652"/>
      <c r="E336" s="525" t="s">
        <v>235</v>
      </c>
      <c r="F336" s="690">
        <v>717</v>
      </c>
      <c r="G336" s="691" t="s">
        <v>783</v>
      </c>
      <c r="H336" s="380"/>
      <c r="I336" s="380"/>
      <c r="J336" s="380"/>
      <c r="K336" s="692"/>
      <c r="L336" s="380">
        <f>5000+1740</f>
        <v>6740</v>
      </c>
      <c r="M336" s="804"/>
      <c r="N336" s="804">
        <f>L336+M336</f>
        <v>6740</v>
      </c>
      <c r="O336" s="693"/>
      <c r="P336" s="694">
        <f t="shared" si="133"/>
        <v>6740</v>
      </c>
      <c r="Q336" s="694">
        <f t="shared" ref="Q336:R350" si="138">I336+M336</f>
        <v>0</v>
      </c>
      <c r="R336" s="694">
        <f t="shared" si="138"/>
        <v>6740</v>
      </c>
    </row>
    <row r="337" spans="2:18" x14ac:dyDescent="0.2">
      <c r="B337" s="641">
        <f t="shared" si="128"/>
        <v>53</v>
      </c>
      <c r="C337" s="652"/>
      <c r="D337" s="652"/>
      <c r="E337" s="525" t="s">
        <v>235</v>
      </c>
      <c r="F337" s="690">
        <v>717</v>
      </c>
      <c r="G337" s="691" t="s">
        <v>784</v>
      </c>
      <c r="H337" s="380"/>
      <c r="I337" s="380"/>
      <c r="J337" s="380"/>
      <c r="K337" s="692"/>
      <c r="L337" s="380">
        <v>17550</v>
      </c>
      <c r="M337" s="804"/>
      <c r="N337" s="804">
        <f t="shared" ref="N337:N342" si="139">L337+M337</f>
        <v>17550</v>
      </c>
      <c r="O337" s="693"/>
      <c r="P337" s="694">
        <f t="shared" si="133"/>
        <v>17550</v>
      </c>
      <c r="Q337" s="694">
        <f t="shared" si="138"/>
        <v>0</v>
      </c>
      <c r="R337" s="694">
        <f t="shared" si="138"/>
        <v>17550</v>
      </c>
    </row>
    <row r="338" spans="2:18" x14ac:dyDescent="0.2">
      <c r="B338" s="641">
        <f t="shared" si="128"/>
        <v>54</v>
      </c>
      <c r="C338" s="652"/>
      <c r="D338" s="652"/>
      <c r="E338" s="525" t="s">
        <v>235</v>
      </c>
      <c r="F338" s="690">
        <v>716</v>
      </c>
      <c r="G338" s="691" t="s">
        <v>785</v>
      </c>
      <c r="H338" s="380"/>
      <c r="I338" s="380"/>
      <c r="J338" s="380"/>
      <c r="K338" s="692"/>
      <c r="L338" s="380">
        <v>2500</v>
      </c>
      <c r="M338" s="804"/>
      <c r="N338" s="804">
        <f t="shared" si="139"/>
        <v>2500</v>
      </c>
      <c r="O338" s="693"/>
      <c r="P338" s="694">
        <f t="shared" si="133"/>
        <v>2500</v>
      </c>
      <c r="Q338" s="694">
        <f t="shared" si="138"/>
        <v>0</v>
      </c>
      <c r="R338" s="694">
        <f t="shared" si="138"/>
        <v>2500</v>
      </c>
    </row>
    <row r="339" spans="2:18" x14ac:dyDescent="0.2">
      <c r="B339" s="641">
        <f t="shared" si="128"/>
        <v>55</v>
      </c>
      <c r="C339" s="652"/>
      <c r="D339" s="652"/>
      <c r="E339" s="525" t="s">
        <v>235</v>
      </c>
      <c r="F339" s="690">
        <v>716</v>
      </c>
      <c r="G339" s="691" t="s">
        <v>840</v>
      </c>
      <c r="H339" s="380"/>
      <c r="I339" s="380"/>
      <c r="J339" s="380"/>
      <c r="K339" s="692"/>
      <c r="L339" s="380">
        <v>500</v>
      </c>
      <c r="M339" s="804"/>
      <c r="N339" s="804">
        <f t="shared" si="139"/>
        <v>500</v>
      </c>
      <c r="O339" s="693"/>
      <c r="P339" s="694">
        <f t="shared" si="133"/>
        <v>500</v>
      </c>
      <c r="Q339" s="694">
        <f t="shared" si="138"/>
        <v>0</v>
      </c>
      <c r="R339" s="694">
        <f t="shared" si="138"/>
        <v>500</v>
      </c>
    </row>
    <row r="340" spans="2:18" x14ac:dyDescent="0.2">
      <c r="B340" s="641">
        <f t="shared" si="128"/>
        <v>56</v>
      </c>
      <c r="C340" s="652"/>
      <c r="D340" s="652"/>
      <c r="E340" s="525" t="s">
        <v>235</v>
      </c>
      <c r="F340" s="690">
        <v>717</v>
      </c>
      <c r="G340" s="691" t="s">
        <v>786</v>
      </c>
      <c r="H340" s="380"/>
      <c r="I340" s="380"/>
      <c r="J340" s="380"/>
      <c r="K340" s="692"/>
      <c r="L340" s="380">
        <f>15000-500</f>
        <v>14500</v>
      </c>
      <c r="M340" s="804"/>
      <c r="N340" s="804">
        <f t="shared" si="139"/>
        <v>14500</v>
      </c>
      <c r="O340" s="693"/>
      <c r="P340" s="694">
        <f t="shared" si="133"/>
        <v>14500</v>
      </c>
      <c r="Q340" s="694">
        <f t="shared" si="138"/>
        <v>0</v>
      </c>
      <c r="R340" s="694">
        <f t="shared" si="138"/>
        <v>14500</v>
      </c>
    </row>
    <row r="341" spans="2:18" x14ac:dyDescent="0.2">
      <c r="B341" s="641">
        <f t="shared" si="128"/>
        <v>57</v>
      </c>
      <c r="C341" s="652"/>
      <c r="D341" s="652"/>
      <c r="E341" s="525" t="s">
        <v>235</v>
      </c>
      <c r="F341" s="690">
        <v>717</v>
      </c>
      <c r="G341" s="691" t="s">
        <v>787</v>
      </c>
      <c r="H341" s="380"/>
      <c r="I341" s="380"/>
      <c r="J341" s="380"/>
      <c r="K341" s="692"/>
      <c r="L341" s="380">
        <f>80000-800-1740</f>
        <v>77460</v>
      </c>
      <c r="M341" s="804"/>
      <c r="N341" s="804">
        <f t="shared" si="139"/>
        <v>77460</v>
      </c>
      <c r="O341" s="693"/>
      <c r="P341" s="694">
        <f t="shared" si="133"/>
        <v>77460</v>
      </c>
      <c r="Q341" s="694">
        <f t="shared" si="138"/>
        <v>0</v>
      </c>
      <c r="R341" s="694">
        <f t="shared" si="138"/>
        <v>77460</v>
      </c>
    </row>
    <row r="342" spans="2:18" x14ac:dyDescent="0.2">
      <c r="B342" s="641">
        <f t="shared" si="128"/>
        <v>58</v>
      </c>
      <c r="C342" s="652"/>
      <c r="D342" s="652"/>
      <c r="E342" s="525" t="s">
        <v>235</v>
      </c>
      <c r="F342" s="690">
        <v>716</v>
      </c>
      <c r="G342" s="691" t="s">
        <v>816</v>
      </c>
      <c r="H342" s="380"/>
      <c r="I342" s="380"/>
      <c r="J342" s="380"/>
      <c r="K342" s="692"/>
      <c r="L342" s="380">
        <v>800</v>
      </c>
      <c r="M342" s="804"/>
      <c r="N342" s="804">
        <f t="shared" si="139"/>
        <v>800</v>
      </c>
      <c r="O342" s="693"/>
      <c r="P342" s="694">
        <f t="shared" si="133"/>
        <v>800</v>
      </c>
      <c r="Q342" s="694">
        <f t="shared" si="138"/>
        <v>0</v>
      </c>
      <c r="R342" s="694">
        <f t="shared" si="138"/>
        <v>800</v>
      </c>
    </row>
    <row r="343" spans="2:18" x14ac:dyDescent="0.2">
      <c r="B343" s="641">
        <f t="shared" si="128"/>
        <v>59</v>
      </c>
      <c r="C343" s="652"/>
      <c r="D343" s="652"/>
      <c r="E343" s="525" t="s">
        <v>235</v>
      </c>
      <c r="F343" s="695">
        <v>717</v>
      </c>
      <c r="G343" s="696" t="s">
        <v>788</v>
      </c>
      <c r="H343" s="697"/>
      <c r="I343" s="697"/>
      <c r="J343" s="697"/>
      <c r="K343" s="698"/>
      <c r="L343" s="697">
        <v>75500</v>
      </c>
      <c r="M343" s="805"/>
      <c r="N343" s="805">
        <f>L343+M343</f>
        <v>75500</v>
      </c>
      <c r="O343" s="699"/>
      <c r="P343" s="700">
        <f t="shared" si="133"/>
        <v>75500</v>
      </c>
      <c r="Q343" s="700">
        <f t="shared" si="138"/>
        <v>0</v>
      </c>
      <c r="R343" s="700">
        <f t="shared" si="138"/>
        <v>75500</v>
      </c>
    </row>
    <row r="344" spans="2:18" x14ac:dyDescent="0.2">
      <c r="B344" s="641">
        <f t="shared" si="128"/>
        <v>60</v>
      </c>
      <c r="C344" s="652"/>
      <c r="D344" s="652"/>
      <c r="E344" s="525" t="s">
        <v>235</v>
      </c>
      <c r="F344" s="695">
        <v>716</v>
      </c>
      <c r="G344" s="696" t="s">
        <v>789</v>
      </c>
      <c r="H344" s="697"/>
      <c r="I344" s="697"/>
      <c r="J344" s="697"/>
      <c r="K344" s="698"/>
      <c r="L344" s="697">
        <v>4500</v>
      </c>
      <c r="M344" s="805"/>
      <c r="N344" s="805">
        <f t="shared" ref="N344:N348" si="140">L344+M344</f>
        <v>4500</v>
      </c>
      <c r="O344" s="699"/>
      <c r="P344" s="700">
        <f t="shared" si="133"/>
        <v>4500</v>
      </c>
      <c r="Q344" s="700">
        <f t="shared" si="138"/>
        <v>0</v>
      </c>
      <c r="R344" s="700">
        <f t="shared" si="138"/>
        <v>4500</v>
      </c>
    </row>
    <row r="345" spans="2:18" ht="33.75" x14ac:dyDescent="0.2">
      <c r="B345" s="641">
        <f t="shared" si="128"/>
        <v>61</v>
      </c>
      <c r="C345" s="666"/>
      <c r="D345" s="666"/>
      <c r="E345" s="667" t="s">
        <v>235</v>
      </c>
      <c r="F345" s="701">
        <v>717</v>
      </c>
      <c r="G345" s="702" t="s">
        <v>802</v>
      </c>
      <c r="H345" s="703"/>
      <c r="I345" s="703"/>
      <c r="J345" s="703"/>
      <c r="K345" s="704"/>
      <c r="L345" s="703">
        <v>19000</v>
      </c>
      <c r="M345" s="806"/>
      <c r="N345" s="805">
        <f t="shared" si="140"/>
        <v>19000</v>
      </c>
      <c r="O345" s="705"/>
      <c r="P345" s="706">
        <f t="shared" si="133"/>
        <v>19000</v>
      </c>
      <c r="Q345" s="706">
        <f t="shared" si="138"/>
        <v>0</v>
      </c>
      <c r="R345" s="706">
        <f t="shared" si="138"/>
        <v>19000</v>
      </c>
    </row>
    <row r="346" spans="2:18" x14ac:dyDescent="0.2">
      <c r="B346" s="641">
        <f t="shared" si="128"/>
        <v>62</v>
      </c>
      <c r="C346" s="652"/>
      <c r="D346" s="652"/>
      <c r="E346" s="664" t="s">
        <v>235</v>
      </c>
      <c r="F346" s="707">
        <v>716</v>
      </c>
      <c r="G346" s="708" t="s">
        <v>803</v>
      </c>
      <c r="H346" s="697"/>
      <c r="I346" s="697"/>
      <c r="J346" s="697"/>
      <c r="K346" s="698"/>
      <c r="L346" s="697">
        <v>1000</v>
      </c>
      <c r="M346" s="805"/>
      <c r="N346" s="805">
        <f t="shared" si="140"/>
        <v>1000</v>
      </c>
      <c r="O346" s="699"/>
      <c r="P346" s="700">
        <f t="shared" si="133"/>
        <v>1000</v>
      </c>
      <c r="Q346" s="700">
        <f t="shared" si="138"/>
        <v>0</v>
      </c>
      <c r="R346" s="700">
        <f t="shared" si="138"/>
        <v>1000</v>
      </c>
    </row>
    <row r="347" spans="2:18" x14ac:dyDescent="0.2">
      <c r="B347" s="641">
        <f t="shared" si="128"/>
        <v>63</v>
      </c>
      <c r="C347" s="652"/>
      <c r="D347" s="652"/>
      <c r="E347" s="664" t="s">
        <v>235</v>
      </c>
      <c r="F347" s="707">
        <v>717</v>
      </c>
      <c r="G347" s="708" t="s">
        <v>804</v>
      </c>
      <c r="H347" s="697"/>
      <c r="I347" s="697"/>
      <c r="J347" s="697"/>
      <c r="K347" s="698"/>
      <c r="L347" s="697">
        <f>3000+6500</f>
        <v>9500</v>
      </c>
      <c r="M347" s="805"/>
      <c r="N347" s="805">
        <f t="shared" si="140"/>
        <v>9500</v>
      </c>
      <c r="O347" s="699"/>
      <c r="P347" s="700">
        <f t="shared" si="133"/>
        <v>9500</v>
      </c>
      <c r="Q347" s="700">
        <f t="shared" si="138"/>
        <v>0</v>
      </c>
      <c r="R347" s="700">
        <f t="shared" si="138"/>
        <v>9500</v>
      </c>
    </row>
    <row r="348" spans="2:18" x14ac:dyDescent="0.2">
      <c r="B348" s="641">
        <f t="shared" si="128"/>
        <v>64</v>
      </c>
      <c r="C348" s="652"/>
      <c r="D348" s="652"/>
      <c r="E348" s="664" t="s">
        <v>235</v>
      </c>
      <c r="F348" s="707">
        <v>717</v>
      </c>
      <c r="G348" s="708" t="s">
        <v>805</v>
      </c>
      <c r="H348" s="697"/>
      <c r="I348" s="697"/>
      <c r="J348" s="697"/>
      <c r="K348" s="698"/>
      <c r="L348" s="697">
        <v>5000</v>
      </c>
      <c r="M348" s="805"/>
      <c r="N348" s="805">
        <f t="shared" si="140"/>
        <v>5000</v>
      </c>
      <c r="O348" s="699"/>
      <c r="P348" s="700">
        <f t="shared" si="133"/>
        <v>5000</v>
      </c>
      <c r="Q348" s="700">
        <f t="shared" si="138"/>
        <v>0</v>
      </c>
      <c r="R348" s="700">
        <f t="shared" si="138"/>
        <v>5000</v>
      </c>
    </row>
    <row r="349" spans="2:18" x14ac:dyDescent="0.2">
      <c r="B349" s="641">
        <f t="shared" si="128"/>
        <v>65</v>
      </c>
      <c r="C349" s="525"/>
      <c r="D349" s="525"/>
      <c r="E349" s="525" t="s">
        <v>235</v>
      </c>
      <c r="F349" s="722">
        <v>717</v>
      </c>
      <c r="G349" s="757" t="s">
        <v>790</v>
      </c>
      <c r="H349" s="710"/>
      <c r="I349" s="811"/>
      <c r="J349" s="811"/>
      <c r="K349" s="758"/>
      <c r="L349" s="710">
        <v>133000</v>
      </c>
      <c r="M349" s="807"/>
      <c r="N349" s="807">
        <f>L349+M349</f>
        <v>133000</v>
      </c>
      <c r="O349" s="760"/>
      <c r="P349" s="762">
        <f t="shared" si="133"/>
        <v>133000</v>
      </c>
      <c r="Q349" s="762">
        <f t="shared" si="138"/>
        <v>0</v>
      </c>
      <c r="R349" s="762">
        <f t="shared" si="138"/>
        <v>133000</v>
      </c>
    </row>
    <row r="350" spans="2:18" ht="13.5" thickBot="1" x14ac:dyDescent="0.25">
      <c r="B350" s="641">
        <f t="shared" si="128"/>
        <v>66</v>
      </c>
      <c r="C350" s="211"/>
      <c r="D350" s="211"/>
      <c r="E350" s="211" t="s">
        <v>235</v>
      </c>
      <c r="F350" s="211">
        <v>716</v>
      </c>
      <c r="G350" s="486" t="s">
        <v>824</v>
      </c>
      <c r="H350" s="385"/>
      <c r="I350" s="385"/>
      <c r="J350" s="385"/>
      <c r="K350" s="759"/>
      <c r="L350" s="385">
        <v>150000</v>
      </c>
      <c r="M350" s="808"/>
      <c r="N350" s="808">
        <f>L350+M350</f>
        <v>150000</v>
      </c>
      <c r="O350" s="761"/>
      <c r="P350" s="142">
        <f t="shared" si="133"/>
        <v>150000</v>
      </c>
      <c r="Q350" s="142">
        <f t="shared" si="138"/>
        <v>0</v>
      </c>
      <c r="R350" s="142">
        <f t="shared" si="138"/>
        <v>150000</v>
      </c>
    </row>
    <row r="351" spans="2:18" x14ac:dyDescent="0.2">
      <c r="I351" s="812"/>
      <c r="J351" s="812"/>
    </row>
    <row r="353" spans="2:18" ht="27.75" thickBot="1" x14ac:dyDescent="0.4">
      <c r="B353" s="908" t="s">
        <v>232</v>
      </c>
      <c r="C353" s="908"/>
      <c r="D353" s="908"/>
      <c r="E353" s="908"/>
      <c r="F353" s="908"/>
      <c r="G353" s="908"/>
      <c r="H353" s="908"/>
      <c r="I353" s="809"/>
      <c r="J353" s="809"/>
      <c r="K353" s="247"/>
      <c r="L353" s="247"/>
      <c r="M353" s="247"/>
      <c r="N353" s="247"/>
      <c r="O353" s="247"/>
      <c r="P353" s="247"/>
      <c r="Q353" s="247"/>
      <c r="R353" s="247"/>
    </row>
    <row r="354" spans="2:18" ht="13.5" customHeight="1" thickBot="1" x14ac:dyDescent="0.25">
      <c r="B354" s="905" t="s">
        <v>631</v>
      </c>
      <c r="C354" s="906"/>
      <c r="D354" s="906"/>
      <c r="E354" s="906"/>
      <c r="F354" s="906"/>
      <c r="G354" s="906"/>
      <c r="H354" s="906"/>
      <c r="I354" s="906"/>
      <c r="J354" s="906"/>
      <c r="K354" s="906"/>
      <c r="L354" s="906"/>
      <c r="M354" s="906"/>
      <c r="N354" s="907"/>
      <c r="O354" s="120"/>
      <c r="P354" s="895" t="s">
        <v>721</v>
      </c>
      <c r="Q354" s="895" t="s">
        <v>860</v>
      </c>
      <c r="R354" s="895" t="s">
        <v>721</v>
      </c>
    </row>
    <row r="355" spans="2:18" ht="13.5" customHeight="1" thickTop="1" x14ac:dyDescent="0.2">
      <c r="B355" s="506"/>
      <c r="C355" s="898" t="s">
        <v>477</v>
      </c>
      <c r="D355" s="898" t="s">
        <v>476</v>
      </c>
      <c r="E355" s="898" t="s">
        <v>474</v>
      </c>
      <c r="F355" s="898" t="s">
        <v>475</v>
      </c>
      <c r="G355" s="508" t="s">
        <v>3</v>
      </c>
      <c r="H355" s="900" t="s">
        <v>722</v>
      </c>
      <c r="I355" s="904" t="s">
        <v>860</v>
      </c>
      <c r="J355" s="904" t="s">
        <v>722</v>
      </c>
      <c r="L355" s="902" t="s">
        <v>723</v>
      </c>
      <c r="M355" s="902" t="s">
        <v>860</v>
      </c>
      <c r="N355" s="902" t="s">
        <v>723</v>
      </c>
      <c r="P355" s="896"/>
      <c r="Q355" s="896"/>
      <c r="R355" s="896"/>
    </row>
    <row r="356" spans="2:18" ht="48" customHeight="1" thickBot="1" x14ac:dyDescent="0.25">
      <c r="B356" s="510"/>
      <c r="C356" s="899"/>
      <c r="D356" s="899"/>
      <c r="E356" s="899"/>
      <c r="F356" s="899"/>
      <c r="G356" s="509"/>
      <c r="H356" s="901"/>
      <c r="I356" s="901"/>
      <c r="J356" s="901"/>
      <c r="L356" s="903"/>
      <c r="M356" s="903"/>
      <c r="N356" s="903"/>
      <c r="P356" s="897"/>
      <c r="Q356" s="897"/>
      <c r="R356" s="897"/>
    </row>
    <row r="357" spans="2:18" ht="19.5" customHeight="1" thickTop="1" thickBot="1" x14ac:dyDescent="0.25">
      <c r="B357" s="171">
        <v>1</v>
      </c>
      <c r="C357" s="125" t="s">
        <v>233</v>
      </c>
      <c r="D357" s="111"/>
      <c r="E357" s="111"/>
      <c r="F357" s="111"/>
      <c r="G357" s="192"/>
      <c r="H357" s="437">
        <f>H358+H514+H717+H819+H1089</f>
        <v>12469629</v>
      </c>
      <c r="I357" s="437">
        <f>I358+I514+I717+I819+I1089</f>
        <v>8726</v>
      </c>
      <c r="J357" s="437">
        <f t="shared" ref="J357:J362" si="141">H357+I357</f>
        <v>12478355</v>
      </c>
      <c r="K357" s="113"/>
      <c r="L357" s="405">
        <f>L358+L514+L717+L819+L1089</f>
        <v>366436</v>
      </c>
      <c r="M357" s="405">
        <f>M358+M514+M717+M819+M1089</f>
        <v>2671</v>
      </c>
      <c r="N357" s="405">
        <f>L357+M357</f>
        <v>369107</v>
      </c>
      <c r="O357" s="113"/>
      <c r="P357" s="392">
        <f t="shared" ref="P357:P399" si="142">H357+L357</f>
        <v>12836065</v>
      </c>
      <c r="Q357" s="392">
        <f t="shared" ref="Q357:R372" si="143">I357+M357</f>
        <v>11397</v>
      </c>
      <c r="R357" s="392">
        <f t="shared" si="143"/>
        <v>12847462</v>
      </c>
    </row>
    <row r="358" spans="2:18" ht="16.5" thickTop="1" x14ac:dyDescent="0.25">
      <c r="B358" s="171">
        <f>B357+1</f>
        <v>2</v>
      </c>
      <c r="C358" s="23">
        <v>1</v>
      </c>
      <c r="D358" s="127" t="s">
        <v>106</v>
      </c>
      <c r="E358" s="24"/>
      <c r="F358" s="24"/>
      <c r="G358" s="193"/>
      <c r="H358" s="423">
        <f>H359+H510+H511+H512+H497+H508</f>
        <v>2915419</v>
      </c>
      <c r="I358" s="423">
        <f>I359+I510+I511+I512+I497+I508</f>
        <v>0</v>
      </c>
      <c r="J358" s="423">
        <f t="shared" si="141"/>
        <v>2915419</v>
      </c>
      <c r="K358" s="88"/>
      <c r="L358" s="379">
        <f>L359</f>
        <v>87740</v>
      </c>
      <c r="M358" s="379">
        <f t="shared" ref="M358" si="144">M359</f>
        <v>0</v>
      </c>
      <c r="N358" s="379">
        <f t="shared" ref="N358:N377" si="145">L358+M358</f>
        <v>87740</v>
      </c>
      <c r="O358" s="88"/>
      <c r="P358" s="390">
        <f t="shared" si="142"/>
        <v>3003159</v>
      </c>
      <c r="Q358" s="390">
        <f t="shared" si="143"/>
        <v>0</v>
      </c>
      <c r="R358" s="390">
        <f t="shared" si="143"/>
        <v>3003159</v>
      </c>
    </row>
    <row r="359" spans="2:18" ht="15" x14ac:dyDescent="0.25">
      <c r="B359" s="171">
        <f t="shared" ref="B359:B422" si="146">B358+1</f>
        <v>3</v>
      </c>
      <c r="C359" s="143"/>
      <c r="D359" s="144"/>
      <c r="E359" s="170" t="s">
        <v>511</v>
      </c>
      <c r="F359" s="144"/>
      <c r="G359" s="199"/>
      <c r="H359" s="424">
        <f>H360+H368+H378+H385+H394+H404+H412+H422+H434+H444+H454+H463+H470+H478+H488</f>
        <v>2344005</v>
      </c>
      <c r="I359" s="424">
        <f>I360+I368+I378+I385+I394+I404+I412+I422+I434+I444+I454+I463+I470+I478+I488</f>
        <v>3660</v>
      </c>
      <c r="J359" s="424">
        <f t="shared" si="141"/>
        <v>2347665</v>
      </c>
      <c r="K359" s="334"/>
      <c r="L359" s="852">
        <f>L360+L368+L378+L385+L394+L404+L497+L412+L422+L434+L444+L454+L463+L470+L478+L488</f>
        <v>87740</v>
      </c>
      <c r="M359" s="852">
        <f>M360+M368+M378+M385+M394+M404+M497+M412+M422+M434+M444+M454+M463+M470+M478+M488</f>
        <v>0</v>
      </c>
      <c r="N359" s="852">
        <f t="shared" si="145"/>
        <v>87740</v>
      </c>
      <c r="O359" s="334"/>
      <c r="P359" s="348">
        <f t="shared" si="142"/>
        <v>2431745</v>
      </c>
      <c r="Q359" s="348">
        <f t="shared" si="143"/>
        <v>3660</v>
      </c>
      <c r="R359" s="348">
        <f t="shared" si="143"/>
        <v>2435405</v>
      </c>
    </row>
    <row r="360" spans="2:18" ht="15" x14ac:dyDescent="0.25">
      <c r="B360" s="171">
        <f t="shared" si="146"/>
        <v>4</v>
      </c>
      <c r="C360" s="76"/>
      <c r="D360" s="29" t="s">
        <v>4</v>
      </c>
      <c r="E360" s="174" t="s">
        <v>289</v>
      </c>
      <c r="F360" s="147" t="s">
        <v>339</v>
      </c>
      <c r="G360" s="236"/>
      <c r="H360" s="425">
        <f>SUM(H361:H363)</f>
        <v>117722</v>
      </c>
      <c r="I360" s="425">
        <f t="shared" ref="I360" si="147">SUM(I361:I363)</f>
        <v>0</v>
      </c>
      <c r="J360" s="425">
        <f t="shared" si="141"/>
        <v>117722</v>
      </c>
      <c r="K360" s="331"/>
      <c r="L360" s="853"/>
      <c r="M360" s="853"/>
      <c r="N360" s="853">
        <f t="shared" si="145"/>
        <v>0</v>
      </c>
      <c r="O360" s="331"/>
      <c r="P360" s="332">
        <f t="shared" si="142"/>
        <v>117722</v>
      </c>
      <c r="Q360" s="332">
        <f t="shared" si="143"/>
        <v>0</v>
      </c>
      <c r="R360" s="332">
        <f t="shared" si="143"/>
        <v>117722</v>
      </c>
    </row>
    <row r="361" spans="2:18" x14ac:dyDescent="0.2">
      <c r="B361" s="171">
        <f t="shared" si="146"/>
        <v>5</v>
      </c>
      <c r="C361" s="143"/>
      <c r="D361" s="144"/>
      <c r="E361" s="131"/>
      <c r="F361" s="144" t="s">
        <v>211</v>
      </c>
      <c r="G361" s="199" t="s">
        <v>505</v>
      </c>
      <c r="H361" s="388">
        <f>63745+3145+1182</f>
        <v>68072</v>
      </c>
      <c r="I361" s="388"/>
      <c r="J361" s="388">
        <f t="shared" si="141"/>
        <v>68072</v>
      </c>
      <c r="K361" s="145"/>
      <c r="L361" s="396"/>
      <c r="M361" s="396"/>
      <c r="N361" s="396"/>
      <c r="O361" s="145"/>
      <c r="P361" s="166">
        <f t="shared" si="142"/>
        <v>68072</v>
      </c>
      <c r="Q361" s="166">
        <f t="shared" si="143"/>
        <v>0</v>
      </c>
      <c r="R361" s="166">
        <f t="shared" si="143"/>
        <v>68072</v>
      </c>
    </row>
    <row r="362" spans="2:18" x14ac:dyDescent="0.2">
      <c r="B362" s="171">
        <f t="shared" si="146"/>
        <v>6</v>
      </c>
      <c r="C362" s="143"/>
      <c r="D362" s="144"/>
      <c r="E362" s="131"/>
      <c r="F362" s="144" t="s">
        <v>212</v>
      </c>
      <c r="G362" s="199" t="s">
        <v>259</v>
      </c>
      <c r="H362" s="388">
        <f>23675+1167+378</f>
        <v>25220</v>
      </c>
      <c r="I362" s="388"/>
      <c r="J362" s="388">
        <f t="shared" si="141"/>
        <v>25220</v>
      </c>
      <c r="K362" s="145"/>
      <c r="L362" s="396"/>
      <c r="M362" s="396"/>
      <c r="N362" s="396"/>
      <c r="O362" s="145"/>
      <c r="P362" s="166">
        <f t="shared" si="142"/>
        <v>25220</v>
      </c>
      <c r="Q362" s="166">
        <f t="shared" si="143"/>
        <v>0</v>
      </c>
      <c r="R362" s="166">
        <f t="shared" si="143"/>
        <v>25220</v>
      </c>
    </row>
    <row r="363" spans="2:18" x14ac:dyDescent="0.2">
      <c r="B363" s="171">
        <f t="shared" si="146"/>
        <v>7</v>
      </c>
      <c r="C363" s="143"/>
      <c r="D363" s="144"/>
      <c r="E363" s="131"/>
      <c r="F363" s="144" t="s">
        <v>218</v>
      </c>
      <c r="G363" s="199" t="s">
        <v>340</v>
      </c>
      <c r="H363" s="388">
        <f>SUM(H364:H367)</f>
        <v>24430</v>
      </c>
      <c r="I363" s="388">
        <f t="shared" ref="I363" si="148">SUM(I364:I367)</f>
        <v>0</v>
      </c>
      <c r="J363" s="388">
        <f t="shared" ref="J363:J367" si="149">H363+I363</f>
        <v>24430</v>
      </c>
      <c r="K363" s="145"/>
      <c r="L363" s="396"/>
      <c r="M363" s="396"/>
      <c r="N363" s="396"/>
      <c r="O363" s="145"/>
      <c r="P363" s="166">
        <f t="shared" si="142"/>
        <v>24430</v>
      </c>
      <c r="Q363" s="166">
        <f t="shared" si="143"/>
        <v>0</v>
      </c>
      <c r="R363" s="166">
        <f t="shared" si="143"/>
        <v>24430</v>
      </c>
    </row>
    <row r="364" spans="2:18" x14ac:dyDescent="0.2">
      <c r="B364" s="171">
        <f t="shared" si="146"/>
        <v>8</v>
      </c>
      <c r="C364" s="130"/>
      <c r="D364" s="131"/>
      <c r="E364" s="131"/>
      <c r="F364" s="131" t="s">
        <v>199</v>
      </c>
      <c r="G364" s="194" t="s">
        <v>318</v>
      </c>
      <c r="H364" s="527">
        <v>15610</v>
      </c>
      <c r="I364" s="527"/>
      <c r="J364" s="527">
        <f t="shared" si="149"/>
        <v>15610</v>
      </c>
      <c r="K364" s="132"/>
      <c r="L364" s="528"/>
      <c r="M364" s="528"/>
      <c r="N364" s="528"/>
      <c r="O364" s="132"/>
      <c r="P364" s="167">
        <f t="shared" si="142"/>
        <v>15610</v>
      </c>
      <c r="Q364" s="167">
        <f t="shared" si="143"/>
        <v>0</v>
      </c>
      <c r="R364" s="167">
        <f t="shared" si="143"/>
        <v>15610</v>
      </c>
    </row>
    <row r="365" spans="2:18" x14ac:dyDescent="0.2">
      <c r="B365" s="171">
        <f t="shared" si="146"/>
        <v>9</v>
      </c>
      <c r="C365" s="130"/>
      <c r="D365" s="131"/>
      <c r="E365" s="131"/>
      <c r="F365" s="131" t="s">
        <v>200</v>
      </c>
      <c r="G365" s="194" t="s">
        <v>247</v>
      </c>
      <c r="H365" s="527">
        <f>5320+800</f>
        <v>6120</v>
      </c>
      <c r="I365" s="527"/>
      <c r="J365" s="527">
        <f t="shared" si="149"/>
        <v>6120</v>
      </c>
      <c r="K365" s="132"/>
      <c r="L365" s="528"/>
      <c r="M365" s="528"/>
      <c r="N365" s="528"/>
      <c r="O365" s="132"/>
      <c r="P365" s="167">
        <f t="shared" si="142"/>
        <v>6120</v>
      </c>
      <c r="Q365" s="167">
        <f t="shared" si="143"/>
        <v>0</v>
      </c>
      <c r="R365" s="167">
        <f t="shared" si="143"/>
        <v>6120</v>
      </c>
    </row>
    <row r="366" spans="2:18" x14ac:dyDescent="0.2">
      <c r="B366" s="171">
        <f t="shared" si="146"/>
        <v>10</v>
      </c>
      <c r="C366" s="130"/>
      <c r="D366" s="131"/>
      <c r="E366" s="131"/>
      <c r="F366" s="131" t="s">
        <v>214</v>
      </c>
      <c r="G366" s="194" t="s">
        <v>261</v>
      </c>
      <c r="H366" s="527">
        <v>100</v>
      </c>
      <c r="I366" s="527"/>
      <c r="J366" s="527">
        <f t="shared" si="149"/>
        <v>100</v>
      </c>
      <c r="K366" s="132"/>
      <c r="L366" s="528"/>
      <c r="M366" s="528"/>
      <c r="N366" s="528"/>
      <c r="O366" s="132"/>
      <c r="P366" s="167">
        <f t="shared" si="142"/>
        <v>100</v>
      </c>
      <c r="Q366" s="167">
        <f t="shared" si="143"/>
        <v>0</v>
      </c>
      <c r="R366" s="167">
        <f t="shared" si="143"/>
        <v>100</v>
      </c>
    </row>
    <row r="367" spans="2:18" x14ac:dyDescent="0.2">
      <c r="B367" s="171">
        <f t="shared" si="146"/>
        <v>11</v>
      </c>
      <c r="C367" s="130"/>
      <c r="D367" s="131"/>
      <c r="E367" s="131"/>
      <c r="F367" s="131" t="s">
        <v>216</v>
      </c>
      <c r="G367" s="194" t="s">
        <v>248</v>
      </c>
      <c r="H367" s="527">
        <v>2600</v>
      </c>
      <c r="I367" s="527"/>
      <c r="J367" s="527">
        <f t="shared" si="149"/>
        <v>2600</v>
      </c>
      <c r="K367" s="132"/>
      <c r="L367" s="528"/>
      <c r="M367" s="528"/>
      <c r="N367" s="528"/>
      <c r="O367" s="132"/>
      <c r="P367" s="167">
        <f t="shared" si="142"/>
        <v>2600</v>
      </c>
      <c r="Q367" s="167">
        <f t="shared" si="143"/>
        <v>0</v>
      </c>
      <c r="R367" s="167">
        <f t="shared" si="143"/>
        <v>2600</v>
      </c>
    </row>
    <row r="368" spans="2:18" ht="15" x14ac:dyDescent="0.25">
      <c r="B368" s="171">
        <f t="shared" si="146"/>
        <v>12</v>
      </c>
      <c r="C368" s="76"/>
      <c r="D368" s="29" t="s">
        <v>5</v>
      </c>
      <c r="E368" s="174" t="s">
        <v>289</v>
      </c>
      <c r="F368" s="147" t="s">
        <v>341</v>
      </c>
      <c r="G368" s="236"/>
      <c r="H368" s="425">
        <f>SUM(H369:H371)+H376</f>
        <v>152316</v>
      </c>
      <c r="I368" s="425">
        <f t="shared" ref="I368" si="150">SUM(I369:I371)+I376</f>
        <v>0</v>
      </c>
      <c r="J368" s="425">
        <f>H368+I368</f>
        <v>152316</v>
      </c>
      <c r="K368" s="333"/>
      <c r="L368" s="853">
        <f>L377</f>
        <v>15000</v>
      </c>
      <c r="M368" s="853">
        <f t="shared" ref="M368" si="151">M377</f>
        <v>0</v>
      </c>
      <c r="N368" s="853">
        <f t="shared" si="145"/>
        <v>15000</v>
      </c>
      <c r="O368" s="333"/>
      <c r="P368" s="332">
        <f t="shared" si="142"/>
        <v>167316</v>
      </c>
      <c r="Q368" s="332">
        <f t="shared" si="143"/>
        <v>0</v>
      </c>
      <c r="R368" s="332">
        <f t="shared" si="143"/>
        <v>167316</v>
      </c>
    </row>
    <row r="369" spans="2:18" x14ac:dyDescent="0.2">
      <c r="B369" s="171">
        <f t="shared" si="146"/>
        <v>13</v>
      </c>
      <c r="C369" s="143"/>
      <c r="D369" s="144"/>
      <c r="E369" s="131"/>
      <c r="F369" s="144" t="s">
        <v>211</v>
      </c>
      <c r="G369" s="199" t="s">
        <v>505</v>
      </c>
      <c r="H369" s="388">
        <f>78130+3823+1976</f>
        <v>83929</v>
      </c>
      <c r="I369" s="388"/>
      <c r="J369" s="388">
        <f>H369+I369</f>
        <v>83929</v>
      </c>
      <c r="K369" s="145"/>
      <c r="L369" s="396"/>
      <c r="M369" s="396"/>
      <c r="N369" s="396"/>
      <c r="O369" s="145"/>
      <c r="P369" s="166">
        <f t="shared" si="142"/>
        <v>83929</v>
      </c>
      <c r="Q369" s="166">
        <f t="shared" si="143"/>
        <v>0</v>
      </c>
      <c r="R369" s="166">
        <f t="shared" si="143"/>
        <v>83929</v>
      </c>
    </row>
    <row r="370" spans="2:18" x14ac:dyDescent="0.2">
      <c r="B370" s="171">
        <f t="shared" si="146"/>
        <v>14</v>
      </c>
      <c r="C370" s="143"/>
      <c r="D370" s="144"/>
      <c r="E370" s="131"/>
      <c r="F370" s="144" t="s">
        <v>212</v>
      </c>
      <c r="G370" s="199" t="s">
        <v>259</v>
      </c>
      <c r="H370" s="388">
        <f>28760+1407+1980</f>
        <v>32147</v>
      </c>
      <c r="I370" s="388"/>
      <c r="J370" s="388">
        <f t="shared" ref="J370:J376" si="152">H370+I370</f>
        <v>32147</v>
      </c>
      <c r="K370" s="145"/>
      <c r="L370" s="396"/>
      <c r="M370" s="396"/>
      <c r="N370" s="396"/>
      <c r="O370" s="145"/>
      <c r="P370" s="166">
        <f t="shared" si="142"/>
        <v>32147</v>
      </c>
      <c r="Q370" s="166">
        <f t="shared" si="143"/>
        <v>0</v>
      </c>
      <c r="R370" s="166">
        <f t="shared" si="143"/>
        <v>32147</v>
      </c>
    </row>
    <row r="371" spans="2:18" x14ac:dyDescent="0.2">
      <c r="B371" s="171">
        <f t="shared" si="146"/>
        <v>15</v>
      </c>
      <c r="C371" s="143"/>
      <c r="D371" s="144"/>
      <c r="E371" s="131"/>
      <c r="F371" s="144" t="s">
        <v>218</v>
      </c>
      <c r="G371" s="199" t="s">
        <v>340</v>
      </c>
      <c r="H371" s="388">
        <f>SUM(H372:H375)</f>
        <v>35000</v>
      </c>
      <c r="I371" s="388">
        <f t="shared" ref="I371" si="153">SUM(I372:I375)</f>
        <v>0</v>
      </c>
      <c r="J371" s="388">
        <f t="shared" si="152"/>
        <v>35000</v>
      </c>
      <c r="K371" s="145"/>
      <c r="L371" s="396"/>
      <c r="M371" s="396"/>
      <c r="N371" s="396"/>
      <c r="O371" s="145"/>
      <c r="P371" s="166">
        <f t="shared" si="142"/>
        <v>35000</v>
      </c>
      <c r="Q371" s="166">
        <f t="shared" si="143"/>
        <v>0</v>
      </c>
      <c r="R371" s="166">
        <f t="shared" si="143"/>
        <v>35000</v>
      </c>
    </row>
    <row r="372" spans="2:18" x14ac:dyDescent="0.2">
      <c r="B372" s="171">
        <f t="shared" si="146"/>
        <v>16</v>
      </c>
      <c r="C372" s="130"/>
      <c r="D372" s="131"/>
      <c r="E372" s="131"/>
      <c r="F372" s="131" t="s">
        <v>199</v>
      </c>
      <c r="G372" s="194" t="s">
        <v>318</v>
      </c>
      <c r="H372" s="527">
        <v>24950</v>
      </c>
      <c r="I372" s="527"/>
      <c r="J372" s="527">
        <f t="shared" si="152"/>
        <v>24950</v>
      </c>
      <c r="K372" s="132"/>
      <c r="L372" s="528"/>
      <c r="M372" s="528"/>
      <c r="N372" s="528"/>
      <c r="O372" s="132"/>
      <c r="P372" s="167">
        <f t="shared" si="142"/>
        <v>24950</v>
      </c>
      <c r="Q372" s="167">
        <f t="shared" si="143"/>
        <v>0</v>
      </c>
      <c r="R372" s="167">
        <f t="shared" si="143"/>
        <v>24950</v>
      </c>
    </row>
    <row r="373" spans="2:18" x14ac:dyDescent="0.2">
      <c r="B373" s="171">
        <f t="shared" si="146"/>
        <v>17</v>
      </c>
      <c r="C373" s="130"/>
      <c r="D373" s="131"/>
      <c r="E373" s="131"/>
      <c r="F373" s="131" t="s">
        <v>200</v>
      </c>
      <c r="G373" s="194" t="s">
        <v>247</v>
      </c>
      <c r="H373" s="527">
        <v>6580</v>
      </c>
      <c r="I373" s="527"/>
      <c r="J373" s="527">
        <f t="shared" si="152"/>
        <v>6580</v>
      </c>
      <c r="K373" s="132"/>
      <c r="L373" s="528"/>
      <c r="M373" s="528"/>
      <c r="N373" s="528"/>
      <c r="O373" s="132"/>
      <c r="P373" s="167">
        <f t="shared" si="142"/>
        <v>6580</v>
      </c>
      <c r="Q373" s="167">
        <f t="shared" ref="Q373:R388" si="154">I373+M373</f>
        <v>0</v>
      </c>
      <c r="R373" s="167">
        <f t="shared" si="154"/>
        <v>6580</v>
      </c>
    </row>
    <row r="374" spans="2:18" x14ac:dyDescent="0.2">
      <c r="B374" s="171">
        <f t="shared" si="146"/>
        <v>18</v>
      </c>
      <c r="C374" s="143"/>
      <c r="D374" s="131"/>
      <c r="E374" s="131"/>
      <c r="F374" s="131" t="s">
        <v>214</v>
      </c>
      <c r="G374" s="194" t="s">
        <v>261</v>
      </c>
      <c r="H374" s="527">
        <v>150</v>
      </c>
      <c r="I374" s="527"/>
      <c r="J374" s="527">
        <f t="shared" si="152"/>
        <v>150</v>
      </c>
      <c r="K374" s="145"/>
      <c r="L374" s="528"/>
      <c r="M374" s="528"/>
      <c r="N374" s="528"/>
      <c r="O374" s="145"/>
      <c r="P374" s="167">
        <f t="shared" si="142"/>
        <v>150</v>
      </c>
      <c r="Q374" s="167">
        <f t="shared" si="154"/>
        <v>0</v>
      </c>
      <c r="R374" s="167">
        <f t="shared" si="154"/>
        <v>150</v>
      </c>
    </row>
    <row r="375" spans="2:18" x14ac:dyDescent="0.2">
      <c r="B375" s="171">
        <f t="shared" si="146"/>
        <v>19</v>
      </c>
      <c r="C375" s="143"/>
      <c r="D375" s="131"/>
      <c r="E375" s="131"/>
      <c r="F375" s="131" t="s">
        <v>216</v>
      </c>
      <c r="G375" s="194" t="s">
        <v>248</v>
      </c>
      <c r="H375" s="527">
        <v>3320</v>
      </c>
      <c r="I375" s="527"/>
      <c r="J375" s="527">
        <f t="shared" si="152"/>
        <v>3320</v>
      </c>
      <c r="K375" s="145"/>
      <c r="L375" s="528"/>
      <c r="M375" s="528"/>
      <c r="N375" s="528"/>
      <c r="O375" s="145"/>
      <c r="P375" s="167">
        <f t="shared" si="142"/>
        <v>3320</v>
      </c>
      <c r="Q375" s="167">
        <f t="shared" si="154"/>
        <v>0</v>
      </c>
      <c r="R375" s="167">
        <f t="shared" si="154"/>
        <v>3320</v>
      </c>
    </row>
    <row r="376" spans="2:18" x14ac:dyDescent="0.2">
      <c r="B376" s="171">
        <f t="shared" si="146"/>
        <v>20</v>
      </c>
      <c r="C376" s="143"/>
      <c r="D376" s="131"/>
      <c r="E376" s="169"/>
      <c r="F376" s="284" t="s">
        <v>652</v>
      </c>
      <c r="G376" s="199" t="s">
        <v>665</v>
      </c>
      <c r="H376" s="388">
        <v>1240</v>
      </c>
      <c r="I376" s="388"/>
      <c r="J376" s="388">
        <f t="shared" si="152"/>
        <v>1240</v>
      </c>
      <c r="K376" s="145"/>
      <c r="L376" s="528"/>
      <c r="M376" s="528"/>
      <c r="N376" s="528"/>
      <c r="O376" s="145"/>
      <c r="P376" s="166">
        <f t="shared" si="142"/>
        <v>1240</v>
      </c>
      <c r="Q376" s="166">
        <f t="shared" si="154"/>
        <v>0</v>
      </c>
      <c r="R376" s="166">
        <f t="shared" si="154"/>
        <v>1240</v>
      </c>
    </row>
    <row r="377" spans="2:18" x14ac:dyDescent="0.2">
      <c r="B377" s="171">
        <f t="shared" si="146"/>
        <v>21</v>
      </c>
      <c r="C377" s="143"/>
      <c r="D377" s="131"/>
      <c r="E377" s="169"/>
      <c r="F377" s="284" t="s">
        <v>432</v>
      </c>
      <c r="G377" s="199" t="s">
        <v>841</v>
      </c>
      <c r="H377" s="388"/>
      <c r="I377" s="388"/>
      <c r="J377" s="388"/>
      <c r="K377" s="145"/>
      <c r="L377" s="396">
        <v>15000</v>
      </c>
      <c r="M377" s="396"/>
      <c r="N377" s="396">
        <f t="shared" si="145"/>
        <v>15000</v>
      </c>
      <c r="O377" s="145"/>
      <c r="P377" s="166">
        <f t="shared" si="142"/>
        <v>15000</v>
      </c>
      <c r="Q377" s="166">
        <f t="shared" si="154"/>
        <v>0</v>
      </c>
      <c r="R377" s="166">
        <f t="shared" si="154"/>
        <v>15000</v>
      </c>
    </row>
    <row r="378" spans="2:18" ht="15" x14ac:dyDescent="0.25">
      <c r="B378" s="171">
        <f t="shared" si="146"/>
        <v>22</v>
      </c>
      <c r="C378" s="143"/>
      <c r="D378" s="29" t="s">
        <v>6</v>
      </c>
      <c r="E378" s="174" t="s">
        <v>289</v>
      </c>
      <c r="F378" s="147" t="s">
        <v>342</v>
      </c>
      <c r="G378" s="236"/>
      <c r="H378" s="426">
        <f>SUM(H379:H381)</f>
        <v>121969</v>
      </c>
      <c r="I378" s="426">
        <f t="shared" ref="I378" si="155">SUM(I379:I381)</f>
        <v>0</v>
      </c>
      <c r="J378" s="426">
        <f>H378+I378</f>
        <v>121969</v>
      </c>
      <c r="K378" s="334"/>
      <c r="L378" s="854"/>
      <c r="M378" s="854"/>
      <c r="N378" s="854"/>
      <c r="O378" s="334"/>
      <c r="P378" s="330">
        <f t="shared" si="142"/>
        <v>121969</v>
      </c>
      <c r="Q378" s="330">
        <f t="shared" si="154"/>
        <v>0</v>
      </c>
      <c r="R378" s="330">
        <f t="shared" si="154"/>
        <v>121969</v>
      </c>
    </row>
    <row r="379" spans="2:18" x14ac:dyDescent="0.2">
      <c r="B379" s="171">
        <f t="shared" si="146"/>
        <v>23</v>
      </c>
      <c r="C379" s="143"/>
      <c r="D379" s="144"/>
      <c r="E379" s="144"/>
      <c r="F379" s="144" t="s">
        <v>211</v>
      </c>
      <c r="G379" s="199" t="s">
        <v>505</v>
      </c>
      <c r="H379" s="388">
        <f>63905+3153+1526</f>
        <v>68584</v>
      </c>
      <c r="I379" s="388"/>
      <c r="J379" s="388">
        <f>H379+I379</f>
        <v>68584</v>
      </c>
      <c r="K379" s="145"/>
      <c r="L379" s="528"/>
      <c r="M379" s="528"/>
      <c r="N379" s="528"/>
      <c r="O379" s="145"/>
      <c r="P379" s="166">
        <f t="shared" si="142"/>
        <v>68584</v>
      </c>
      <c r="Q379" s="166">
        <f t="shared" si="154"/>
        <v>0</v>
      </c>
      <c r="R379" s="166">
        <f t="shared" si="154"/>
        <v>68584</v>
      </c>
    </row>
    <row r="380" spans="2:18" x14ac:dyDescent="0.2">
      <c r="B380" s="171">
        <f t="shared" si="146"/>
        <v>24</v>
      </c>
      <c r="C380" s="143"/>
      <c r="D380" s="144"/>
      <c r="E380" s="144"/>
      <c r="F380" s="144" t="s">
        <v>212</v>
      </c>
      <c r="G380" s="199" t="s">
        <v>259</v>
      </c>
      <c r="H380" s="388">
        <f>23600+1164+751</f>
        <v>25515</v>
      </c>
      <c r="I380" s="388"/>
      <c r="J380" s="388">
        <f t="shared" ref="J380:J384" si="156">H380+I380</f>
        <v>25515</v>
      </c>
      <c r="K380" s="145"/>
      <c r="L380" s="528"/>
      <c r="M380" s="528"/>
      <c r="N380" s="528"/>
      <c r="O380" s="145"/>
      <c r="P380" s="166">
        <f t="shared" si="142"/>
        <v>25515</v>
      </c>
      <c r="Q380" s="166">
        <f t="shared" si="154"/>
        <v>0</v>
      </c>
      <c r="R380" s="166">
        <f t="shared" si="154"/>
        <v>25515</v>
      </c>
    </row>
    <row r="381" spans="2:18" x14ac:dyDescent="0.2">
      <c r="B381" s="171">
        <f t="shared" si="146"/>
        <v>25</v>
      </c>
      <c r="C381" s="143"/>
      <c r="D381" s="144"/>
      <c r="E381" s="144"/>
      <c r="F381" s="144" t="s">
        <v>218</v>
      </c>
      <c r="G381" s="199" t="s">
        <v>340</v>
      </c>
      <c r="H381" s="388">
        <f>SUM(H382:H384)</f>
        <v>27870</v>
      </c>
      <c r="I381" s="388"/>
      <c r="J381" s="388">
        <f t="shared" si="156"/>
        <v>27870</v>
      </c>
      <c r="K381" s="145"/>
      <c r="L381" s="528"/>
      <c r="M381" s="528"/>
      <c r="N381" s="528"/>
      <c r="O381" s="145"/>
      <c r="P381" s="166">
        <f t="shared" si="142"/>
        <v>27870</v>
      </c>
      <c r="Q381" s="166">
        <f t="shared" si="154"/>
        <v>0</v>
      </c>
      <c r="R381" s="166">
        <f t="shared" si="154"/>
        <v>27870</v>
      </c>
    </row>
    <row r="382" spans="2:18" x14ac:dyDescent="0.2">
      <c r="B382" s="171">
        <f t="shared" si="146"/>
        <v>26</v>
      </c>
      <c r="C382" s="143"/>
      <c r="D382" s="131"/>
      <c r="E382" s="131"/>
      <c r="F382" s="131" t="s">
        <v>199</v>
      </c>
      <c r="G382" s="194" t="s">
        <v>318</v>
      </c>
      <c r="H382" s="527">
        <v>18600</v>
      </c>
      <c r="I382" s="527"/>
      <c r="J382" s="527">
        <f t="shared" si="156"/>
        <v>18600</v>
      </c>
      <c r="K382" s="145"/>
      <c r="L382" s="528"/>
      <c r="M382" s="528"/>
      <c r="N382" s="528"/>
      <c r="O382" s="145"/>
      <c r="P382" s="167">
        <f t="shared" si="142"/>
        <v>18600</v>
      </c>
      <c r="Q382" s="167">
        <f t="shared" si="154"/>
        <v>0</v>
      </c>
      <c r="R382" s="167">
        <f t="shared" si="154"/>
        <v>18600</v>
      </c>
    </row>
    <row r="383" spans="2:18" x14ac:dyDescent="0.2">
      <c r="B383" s="171">
        <f t="shared" si="146"/>
        <v>27</v>
      </c>
      <c r="C383" s="143"/>
      <c r="D383" s="131"/>
      <c r="E383" s="131"/>
      <c r="F383" s="131" t="s">
        <v>200</v>
      </c>
      <c r="G383" s="194" t="s">
        <v>247</v>
      </c>
      <c r="H383" s="527">
        <v>6800</v>
      </c>
      <c r="I383" s="527"/>
      <c r="J383" s="527">
        <f t="shared" si="156"/>
        <v>6800</v>
      </c>
      <c r="K383" s="145"/>
      <c r="L383" s="528"/>
      <c r="M383" s="528"/>
      <c r="N383" s="528"/>
      <c r="O383" s="145"/>
      <c r="P383" s="167">
        <f t="shared" si="142"/>
        <v>6800</v>
      </c>
      <c r="Q383" s="167">
        <f t="shared" si="154"/>
        <v>0</v>
      </c>
      <c r="R383" s="167">
        <f t="shared" si="154"/>
        <v>6800</v>
      </c>
    </row>
    <row r="384" spans="2:18" x14ac:dyDescent="0.2">
      <c r="B384" s="171">
        <f t="shared" si="146"/>
        <v>28</v>
      </c>
      <c r="C384" s="143"/>
      <c r="D384" s="131"/>
      <c r="E384" s="146"/>
      <c r="F384" s="131" t="s">
        <v>216</v>
      </c>
      <c r="G384" s="194" t="s">
        <v>248</v>
      </c>
      <c r="H384" s="527">
        <v>2470</v>
      </c>
      <c r="I384" s="527"/>
      <c r="J384" s="527">
        <f t="shared" si="156"/>
        <v>2470</v>
      </c>
      <c r="K384" s="283"/>
      <c r="L384" s="527"/>
      <c r="M384" s="527"/>
      <c r="N384" s="527"/>
      <c r="O384" s="283"/>
      <c r="P384" s="168">
        <f t="shared" si="142"/>
        <v>2470</v>
      </c>
      <c r="Q384" s="168">
        <f t="shared" si="154"/>
        <v>0</v>
      </c>
      <c r="R384" s="168">
        <f t="shared" si="154"/>
        <v>2470</v>
      </c>
    </row>
    <row r="385" spans="2:18" ht="15" x14ac:dyDescent="0.25">
      <c r="B385" s="171">
        <f t="shared" si="146"/>
        <v>29</v>
      </c>
      <c r="C385" s="143"/>
      <c r="D385" s="29" t="s">
        <v>7</v>
      </c>
      <c r="E385" s="264" t="s">
        <v>289</v>
      </c>
      <c r="F385" s="265" t="s">
        <v>343</v>
      </c>
      <c r="G385" s="266"/>
      <c r="H385" s="427">
        <f>SUM(H386:H388)+H393</f>
        <v>157659</v>
      </c>
      <c r="I385" s="427">
        <f t="shared" ref="I385" si="157">SUM(I386:I388)+I393</f>
        <v>1000</v>
      </c>
      <c r="J385" s="427">
        <f>I385+H385</f>
        <v>158659</v>
      </c>
      <c r="K385" s="334"/>
      <c r="L385" s="855"/>
      <c r="M385" s="855"/>
      <c r="N385" s="855"/>
      <c r="O385" s="334"/>
      <c r="P385" s="335">
        <f t="shared" si="142"/>
        <v>157659</v>
      </c>
      <c r="Q385" s="335">
        <f t="shared" si="154"/>
        <v>1000</v>
      </c>
      <c r="R385" s="335">
        <f t="shared" si="154"/>
        <v>158659</v>
      </c>
    </row>
    <row r="386" spans="2:18" x14ac:dyDescent="0.2">
      <c r="B386" s="171">
        <f t="shared" si="146"/>
        <v>30</v>
      </c>
      <c r="C386" s="143"/>
      <c r="D386" s="144"/>
      <c r="E386" s="144"/>
      <c r="F386" s="144" t="s">
        <v>211</v>
      </c>
      <c r="G386" s="199" t="s">
        <v>505</v>
      </c>
      <c r="H386" s="388">
        <f>87030+4268-8523</f>
        <v>82775</v>
      </c>
      <c r="I386" s="388"/>
      <c r="J386" s="388">
        <f>H386+I386</f>
        <v>82775</v>
      </c>
      <c r="K386" s="145"/>
      <c r="L386" s="527"/>
      <c r="M386" s="527"/>
      <c r="N386" s="527"/>
      <c r="O386" s="145"/>
      <c r="P386" s="166">
        <f t="shared" si="142"/>
        <v>82775</v>
      </c>
      <c r="Q386" s="166">
        <f t="shared" si="154"/>
        <v>0</v>
      </c>
      <c r="R386" s="166">
        <f t="shared" si="154"/>
        <v>82775</v>
      </c>
    </row>
    <row r="387" spans="2:18" x14ac:dyDescent="0.2">
      <c r="B387" s="171">
        <f t="shared" si="146"/>
        <v>31</v>
      </c>
      <c r="C387" s="143"/>
      <c r="D387" s="144"/>
      <c r="E387" s="144"/>
      <c r="F387" s="144" t="s">
        <v>212</v>
      </c>
      <c r="G387" s="199" t="s">
        <v>259</v>
      </c>
      <c r="H387" s="388">
        <f>32293+1582-3591</f>
        <v>30284</v>
      </c>
      <c r="I387" s="388"/>
      <c r="J387" s="388">
        <f t="shared" ref="J387:J393" si="158">H387+I387</f>
        <v>30284</v>
      </c>
      <c r="K387" s="145"/>
      <c r="L387" s="528"/>
      <c r="M387" s="528"/>
      <c r="N387" s="528"/>
      <c r="O387" s="145"/>
      <c r="P387" s="166">
        <f t="shared" si="142"/>
        <v>30284</v>
      </c>
      <c r="Q387" s="166">
        <f t="shared" si="154"/>
        <v>0</v>
      </c>
      <c r="R387" s="166">
        <f t="shared" si="154"/>
        <v>30284</v>
      </c>
    </row>
    <row r="388" spans="2:18" x14ac:dyDescent="0.2">
      <c r="B388" s="171">
        <f t="shared" si="146"/>
        <v>32</v>
      </c>
      <c r="C388" s="143"/>
      <c r="D388" s="144"/>
      <c r="E388" s="144"/>
      <c r="F388" s="144" t="s">
        <v>218</v>
      </c>
      <c r="G388" s="199" t="s">
        <v>340</v>
      </c>
      <c r="H388" s="388">
        <f>SUM(H389:H392)</f>
        <v>42500</v>
      </c>
      <c r="I388" s="388">
        <f>SUM(I389:I392)</f>
        <v>1000</v>
      </c>
      <c r="J388" s="388">
        <f t="shared" si="158"/>
        <v>43500</v>
      </c>
      <c r="K388" s="145"/>
      <c r="L388" s="528"/>
      <c r="M388" s="528"/>
      <c r="N388" s="528"/>
      <c r="O388" s="145"/>
      <c r="P388" s="166">
        <f t="shared" si="142"/>
        <v>42500</v>
      </c>
      <c r="Q388" s="166">
        <f t="shared" si="154"/>
        <v>1000</v>
      </c>
      <c r="R388" s="166">
        <f t="shared" si="154"/>
        <v>43500</v>
      </c>
    </row>
    <row r="389" spans="2:18" x14ac:dyDescent="0.2">
      <c r="B389" s="171">
        <f t="shared" si="146"/>
        <v>33</v>
      </c>
      <c r="C389" s="143"/>
      <c r="D389" s="131"/>
      <c r="E389" s="131"/>
      <c r="F389" s="131" t="s">
        <v>199</v>
      </c>
      <c r="G389" s="194" t="s">
        <v>318</v>
      </c>
      <c r="H389" s="527">
        <v>34250</v>
      </c>
      <c r="I389" s="527"/>
      <c r="J389" s="527">
        <f t="shared" si="158"/>
        <v>34250</v>
      </c>
      <c r="K389" s="145"/>
      <c r="L389" s="528"/>
      <c r="M389" s="528"/>
      <c r="N389" s="528"/>
      <c r="O389" s="145"/>
      <c r="P389" s="167">
        <f t="shared" si="142"/>
        <v>34250</v>
      </c>
      <c r="Q389" s="167">
        <f t="shared" ref="Q389:R399" si="159">I389+M389</f>
        <v>0</v>
      </c>
      <c r="R389" s="167">
        <f t="shared" si="159"/>
        <v>34250</v>
      </c>
    </row>
    <row r="390" spans="2:18" x14ac:dyDescent="0.2">
      <c r="B390" s="171">
        <f t="shared" si="146"/>
        <v>34</v>
      </c>
      <c r="C390" s="143"/>
      <c r="D390" s="131"/>
      <c r="E390" s="131"/>
      <c r="F390" s="131" t="s">
        <v>200</v>
      </c>
      <c r="G390" s="194" t="s">
        <v>247</v>
      </c>
      <c r="H390" s="527">
        <v>4930</v>
      </c>
      <c r="I390" s="527"/>
      <c r="J390" s="527">
        <f t="shared" si="158"/>
        <v>4930</v>
      </c>
      <c r="K390" s="145"/>
      <c r="L390" s="528"/>
      <c r="M390" s="528"/>
      <c r="N390" s="528"/>
      <c r="O390" s="145"/>
      <c r="P390" s="167">
        <f t="shared" si="142"/>
        <v>4930</v>
      </c>
      <c r="Q390" s="167">
        <f t="shared" si="159"/>
        <v>0</v>
      </c>
      <c r="R390" s="167">
        <f t="shared" si="159"/>
        <v>4930</v>
      </c>
    </row>
    <row r="391" spans="2:18" x14ac:dyDescent="0.2">
      <c r="B391" s="171">
        <f t="shared" si="146"/>
        <v>35</v>
      </c>
      <c r="C391" s="143"/>
      <c r="D391" s="131"/>
      <c r="E391" s="146"/>
      <c r="F391" s="131" t="s">
        <v>214</v>
      </c>
      <c r="G391" s="194" t="s">
        <v>261</v>
      </c>
      <c r="H391" s="527">
        <v>150</v>
      </c>
      <c r="I391" s="527">
        <v>1000</v>
      </c>
      <c r="J391" s="527">
        <f t="shared" si="158"/>
        <v>1150</v>
      </c>
      <c r="K391" s="145"/>
      <c r="L391" s="528"/>
      <c r="M391" s="528"/>
      <c r="N391" s="528"/>
      <c r="O391" s="145"/>
      <c r="P391" s="167">
        <f t="shared" si="142"/>
        <v>150</v>
      </c>
      <c r="Q391" s="167">
        <f t="shared" si="159"/>
        <v>1000</v>
      </c>
      <c r="R391" s="167">
        <f t="shared" si="159"/>
        <v>1150</v>
      </c>
    </row>
    <row r="392" spans="2:18" x14ac:dyDescent="0.2">
      <c r="B392" s="171">
        <f t="shared" si="146"/>
        <v>36</v>
      </c>
      <c r="C392" s="143"/>
      <c r="D392" s="131"/>
      <c r="E392" s="146"/>
      <c r="F392" s="131" t="s">
        <v>216</v>
      </c>
      <c r="G392" s="194" t="s">
        <v>248</v>
      </c>
      <c r="H392" s="527">
        <v>3170</v>
      </c>
      <c r="I392" s="527"/>
      <c r="J392" s="527">
        <f t="shared" si="158"/>
        <v>3170</v>
      </c>
      <c r="K392" s="145"/>
      <c r="L392" s="528"/>
      <c r="M392" s="528"/>
      <c r="N392" s="528"/>
      <c r="O392" s="145"/>
      <c r="P392" s="167">
        <f t="shared" si="142"/>
        <v>3170</v>
      </c>
      <c r="Q392" s="167">
        <f t="shared" si="159"/>
        <v>0</v>
      </c>
      <c r="R392" s="167">
        <f t="shared" si="159"/>
        <v>3170</v>
      </c>
    </row>
    <row r="393" spans="2:18" x14ac:dyDescent="0.2">
      <c r="B393" s="171">
        <f t="shared" si="146"/>
        <v>37</v>
      </c>
      <c r="C393" s="143"/>
      <c r="D393" s="131"/>
      <c r="E393" s="146"/>
      <c r="F393" s="284" t="s">
        <v>652</v>
      </c>
      <c r="G393" s="199" t="s">
        <v>665</v>
      </c>
      <c r="H393" s="388">
        <v>2100</v>
      </c>
      <c r="I393" s="388"/>
      <c r="J393" s="388">
        <f t="shared" si="158"/>
        <v>2100</v>
      </c>
      <c r="K393" s="145"/>
      <c r="L393" s="528"/>
      <c r="M393" s="528"/>
      <c r="N393" s="528"/>
      <c r="O393" s="145"/>
      <c r="P393" s="166">
        <f t="shared" si="142"/>
        <v>2100</v>
      </c>
      <c r="Q393" s="166">
        <f t="shared" si="159"/>
        <v>0</v>
      </c>
      <c r="R393" s="166">
        <f t="shared" si="159"/>
        <v>2100</v>
      </c>
    </row>
    <row r="394" spans="2:18" ht="15" x14ac:dyDescent="0.25">
      <c r="B394" s="171">
        <f t="shared" si="146"/>
        <v>38</v>
      </c>
      <c r="C394" s="143"/>
      <c r="D394" s="29" t="s">
        <v>8</v>
      </c>
      <c r="E394" s="174" t="s">
        <v>289</v>
      </c>
      <c r="F394" s="147" t="s">
        <v>344</v>
      </c>
      <c r="G394" s="236"/>
      <c r="H394" s="425">
        <f>SUM(H395:H397)+H403</f>
        <v>146637</v>
      </c>
      <c r="I394" s="425">
        <f t="shared" ref="I394" si="160">SUM(I395:I397)+I403</f>
        <v>0</v>
      </c>
      <c r="J394" s="425">
        <f>H394+I394</f>
        <v>146637</v>
      </c>
      <c r="K394" s="334"/>
      <c r="L394" s="854"/>
      <c r="M394" s="854"/>
      <c r="N394" s="854"/>
      <c r="O394" s="334"/>
      <c r="P394" s="330">
        <f t="shared" si="142"/>
        <v>146637</v>
      </c>
      <c r="Q394" s="330">
        <f t="shared" si="159"/>
        <v>0</v>
      </c>
      <c r="R394" s="330">
        <f t="shared" si="159"/>
        <v>146637</v>
      </c>
    </row>
    <row r="395" spans="2:18" x14ac:dyDescent="0.2">
      <c r="B395" s="171">
        <f t="shared" si="146"/>
        <v>39</v>
      </c>
      <c r="C395" s="143"/>
      <c r="D395" s="144"/>
      <c r="E395" s="144"/>
      <c r="F395" s="144" t="s">
        <v>211</v>
      </c>
      <c r="G395" s="199" t="s">
        <v>505</v>
      </c>
      <c r="H395" s="388">
        <f>80010+3917-4898</f>
        <v>79029</v>
      </c>
      <c r="I395" s="388"/>
      <c r="J395" s="388">
        <f>H395+I395</f>
        <v>79029</v>
      </c>
      <c r="K395" s="145"/>
      <c r="L395" s="528"/>
      <c r="M395" s="528"/>
      <c r="N395" s="528"/>
      <c r="O395" s="145"/>
      <c r="P395" s="166">
        <f t="shared" si="142"/>
        <v>79029</v>
      </c>
      <c r="Q395" s="166">
        <f t="shared" si="159"/>
        <v>0</v>
      </c>
      <c r="R395" s="166">
        <f t="shared" si="159"/>
        <v>79029</v>
      </c>
    </row>
    <row r="396" spans="2:18" x14ac:dyDescent="0.2">
      <c r="B396" s="171">
        <f t="shared" si="146"/>
        <v>40</v>
      </c>
      <c r="C396" s="143"/>
      <c r="D396" s="144"/>
      <c r="E396" s="144"/>
      <c r="F396" s="144" t="s">
        <v>212</v>
      </c>
      <c r="G396" s="199" t="s">
        <v>259</v>
      </c>
      <c r="H396" s="388">
        <f>29589+1446-1437</f>
        <v>29598</v>
      </c>
      <c r="I396" s="388"/>
      <c r="J396" s="388">
        <f t="shared" ref="J396:J401" si="161">H396+I396</f>
        <v>29598</v>
      </c>
      <c r="K396" s="145"/>
      <c r="L396" s="528"/>
      <c r="M396" s="528"/>
      <c r="N396" s="528"/>
      <c r="O396" s="145"/>
      <c r="P396" s="166">
        <f t="shared" si="142"/>
        <v>29598</v>
      </c>
      <c r="Q396" s="166">
        <f t="shared" si="159"/>
        <v>0</v>
      </c>
      <c r="R396" s="166">
        <f t="shared" si="159"/>
        <v>29598</v>
      </c>
    </row>
    <row r="397" spans="2:18" x14ac:dyDescent="0.2">
      <c r="B397" s="171">
        <f t="shared" si="146"/>
        <v>41</v>
      </c>
      <c r="C397" s="143"/>
      <c r="D397" s="144"/>
      <c r="E397" s="144"/>
      <c r="F397" s="144" t="s">
        <v>218</v>
      </c>
      <c r="G397" s="199" t="s">
        <v>340</v>
      </c>
      <c r="H397" s="388">
        <f>SUM(H398:H402)</f>
        <v>36690</v>
      </c>
      <c r="I397" s="388"/>
      <c r="J397" s="388">
        <f t="shared" si="161"/>
        <v>36690</v>
      </c>
      <c r="K397" s="145"/>
      <c r="L397" s="528"/>
      <c r="M397" s="528"/>
      <c r="N397" s="528"/>
      <c r="O397" s="145"/>
      <c r="P397" s="166">
        <f t="shared" si="142"/>
        <v>36690</v>
      </c>
      <c r="Q397" s="166">
        <f t="shared" si="159"/>
        <v>0</v>
      </c>
      <c r="R397" s="166">
        <f t="shared" si="159"/>
        <v>36690</v>
      </c>
    </row>
    <row r="398" spans="2:18" x14ac:dyDescent="0.2">
      <c r="B398" s="171">
        <f t="shared" si="146"/>
        <v>42</v>
      </c>
      <c r="C398" s="143"/>
      <c r="D398" s="131"/>
      <c r="E398" s="131"/>
      <c r="F398" s="131" t="s">
        <v>199</v>
      </c>
      <c r="G398" s="194" t="s">
        <v>318</v>
      </c>
      <c r="H398" s="527">
        <v>24800</v>
      </c>
      <c r="I398" s="527"/>
      <c r="J398" s="527">
        <f t="shared" si="161"/>
        <v>24800</v>
      </c>
      <c r="K398" s="145"/>
      <c r="L398" s="528"/>
      <c r="M398" s="528"/>
      <c r="N398" s="528"/>
      <c r="O398" s="145"/>
      <c r="P398" s="167">
        <f t="shared" si="142"/>
        <v>24800</v>
      </c>
      <c r="Q398" s="167">
        <f t="shared" si="159"/>
        <v>0</v>
      </c>
      <c r="R398" s="167">
        <f t="shared" si="159"/>
        <v>24800</v>
      </c>
    </row>
    <row r="399" spans="2:18" x14ac:dyDescent="0.2">
      <c r="B399" s="171">
        <f t="shared" si="146"/>
        <v>43</v>
      </c>
      <c r="C399" s="143"/>
      <c r="D399" s="131"/>
      <c r="E399" s="131"/>
      <c r="F399" s="131" t="s">
        <v>200</v>
      </c>
      <c r="G399" s="194" t="s">
        <v>247</v>
      </c>
      <c r="H399" s="527">
        <v>6690</v>
      </c>
      <c r="I399" s="527"/>
      <c r="J399" s="527">
        <f t="shared" si="161"/>
        <v>6690</v>
      </c>
      <c r="K399" s="145"/>
      <c r="L399" s="528"/>
      <c r="M399" s="528"/>
      <c r="N399" s="528"/>
      <c r="O399" s="145"/>
      <c r="P399" s="167">
        <f t="shared" si="142"/>
        <v>6690</v>
      </c>
      <c r="Q399" s="167">
        <f t="shared" si="159"/>
        <v>0</v>
      </c>
      <c r="R399" s="167">
        <f t="shared" si="159"/>
        <v>6690</v>
      </c>
    </row>
    <row r="400" spans="2:18" x14ac:dyDescent="0.2">
      <c r="B400" s="171">
        <f t="shared" si="146"/>
        <v>44</v>
      </c>
      <c r="C400" s="143"/>
      <c r="D400" s="131"/>
      <c r="E400" s="178"/>
      <c r="F400" s="131" t="s">
        <v>214</v>
      </c>
      <c r="G400" s="194" t="s">
        <v>261</v>
      </c>
      <c r="H400" s="527">
        <v>1000</v>
      </c>
      <c r="I400" s="527"/>
      <c r="J400" s="527">
        <f t="shared" si="161"/>
        <v>1000</v>
      </c>
      <c r="K400" s="145"/>
      <c r="L400" s="528"/>
      <c r="M400" s="528"/>
      <c r="N400" s="528"/>
      <c r="O400" s="145"/>
      <c r="P400" s="167"/>
      <c r="Q400" s="167"/>
      <c r="R400" s="167"/>
    </row>
    <row r="401" spans="2:18" x14ac:dyDescent="0.2">
      <c r="B401" s="171">
        <f t="shared" si="146"/>
        <v>45</v>
      </c>
      <c r="C401" s="143"/>
      <c r="D401" s="131"/>
      <c r="E401" s="146"/>
      <c r="F401" s="131" t="s">
        <v>216</v>
      </c>
      <c r="G401" s="194" t="s">
        <v>248</v>
      </c>
      <c r="H401" s="527">
        <v>3200</v>
      </c>
      <c r="I401" s="527"/>
      <c r="J401" s="527">
        <f t="shared" si="161"/>
        <v>3200</v>
      </c>
      <c r="K401" s="145"/>
      <c r="L401" s="528"/>
      <c r="M401" s="528"/>
      <c r="N401" s="528"/>
      <c r="O401" s="145"/>
      <c r="P401" s="167">
        <f t="shared" ref="P401:P427" si="162">H401+L401</f>
        <v>3200</v>
      </c>
      <c r="Q401" s="167">
        <f t="shared" ref="Q401:R416" si="163">I401+M401</f>
        <v>0</v>
      </c>
      <c r="R401" s="167">
        <f t="shared" si="163"/>
        <v>3200</v>
      </c>
    </row>
    <row r="402" spans="2:18" x14ac:dyDescent="0.2">
      <c r="B402" s="171">
        <f t="shared" si="146"/>
        <v>46</v>
      </c>
      <c r="C402" s="143"/>
      <c r="D402" s="131"/>
      <c r="E402" s="146"/>
      <c r="F402" s="733" t="s">
        <v>214</v>
      </c>
      <c r="G402" s="717" t="s">
        <v>809</v>
      </c>
      <c r="H402" s="718">
        <v>1000</v>
      </c>
      <c r="I402" s="718"/>
      <c r="J402" s="718">
        <f>H402+I402</f>
        <v>1000</v>
      </c>
      <c r="K402" s="734"/>
      <c r="L402" s="697"/>
      <c r="M402" s="697"/>
      <c r="N402" s="697"/>
      <c r="O402" s="734"/>
      <c r="P402" s="735">
        <f t="shared" si="162"/>
        <v>1000</v>
      </c>
      <c r="Q402" s="735">
        <f t="shared" si="163"/>
        <v>0</v>
      </c>
      <c r="R402" s="735">
        <f t="shared" si="163"/>
        <v>1000</v>
      </c>
    </row>
    <row r="403" spans="2:18" x14ac:dyDescent="0.2">
      <c r="B403" s="171">
        <f t="shared" si="146"/>
        <v>47</v>
      </c>
      <c r="C403" s="143"/>
      <c r="D403" s="131"/>
      <c r="E403" s="146"/>
      <c r="F403" s="284" t="s">
        <v>652</v>
      </c>
      <c r="G403" s="199" t="s">
        <v>665</v>
      </c>
      <c r="H403" s="388">
        <v>1320</v>
      </c>
      <c r="I403" s="388"/>
      <c r="J403" s="388">
        <f>H403+I403</f>
        <v>1320</v>
      </c>
      <c r="K403" s="145"/>
      <c r="L403" s="528"/>
      <c r="M403" s="528"/>
      <c r="N403" s="528"/>
      <c r="O403" s="145"/>
      <c r="P403" s="166">
        <f t="shared" si="162"/>
        <v>1320</v>
      </c>
      <c r="Q403" s="166">
        <f t="shared" si="163"/>
        <v>0</v>
      </c>
      <c r="R403" s="166">
        <f t="shared" si="163"/>
        <v>1320</v>
      </c>
    </row>
    <row r="404" spans="2:18" ht="15" x14ac:dyDescent="0.25">
      <c r="B404" s="171">
        <f t="shared" si="146"/>
        <v>48</v>
      </c>
      <c r="C404" s="143"/>
      <c r="D404" s="29" t="s">
        <v>169</v>
      </c>
      <c r="E404" s="174" t="s">
        <v>289</v>
      </c>
      <c r="F404" s="147" t="s">
        <v>345</v>
      </c>
      <c r="G404" s="236"/>
      <c r="H404" s="425">
        <f>SUM(H405:H407)+H411</f>
        <v>223538</v>
      </c>
      <c r="I404" s="425">
        <f t="shared" ref="I404" si="164">SUM(I405:I407)+I411</f>
        <v>0</v>
      </c>
      <c r="J404" s="425">
        <f>H404+I404</f>
        <v>223538</v>
      </c>
      <c r="K404" s="334"/>
      <c r="L404" s="856"/>
      <c r="M404" s="856"/>
      <c r="N404" s="856"/>
      <c r="O404" s="334"/>
      <c r="P404" s="330">
        <f t="shared" si="162"/>
        <v>223538</v>
      </c>
      <c r="Q404" s="330">
        <f t="shared" si="163"/>
        <v>0</v>
      </c>
      <c r="R404" s="330">
        <f t="shared" si="163"/>
        <v>223538</v>
      </c>
    </row>
    <row r="405" spans="2:18" x14ac:dyDescent="0.2">
      <c r="B405" s="171">
        <f t="shared" si="146"/>
        <v>49</v>
      </c>
      <c r="C405" s="143"/>
      <c r="D405" s="144"/>
      <c r="E405" s="144"/>
      <c r="F405" s="144" t="s">
        <v>211</v>
      </c>
      <c r="G405" s="199" t="s">
        <v>505</v>
      </c>
      <c r="H405" s="388">
        <f>113520+5592+3538</f>
        <v>122650</v>
      </c>
      <c r="I405" s="388"/>
      <c r="J405" s="388">
        <f>H405+I405</f>
        <v>122650</v>
      </c>
      <c r="K405" s="145"/>
      <c r="L405" s="528"/>
      <c r="M405" s="528"/>
      <c r="N405" s="528"/>
      <c r="O405" s="145"/>
      <c r="P405" s="166">
        <f t="shared" si="162"/>
        <v>122650</v>
      </c>
      <c r="Q405" s="166">
        <f t="shared" si="163"/>
        <v>0</v>
      </c>
      <c r="R405" s="166">
        <f t="shared" si="163"/>
        <v>122650</v>
      </c>
    </row>
    <row r="406" spans="2:18" x14ac:dyDescent="0.2">
      <c r="B406" s="171">
        <f t="shared" si="146"/>
        <v>50</v>
      </c>
      <c r="C406" s="143"/>
      <c r="D406" s="144"/>
      <c r="E406" s="144"/>
      <c r="F406" s="144" t="s">
        <v>212</v>
      </c>
      <c r="G406" s="199" t="s">
        <v>259</v>
      </c>
      <c r="H406" s="388">
        <f>41375+2036+2437</f>
        <v>45848</v>
      </c>
      <c r="I406" s="388"/>
      <c r="J406" s="388">
        <f t="shared" ref="J406:J411" si="165">H406+I406</f>
        <v>45848</v>
      </c>
      <c r="K406" s="145"/>
      <c r="L406" s="528"/>
      <c r="M406" s="528"/>
      <c r="N406" s="528"/>
      <c r="O406" s="145"/>
      <c r="P406" s="166">
        <f t="shared" si="162"/>
        <v>45848</v>
      </c>
      <c r="Q406" s="166">
        <f t="shared" si="163"/>
        <v>0</v>
      </c>
      <c r="R406" s="166">
        <f t="shared" si="163"/>
        <v>45848</v>
      </c>
    </row>
    <row r="407" spans="2:18" x14ac:dyDescent="0.2">
      <c r="B407" s="171">
        <f t="shared" si="146"/>
        <v>51</v>
      </c>
      <c r="C407" s="143"/>
      <c r="D407" s="144"/>
      <c r="E407" s="144"/>
      <c r="F407" s="144" t="s">
        <v>218</v>
      </c>
      <c r="G407" s="199" t="s">
        <v>340</v>
      </c>
      <c r="H407" s="388">
        <f>SUM(H408:H410)</f>
        <v>53020</v>
      </c>
      <c r="I407" s="388"/>
      <c r="J407" s="388">
        <f t="shared" si="165"/>
        <v>53020</v>
      </c>
      <c r="K407" s="145"/>
      <c r="L407" s="528"/>
      <c r="M407" s="528"/>
      <c r="N407" s="528"/>
      <c r="O407" s="145"/>
      <c r="P407" s="166">
        <f t="shared" si="162"/>
        <v>53020</v>
      </c>
      <c r="Q407" s="166">
        <f t="shared" si="163"/>
        <v>0</v>
      </c>
      <c r="R407" s="166">
        <f t="shared" si="163"/>
        <v>53020</v>
      </c>
    </row>
    <row r="408" spans="2:18" x14ac:dyDescent="0.2">
      <c r="B408" s="171">
        <f t="shared" si="146"/>
        <v>52</v>
      </c>
      <c r="C408" s="143"/>
      <c r="D408" s="131"/>
      <c r="E408" s="131"/>
      <c r="F408" s="131" t="s">
        <v>199</v>
      </c>
      <c r="G408" s="194" t="s">
        <v>318</v>
      </c>
      <c r="H408" s="527">
        <v>38850</v>
      </c>
      <c r="I408" s="527"/>
      <c r="J408" s="527">
        <f t="shared" si="165"/>
        <v>38850</v>
      </c>
      <c r="K408" s="145"/>
      <c r="L408" s="528"/>
      <c r="M408" s="528"/>
      <c r="N408" s="528"/>
      <c r="O408" s="145"/>
      <c r="P408" s="167">
        <f t="shared" si="162"/>
        <v>38850</v>
      </c>
      <c r="Q408" s="167">
        <f t="shared" si="163"/>
        <v>0</v>
      </c>
      <c r="R408" s="167">
        <f t="shared" si="163"/>
        <v>38850</v>
      </c>
    </row>
    <row r="409" spans="2:18" x14ac:dyDescent="0.2">
      <c r="B409" s="171">
        <f t="shared" si="146"/>
        <v>53</v>
      </c>
      <c r="C409" s="143"/>
      <c r="D409" s="131"/>
      <c r="E409" s="131"/>
      <c r="F409" s="131" t="s">
        <v>200</v>
      </c>
      <c r="G409" s="194" t="s">
        <v>247</v>
      </c>
      <c r="H409" s="527">
        <f>8420+1100</f>
        <v>9520</v>
      </c>
      <c r="I409" s="527"/>
      <c r="J409" s="527">
        <f t="shared" si="165"/>
        <v>9520</v>
      </c>
      <c r="K409" s="145"/>
      <c r="L409" s="528"/>
      <c r="M409" s="528"/>
      <c r="N409" s="528"/>
      <c r="O409" s="145"/>
      <c r="P409" s="167">
        <f t="shared" si="162"/>
        <v>9520</v>
      </c>
      <c r="Q409" s="167">
        <f t="shared" si="163"/>
        <v>0</v>
      </c>
      <c r="R409" s="167">
        <f t="shared" si="163"/>
        <v>9520</v>
      </c>
    </row>
    <row r="410" spans="2:18" x14ac:dyDescent="0.2">
      <c r="B410" s="171">
        <f t="shared" si="146"/>
        <v>54</v>
      </c>
      <c r="C410" s="143"/>
      <c r="D410" s="131"/>
      <c r="E410" s="146"/>
      <c r="F410" s="131" t="s">
        <v>216</v>
      </c>
      <c r="G410" s="194" t="s">
        <v>248</v>
      </c>
      <c r="H410" s="527">
        <v>4650</v>
      </c>
      <c r="I410" s="527"/>
      <c r="J410" s="527">
        <f t="shared" si="165"/>
        <v>4650</v>
      </c>
      <c r="K410" s="145"/>
      <c r="L410" s="528"/>
      <c r="M410" s="528"/>
      <c r="N410" s="528"/>
      <c r="O410" s="145"/>
      <c r="P410" s="167">
        <f t="shared" si="162"/>
        <v>4650</v>
      </c>
      <c r="Q410" s="167">
        <f t="shared" si="163"/>
        <v>0</v>
      </c>
      <c r="R410" s="167">
        <f t="shared" si="163"/>
        <v>4650</v>
      </c>
    </row>
    <row r="411" spans="2:18" x14ac:dyDescent="0.2">
      <c r="B411" s="171">
        <f t="shared" si="146"/>
        <v>55</v>
      </c>
      <c r="C411" s="143"/>
      <c r="D411" s="131"/>
      <c r="E411" s="146"/>
      <c r="F411" s="284" t="s">
        <v>652</v>
      </c>
      <c r="G411" s="199" t="s">
        <v>665</v>
      </c>
      <c r="H411" s="388">
        <v>2020</v>
      </c>
      <c r="I411" s="388"/>
      <c r="J411" s="388">
        <f t="shared" si="165"/>
        <v>2020</v>
      </c>
      <c r="K411" s="145"/>
      <c r="L411" s="528"/>
      <c r="M411" s="528"/>
      <c r="N411" s="528"/>
      <c r="O411" s="145"/>
      <c r="P411" s="166">
        <f t="shared" si="162"/>
        <v>2020</v>
      </c>
      <c r="Q411" s="166">
        <f t="shared" si="163"/>
        <v>0</v>
      </c>
      <c r="R411" s="166">
        <f t="shared" si="163"/>
        <v>2020</v>
      </c>
    </row>
    <row r="412" spans="2:18" ht="15" x14ac:dyDescent="0.25">
      <c r="B412" s="171">
        <f t="shared" si="146"/>
        <v>56</v>
      </c>
      <c r="C412" s="143"/>
      <c r="D412" s="29" t="s">
        <v>347</v>
      </c>
      <c r="E412" s="174" t="s">
        <v>289</v>
      </c>
      <c r="F412" s="147" t="s">
        <v>348</v>
      </c>
      <c r="G412" s="236"/>
      <c r="H412" s="425">
        <f>SUM(H413:H415)+H421</f>
        <v>236921</v>
      </c>
      <c r="I412" s="425">
        <f t="shared" ref="I412" si="166">SUM(I413:I415)+I421</f>
        <v>0</v>
      </c>
      <c r="J412" s="425">
        <f>H412+I412</f>
        <v>236921</v>
      </c>
      <c r="K412" s="334"/>
      <c r="L412" s="854"/>
      <c r="M412" s="854"/>
      <c r="N412" s="854"/>
      <c r="O412" s="334"/>
      <c r="P412" s="330">
        <f t="shared" si="162"/>
        <v>236921</v>
      </c>
      <c r="Q412" s="330">
        <f t="shared" si="163"/>
        <v>0</v>
      </c>
      <c r="R412" s="330">
        <f t="shared" si="163"/>
        <v>236921</v>
      </c>
    </row>
    <row r="413" spans="2:18" x14ac:dyDescent="0.2">
      <c r="B413" s="171">
        <f t="shared" si="146"/>
        <v>57</v>
      </c>
      <c r="C413" s="143"/>
      <c r="D413" s="144"/>
      <c r="E413" s="144"/>
      <c r="F413" s="144" t="s">
        <v>211</v>
      </c>
      <c r="G413" s="199" t="s">
        <v>505</v>
      </c>
      <c r="H413" s="388">
        <f>113960+5614+4169</f>
        <v>123743</v>
      </c>
      <c r="I413" s="388"/>
      <c r="J413" s="388">
        <f>H413+I413</f>
        <v>123743</v>
      </c>
      <c r="K413" s="145"/>
      <c r="L413" s="528"/>
      <c r="M413" s="528"/>
      <c r="N413" s="528"/>
      <c r="O413" s="145"/>
      <c r="P413" s="166">
        <f t="shared" si="162"/>
        <v>123743</v>
      </c>
      <c r="Q413" s="166">
        <f t="shared" si="163"/>
        <v>0</v>
      </c>
      <c r="R413" s="166">
        <f t="shared" si="163"/>
        <v>123743</v>
      </c>
    </row>
    <row r="414" spans="2:18" x14ac:dyDescent="0.2">
      <c r="B414" s="171">
        <f t="shared" si="146"/>
        <v>58</v>
      </c>
      <c r="C414" s="143"/>
      <c r="D414" s="144"/>
      <c r="E414" s="144"/>
      <c r="F414" s="144" t="s">
        <v>212</v>
      </c>
      <c r="G414" s="199" t="s">
        <v>259</v>
      </c>
      <c r="H414" s="388">
        <f>41305+2032+2681</f>
        <v>46018</v>
      </c>
      <c r="I414" s="388"/>
      <c r="J414" s="388">
        <f t="shared" ref="J414:J417" si="167">H414+I414</f>
        <v>46018</v>
      </c>
      <c r="K414" s="145"/>
      <c r="L414" s="528"/>
      <c r="M414" s="528"/>
      <c r="N414" s="528"/>
      <c r="O414" s="145"/>
      <c r="P414" s="166">
        <f t="shared" si="162"/>
        <v>46018</v>
      </c>
      <c r="Q414" s="166">
        <f t="shared" si="163"/>
        <v>0</v>
      </c>
      <c r="R414" s="166">
        <f t="shared" si="163"/>
        <v>46018</v>
      </c>
    </row>
    <row r="415" spans="2:18" x14ac:dyDescent="0.2">
      <c r="B415" s="171">
        <f t="shared" si="146"/>
        <v>59</v>
      </c>
      <c r="C415" s="143"/>
      <c r="D415" s="144"/>
      <c r="E415" s="144"/>
      <c r="F415" s="144" t="s">
        <v>218</v>
      </c>
      <c r="G415" s="199" t="s">
        <v>340</v>
      </c>
      <c r="H415" s="388">
        <f>SUM(H416:H420)</f>
        <v>63120</v>
      </c>
      <c r="I415" s="388"/>
      <c r="J415" s="388">
        <f t="shared" si="167"/>
        <v>63120</v>
      </c>
      <c r="K415" s="145"/>
      <c r="L415" s="528"/>
      <c r="M415" s="528"/>
      <c r="N415" s="528"/>
      <c r="O415" s="145"/>
      <c r="P415" s="166">
        <f t="shared" si="162"/>
        <v>63120</v>
      </c>
      <c r="Q415" s="166">
        <f t="shared" si="163"/>
        <v>0</v>
      </c>
      <c r="R415" s="166">
        <f t="shared" si="163"/>
        <v>63120</v>
      </c>
    </row>
    <row r="416" spans="2:18" x14ac:dyDescent="0.2">
      <c r="B416" s="171">
        <f t="shared" si="146"/>
        <v>60</v>
      </c>
      <c r="C416" s="143"/>
      <c r="D416" s="131"/>
      <c r="E416" s="131"/>
      <c r="F416" s="131" t="s">
        <v>199</v>
      </c>
      <c r="G416" s="194" t="s">
        <v>318</v>
      </c>
      <c r="H416" s="527">
        <v>48450</v>
      </c>
      <c r="I416" s="527"/>
      <c r="J416" s="527">
        <f t="shared" si="167"/>
        <v>48450</v>
      </c>
      <c r="K416" s="145"/>
      <c r="L416" s="528"/>
      <c r="M416" s="528"/>
      <c r="N416" s="528"/>
      <c r="O416" s="145"/>
      <c r="P416" s="167">
        <f t="shared" si="162"/>
        <v>48450</v>
      </c>
      <c r="Q416" s="167">
        <f t="shared" si="163"/>
        <v>0</v>
      </c>
      <c r="R416" s="167">
        <f t="shared" si="163"/>
        <v>48450</v>
      </c>
    </row>
    <row r="417" spans="2:18" x14ac:dyDescent="0.2">
      <c r="B417" s="171">
        <f t="shared" si="146"/>
        <v>61</v>
      </c>
      <c r="C417" s="143"/>
      <c r="D417" s="131"/>
      <c r="E417" s="131"/>
      <c r="F417" s="131" t="s">
        <v>200</v>
      </c>
      <c r="G417" s="194" t="s">
        <v>247</v>
      </c>
      <c r="H417" s="527">
        <v>8300</v>
      </c>
      <c r="I417" s="527"/>
      <c r="J417" s="527">
        <f t="shared" si="167"/>
        <v>8300</v>
      </c>
      <c r="K417" s="145"/>
      <c r="L417" s="528"/>
      <c r="M417" s="528"/>
      <c r="N417" s="528"/>
      <c r="O417" s="145"/>
      <c r="P417" s="167">
        <f t="shared" si="162"/>
        <v>8300</v>
      </c>
      <c r="Q417" s="167">
        <f t="shared" ref="Q417:R433" si="168">I417+M417</f>
        <v>0</v>
      </c>
      <c r="R417" s="167">
        <f t="shared" si="168"/>
        <v>8300</v>
      </c>
    </row>
    <row r="418" spans="2:18" x14ac:dyDescent="0.2">
      <c r="B418" s="171">
        <f t="shared" si="146"/>
        <v>62</v>
      </c>
      <c r="C418" s="143"/>
      <c r="D418" s="131"/>
      <c r="E418" s="178"/>
      <c r="F418" s="726" t="s">
        <v>200</v>
      </c>
      <c r="G418" s="727" t="s">
        <v>811</v>
      </c>
      <c r="H418" s="728">
        <v>2000</v>
      </c>
      <c r="I418" s="728"/>
      <c r="J418" s="728">
        <f>H418+I418</f>
        <v>2000</v>
      </c>
      <c r="K418" s="729"/>
      <c r="L418" s="857"/>
      <c r="M418" s="857"/>
      <c r="N418" s="857"/>
      <c r="O418" s="729"/>
      <c r="P418" s="730">
        <f t="shared" si="162"/>
        <v>2000</v>
      </c>
      <c r="Q418" s="730">
        <f t="shared" si="168"/>
        <v>0</v>
      </c>
      <c r="R418" s="730">
        <f t="shared" si="168"/>
        <v>2000</v>
      </c>
    </row>
    <row r="419" spans="2:18" x14ac:dyDescent="0.2">
      <c r="B419" s="171">
        <f t="shared" si="146"/>
        <v>63</v>
      </c>
      <c r="C419" s="143"/>
      <c r="D419" s="131"/>
      <c r="E419" s="146"/>
      <c r="F419" s="131" t="s">
        <v>214</v>
      </c>
      <c r="G419" s="194" t="s">
        <v>261</v>
      </c>
      <c r="H419" s="527">
        <v>150</v>
      </c>
      <c r="I419" s="527"/>
      <c r="J419" s="527">
        <f>H419+I419</f>
        <v>150</v>
      </c>
      <c r="K419" s="145"/>
      <c r="L419" s="528"/>
      <c r="M419" s="528"/>
      <c r="N419" s="528"/>
      <c r="O419" s="145"/>
      <c r="P419" s="167">
        <f t="shared" si="162"/>
        <v>150</v>
      </c>
      <c r="Q419" s="167">
        <f t="shared" si="168"/>
        <v>0</v>
      </c>
      <c r="R419" s="167">
        <f t="shared" si="168"/>
        <v>150</v>
      </c>
    </row>
    <row r="420" spans="2:18" x14ac:dyDescent="0.2">
      <c r="B420" s="171">
        <f t="shared" si="146"/>
        <v>64</v>
      </c>
      <c r="C420" s="143"/>
      <c r="D420" s="131"/>
      <c r="E420" s="146"/>
      <c r="F420" s="131" t="s">
        <v>216</v>
      </c>
      <c r="G420" s="194" t="s">
        <v>248</v>
      </c>
      <c r="H420" s="527">
        <v>4220</v>
      </c>
      <c r="I420" s="527"/>
      <c r="J420" s="527">
        <f t="shared" ref="J420:J421" si="169">H420+I420</f>
        <v>4220</v>
      </c>
      <c r="K420" s="145"/>
      <c r="L420" s="528"/>
      <c r="M420" s="528"/>
      <c r="N420" s="528"/>
      <c r="O420" s="145"/>
      <c r="P420" s="167">
        <f t="shared" si="162"/>
        <v>4220</v>
      </c>
      <c r="Q420" s="167">
        <f t="shared" si="168"/>
        <v>0</v>
      </c>
      <c r="R420" s="167">
        <f t="shared" si="168"/>
        <v>4220</v>
      </c>
    </row>
    <row r="421" spans="2:18" x14ac:dyDescent="0.2">
      <c r="B421" s="171">
        <f t="shared" si="146"/>
        <v>65</v>
      </c>
      <c r="C421" s="143"/>
      <c r="D421" s="131"/>
      <c r="E421" s="146"/>
      <c r="F421" s="284" t="s">
        <v>652</v>
      </c>
      <c r="G421" s="199" t="s">
        <v>665</v>
      </c>
      <c r="H421" s="388">
        <v>4040</v>
      </c>
      <c r="I421" s="388"/>
      <c r="J421" s="527">
        <f t="shared" si="169"/>
        <v>4040</v>
      </c>
      <c r="K421" s="145"/>
      <c r="L421" s="528"/>
      <c r="M421" s="528"/>
      <c r="N421" s="528"/>
      <c r="O421" s="145"/>
      <c r="P421" s="166">
        <f t="shared" si="162"/>
        <v>4040</v>
      </c>
      <c r="Q421" s="166">
        <f t="shared" si="168"/>
        <v>0</v>
      </c>
      <c r="R421" s="166">
        <f t="shared" si="168"/>
        <v>4040</v>
      </c>
    </row>
    <row r="422" spans="2:18" ht="15" x14ac:dyDescent="0.25">
      <c r="B422" s="171">
        <f t="shared" si="146"/>
        <v>66</v>
      </c>
      <c r="C422" s="143"/>
      <c r="D422" s="29" t="s">
        <v>349</v>
      </c>
      <c r="E422" s="174" t="s">
        <v>289</v>
      </c>
      <c r="F422" s="147" t="s">
        <v>350</v>
      </c>
      <c r="G422" s="236"/>
      <c r="H422" s="425">
        <f>SUM(H423:H425)+H430</f>
        <v>137012</v>
      </c>
      <c r="I422" s="425">
        <f t="shared" ref="I422" si="170">SUM(I423:I425)+I430</f>
        <v>2160</v>
      </c>
      <c r="J422" s="425">
        <f>H422+I422</f>
        <v>139172</v>
      </c>
      <c r="K422" s="334"/>
      <c r="L422" s="854">
        <f>L431+L432+L433</f>
        <v>39000</v>
      </c>
      <c r="M422" s="854">
        <f t="shared" ref="M422" si="171">M431+M432+M433</f>
        <v>0</v>
      </c>
      <c r="N422" s="854">
        <f t="shared" ref="N422:N462" si="172">L422+M422</f>
        <v>39000</v>
      </c>
      <c r="O422" s="334"/>
      <c r="P422" s="330">
        <f t="shared" si="162"/>
        <v>176012</v>
      </c>
      <c r="Q422" s="330">
        <f t="shared" si="168"/>
        <v>2160</v>
      </c>
      <c r="R422" s="330">
        <f t="shared" si="168"/>
        <v>178172</v>
      </c>
    </row>
    <row r="423" spans="2:18" x14ac:dyDescent="0.2">
      <c r="B423" s="171">
        <f t="shared" ref="B423:B487" si="173">B422+1</f>
        <v>67</v>
      </c>
      <c r="C423" s="143"/>
      <c r="D423" s="144"/>
      <c r="E423" s="144"/>
      <c r="F423" s="144" t="s">
        <v>211</v>
      </c>
      <c r="G423" s="199" t="s">
        <v>505</v>
      </c>
      <c r="H423" s="388">
        <f>65780+3247+6380+1921</f>
        <v>77328</v>
      </c>
      <c r="I423" s="388"/>
      <c r="J423" s="388">
        <f>H423+I423</f>
        <v>77328</v>
      </c>
      <c r="K423" s="145"/>
      <c r="L423" s="528"/>
      <c r="M423" s="528"/>
      <c r="N423" s="528"/>
      <c r="O423" s="145"/>
      <c r="P423" s="166">
        <f t="shared" si="162"/>
        <v>77328</v>
      </c>
      <c r="Q423" s="166">
        <f t="shared" si="168"/>
        <v>0</v>
      </c>
      <c r="R423" s="166">
        <f t="shared" si="168"/>
        <v>77328</v>
      </c>
    </row>
    <row r="424" spans="2:18" x14ac:dyDescent="0.2">
      <c r="B424" s="171">
        <f t="shared" si="173"/>
        <v>68</v>
      </c>
      <c r="C424" s="143"/>
      <c r="D424" s="144"/>
      <c r="E424" s="144"/>
      <c r="F424" s="144" t="s">
        <v>212</v>
      </c>
      <c r="G424" s="199" t="s">
        <v>259</v>
      </c>
      <c r="H424" s="388">
        <f>23626+1165+2260+543</f>
        <v>27594</v>
      </c>
      <c r="I424" s="388"/>
      <c r="J424" s="388">
        <f t="shared" ref="J424:J430" si="174">H424+I424</f>
        <v>27594</v>
      </c>
      <c r="K424" s="145"/>
      <c r="L424" s="528"/>
      <c r="M424" s="528"/>
      <c r="N424" s="528"/>
      <c r="O424" s="145"/>
      <c r="P424" s="166">
        <f t="shared" si="162"/>
        <v>27594</v>
      </c>
      <c r="Q424" s="166">
        <f t="shared" si="168"/>
        <v>0</v>
      </c>
      <c r="R424" s="166">
        <f t="shared" si="168"/>
        <v>27594</v>
      </c>
    </row>
    <row r="425" spans="2:18" x14ac:dyDescent="0.2">
      <c r="B425" s="171">
        <f t="shared" si="173"/>
        <v>69</v>
      </c>
      <c r="C425" s="143"/>
      <c r="D425" s="144"/>
      <c r="E425" s="144"/>
      <c r="F425" s="144" t="s">
        <v>218</v>
      </c>
      <c r="G425" s="199" t="s">
        <v>340</v>
      </c>
      <c r="H425" s="388">
        <f>SUM(H426:H429)</f>
        <v>30780</v>
      </c>
      <c r="I425" s="388">
        <f>SUM(I426:I429)</f>
        <v>2160</v>
      </c>
      <c r="J425" s="388">
        <f t="shared" si="174"/>
        <v>32940</v>
      </c>
      <c r="K425" s="145"/>
      <c r="L425" s="528"/>
      <c r="M425" s="528"/>
      <c r="N425" s="528"/>
      <c r="O425" s="145"/>
      <c r="P425" s="166">
        <f t="shared" si="162"/>
        <v>30780</v>
      </c>
      <c r="Q425" s="166">
        <f t="shared" si="168"/>
        <v>2160</v>
      </c>
      <c r="R425" s="166">
        <f t="shared" si="168"/>
        <v>32940</v>
      </c>
    </row>
    <row r="426" spans="2:18" x14ac:dyDescent="0.2">
      <c r="B426" s="171">
        <f t="shared" si="173"/>
        <v>70</v>
      </c>
      <c r="C426" s="143"/>
      <c r="D426" s="131"/>
      <c r="E426" s="131"/>
      <c r="F426" s="131" t="s">
        <v>199</v>
      </c>
      <c r="G426" s="194" t="s">
        <v>318</v>
      </c>
      <c r="H426" s="527">
        <v>14500</v>
      </c>
      <c r="I426" s="527"/>
      <c r="J426" s="527">
        <f t="shared" si="174"/>
        <v>14500</v>
      </c>
      <c r="K426" s="145"/>
      <c r="L426" s="528"/>
      <c r="M426" s="528"/>
      <c r="N426" s="528"/>
      <c r="O426" s="145"/>
      <c r="P426" s="167">
        <f t="shared" si="162"/>
        <v>14500</v>
      </c>
      <c r="Q426" s="167">
        <f t="shared" si="168"/>
        <v>0</v>
      </c>
      <c r="R426" s="167">
        <f t="shared" si="168"/>
        <v>14500</v>
      </c>
    </row>
    <row r="427" spans="2:18" x14ac:dyDescent="0.2">
      <c r="B427" s="171">
        <f t="shared" si="173"/>
        <v>71</v>
      </c>
      <c r="C427" s="143"/>
      <c r="D427" s="131"/>
      <c r="E427" s="131"/>
      <c r="F427" s="290" t="s">
        <v>200</v>
      </c>
      <c r="G427" s="194" t="s">
        <v>247</v>
      </c>
      <c r="H427" s="527">
        <f>7130-1100+7600</f>
        <v>13630</v>
      </c>
      <c r="I427" s="527"/>
      <c r="J427" s="527">
        <f t="shared" si="174"/>
        <v>13630</v>
      </c>
      <c r="K427" s="145"/>
      <c r="L427" s="528"/>
      <c r="M427" s="528"/>
      <c r="N427" s="528"/>
      <c r="O427" s="145"/>
      <c r="P427" s="167">
        <f t="shared" si="162"/>
        <v>13630</v>
      </c>
      <c r="Q427" s="167">
        <f t="shared" si="168"/>
        <v>0</v>
      </c>
      <c r="R427" s="167">
        <f t="shared" si="168"/>
        <v>13630</v>
      </c>
    </row>
    <row r="428" spans="2:18" x14ac:dyDescent="0.2">
      <c r="B428" s="171">
        <f t="shared" si="173"/>
        <v>72</v>
      </c>
      <c r="C428" s="143"/>
      <c r="D428" s="131"/>
      <c r="E428" s="178"/>
      <c r="F428" s="131" t="s">
        <v>214</v>
      </c>
      <c r="G428" s="194" t="s">
        <v>261</v>
      </c>
      <c r="H428" s="527">
        <v>0</v>
      </c>
      <c r="I428" s="527">
        <v>2160</v>
      </c>
      <c r="J428" s="527">
        <f t="shared" si="174"/>
        <v>2160</v>
      </c>
      <c r="K428" s="145"/>
      <c r="L428" s="528"/>
      <c r="M428" s="528"/>
      <c r="N428" s="528"/>
      <c r="O428" s="145"/>
      <c r="P428" s="167"/>
      <c r="Q428" s="167"/>
      <c r="R428" s="167"/>
    </row>
    <row r="429" spans="2:18" x14ac:dyDescent="0.2">
      <c r="B429" s="171">
        <f t="shared" si="173"/>
        <v>73</v>
      </c>
      <c r="C429" s="143"/>
      <c r="D429" s="131"/>
      <c r="E429" s="146"/>
      <c r="F429" s="131" t="s">
        <v>216</v>
      </c>
      <c r="G429" s="194" t="s">
        <v>248</v>
      </c>
      <c r="H429" s="527">
        <v>2650</v>
      </c>
      <c r="I429" s="527"/>
      <c r="J429" s="527">
        <f t="shared" si="174"/>
        <v>2650</v>
      </c>
      <c r="K429" s="145"/>
      <c r="L429" s="528"/>
      <c r="M429" s="528"/>
      <c r="N429" s="528"/>
      <c r="O429" s="145"/>
      <c r="P429" s="167">
        <f t="shared" ref="P429:P459" si="175">H429+L429</f>
        <v>2650</v>
      </c>
      <c r="Q429" s="167">
        <f t="shared" si="168"/>
        <v>0</v>
      </c>
      <c r="R429" s="167">
        <f t="shared" si="168"/>
        <v>2650</v>
      </c>
    </row>
    <row r="430" spans="2:18" x14ac:dyDescent="0.2">
      <c r="B430" s="171">
        <f t="shared" si="173"/>
        <v>74</v>
      </c>
      <c r="C430" s="143"/>
      <c r="D430" s="131"/>
      <c r="E430" s="146"/>
      <c r="F430" s="284" t="s">
        <v>652</v>
      </c>
      <c r="G430" s="199" t="s">
        <v>665</v>
      </c>
      <c r="H430" s="388">
        <v>1310</v>
      </c>
      <c r="I430" s="388"/>
      <c r="J430" s="388">
        <f t="shared" si="174"/>
        <v>1310</v>
      </c>
      <c r="K430" s="145"/>
      <c r="L430" s="528"/>
      <c r="M430" s="528"/>
      <c r="N430" s="528"/>
      <c r="O430" s="145"/>
      <c r="P430" s="166">
        <f t="shared" si="175"/>
        <v>1310</v>
      </c>
      <c r="Q430" s="166">
        <f t="shared" si="168"/>
        <v>0</v>
      </c>
      <c r="R430" s="166">
        <f t="shared" si="168"/>
        <v>1310</v>
      </c>
    </row>
    <row r="431" spans="2:18" x14ac:dyDescent="0.2">
      <c r="B431" s="171">
        <f t="shared" si="173"/>
        <v>75</v>
      </c>
      <c r="C431" s="143"/>
      <c r="D431" s="131"/>
      <c r="E431" s="146"/>
      <c r="F431" s="284" t="s">
        <v>321</v>
      </c>
      <c r="G431" s="199" t="s">
        <v>748</v>
      </c>
      <c r="H431" s="388"/>
      <c r="I431" s="388"/>
      <c r="J431" s="388"/>
      <c r="K431" s="145"/>
      <c r="L431" s="396">
        <f>12000+4000</f>
        <v>16000</v>
      </c>
      <c r="M431" s="396"/>
      <c r="N431" s="396">
        <f t="shared" si="172"/>
        <v>16000</v>
      </c>
      <c r="O431" s="145"/>
      <c r="P431" s="166">
        <f t="shared" si="175"/>
        <v>16000</v>
      </c>
      <c r="Q431" s="166">
        <f t="shared" si="168"/>
        <v>0</v>
      </c>
      <c r="R431" s="166">
        <f t="shared" si="168"/>
        <v>16000</v>
      </c>
    </row>
    <row r="432" spans="2:18" x14ac:dyDescent="0.2">
      <c r="B432" s="171">
        <f t="shared" si="173"/>
        <v>76</v>
      </c>
      <c r="C432" s="143"/>
      <c r="D432" s="131"/>
      <c r="E432" s="146"/>
      <c r="F432" s="736" t="s">
        <v>321</v>
      </c>
      <c r="G432" s="737" t="s">
        <v>810</v>
      </c>
      <c r="H432" s="738"/>
      <c r="I432" s="738"/>
      <c r="J432" s="738"/>
      <c r="K432" s="731"/>
      <c r="L432" s="858">
        <v>8000</v>
      </c>
      <c r="M432" s="858"/>
      <c r="N432" s="858">
        <f t="shared" si="172"/>
        <v>8000</v>
      </c>
      <c r="O432" s="731"/>
      <c r="P432" s="739">
        <f t="shared" si="175"/>
        <v>8000</v>
      </c>
      <c r="Q432" s="739">
        <f t="shared" si="168"/>
        <v>0</v>
      </c>
      <c r="R432" s="739">
        <f t="shared" si="168"/>
        <v>8000</v>
      </c>
    </row>
    <row r="433" spans="2:18" x14ac:dyDescent="0.2">
      <c r="B433" s="171">
        <f t="shared" si="173"/>
        <v>77</v>
      </c>
      <c r="C433" s="143"/>
      <c r="D433" s="131"/>
      <c r="E433" s="146"/>
      <c r="F433" s="736" t="s">
        <v>321</v>
      </c>
      <c r="G433" s="737" t="s">
        <v>825</v>
      </c>
      <c r="H433" s="738"/>
      <c r="I433" s="738"/>
      <c r="J433" s="738"/>
      <c r="K433" s="731"/>
      <c r="L433" s="858">
        <f>20000-5000</f>
        <v>15000</v>
      </c>
      <c r="M433" s="858"/>
      <c r="N433" s="858">
        <f t="shared" si="172"/>
        <v>15000</v>
      </c>
      <c r="O433" s="731"/>
      <c r="P433" s="739">
        <f t="shared" si="175"/>
        <v>15000</v>
      </c>
      <c r="Q433" s="739">
        <f t="shared" si="168"/>
        <v>0</v>
      </c>
      <c r="R433" s="739">
        <f t="shared" si="168"/>
        <v>15000</v>
      </c>
    </row>
    <row r="434" spans="2:18" ht="15" x14ac:dyDescent="0.25">
      <c r="B434" s="171">
        <f t="shared" si="173"/>
        <v>78</v>
      </c>
      <c r="C434" s="143"/>
      <c r="D434" s="29" t="s">
        <v>351</v>
      </c>
      <c r="E434" s="174" t="s">
        <v>289</v>
      </c>
      <c r="F434" s="147" t="s">
        <v>352</v>
      </c>
      <c r="G434" s="236"/>
      <c r="H434" s="425">
        <f>SUM(H435:H437)+H442</f>
        <v>206043</v>
      </c>
      <c r="I434" s="425">
        <f t="shared" ref="I434" si="176">SUM(I435:I437)+I442</f>
        <v>0</v>
      </c>
      <c r="J434" s="425">
        <f>H434+I434</f>
        <v>206043</v>
      </c>
      <c r="K434" s="334"/>
      <c r="L434" s="854">
        <f>L443</f>
        <v>1740</v>
      </c>
      <c r="M434" s="854">
        <f t="shared" ref="M434" si="177">M443</f>
        <v>0</v>
      </c>
      <c r="N434" s="854">
        <f t="shared" si="172"/>
        <v>1740</v>
      </c>
      <c r="O434" s="334"/>
      <c r="P434" s="330">
        <f t="shared" si="175"/>
        <v>207783</v>
      </c>
      <c r="Q434" s="330">
        <f t="shared" ref="Q434:R449" si="178">I434+M434</f>
        <v>0</v>
      </c>
      <c r="R434" s="330">
        <f t="shared" si="178"/>
        <v>207783</v>
      </c>
    </row>
    <row r="435" spans="2:18" x14ac:dyDescent="0.2">
      <c r="B435" s="171">
        <f t="shared" si="173"/>
        <v>79</v>
      </c>
      <c r="C435" s="143"/>
      <c r="D435" s="144"/>
      <c r="E435" s="144"/>
      <c r="F435" s="144" t="s">
        <v>211</v>
      </c>
      <c r="G435" s="199" t="s">
        <v>505</v>
      </c>
      <c r="H435" s="388">
        <f>105010+5167+983</f>
        <v>111160</v>
      </c>
      <c r="I435" s="388"/>
      <c r="J435" s="388">
        <f>H435+I435</f>
        <v>111160</v>
      </c>
      <c r="K435" s="145"/>
      <c r="L435" s="528"/>
      <c r="M435" s="528"/>
      <c r="N435" s="528"/>
      <c r="O435" s="145"/>
      <c r="P435" s="166">
        <f t="shared" si="175"/>
        <v>111160</v>
      </c>
      <c r="Q435" s="166">
        <f t="shared" si="178"/>
        <v>0</v>
      </c>
      <c r="R435" s="166">
        <f t="shared" si="178"/>
        <v>111160</v>
      </c>
    </row>
    <row r="436" spans="2:18" x14ac:dyDescent="0.2">
      <c r="B436" s="171">
        <f t="shared" si="173"/>
        <v>80</v>
      </c>
      <c r="C436" s="143"/>
      <c r="D436" s="144"/>
      <c r="E436" s="144"/>
      <c r="F436" s="144" t="s">
        <v>212</v>
      </c>
      <c r="G436" s="199" t="s">
        <v>259</v>
      </c>
      <c r="H436" s="388">
        <f>38105+1872+961</f>
        <v>40938</v>
      </c>
      <c r="I436" s="388"/>
      <c r="J436" s="388">
        <f t="shared" ref="J436:J442" si="179">H436+I436</f>
        <v>40938</v>
      </c>
      <c r="K436" s="145"/>
      <c r="L436" s="528"/>
      <c r="M436" s="528"/>
      <c r="N436" s="528"/>
      <c r="O436" s="145"/>
      <c r="P436" s="166">
        <f t="shared" si="175"/>
        <v>40938</v>
      </c>
      <c r="Q436" s="166">
        <f t="shared" si="178"/>
        <v>0</v>
      </c>
      <c r="R436" s="166">
        <f t="shared" si="178"/>
        <v>40938</v>
      </c>
    </row>
    <row r="437" spans="2:18" x14ac:dyDescent="0.2">
      <c r="B437" s="171">
        <f t="shared" si="173"/>
        <v>81</v>
      </c>
      <c r="C437" s="143"/>
      <c r="D437" s="144"/>
      <c r="E437" s="144"/>
      <c r="F437" s="144" t="s">
        <v>218</v>
      </c>
      <c r="G437" s="199" t="s">
        <v>340</v>
      </c>
      <c r="H437" s="388">
        <f>SUM(H438:H441)</f>
        <v>53165</v>
      </c>
      <c r="I437" s="388"/>
      <c r="J437" s="388">
        <f t="shared" si="179"/>
        <v>53165</v>
      </c>
      <c r="K437" s="145"/>
      <c r="L437" s="528"/>
      <c r="M437" s="528"/>
      <c r="N437" s="528"/>
      <c r="O437" s="145"/>
      <c r="P437" s="166">
        <f t="shared" si="175"/>
        <v>53165</v>
      </c>
      <c r="Q437" s="166">
        <f t="shared" si="178"/>
        <v>0</v>
      </c>
      <c r="R437" s="166">
        <f t="shared" si="178"/>
        <v>53165</v>
      </c>
    </row>
    <row r="438" spans="2:18" x14ac:dyDescent="0.2">
      <c r="B438" s="171">
        <f t="shared" si="173"/>
        <v>82</v>
      </c>
      <c r="C438" s="143"/>
      <c r="D438" s="131"/>
      <c r="E438" s="131"/>
      <c r="F438" s="131" t="s">
        <v>199</v>
      </c>
      <c r="G438" s="194" t="s">
        <v>318</v>
      </c>
      <c r="H438" s="527">
        <v>41300</v>
      </c>
      <c r="I438" s="527"/>
      <c r="J438" s="527">
        <f t="shared" si="179"/>
        <v>41300</v>
      </c>
      <c r="K438" s="145"/>
      <c r="L438" s="528"/>
      <c r="M438" s="528"/>
      <c r="N438" s="528"/>
      <c r="O438" s="145"/>
      <c r="P438" s="167">
        <f t="shared" si="175"/>
        <v>41300</v>
      </c>
      <c r="Q438" s="167">
        <f t="shared" si="178"/>
        <v>0</v>
      </c>
      <c r="R438" s="167">
        <f t="shared" si="178"/>
        <v>41300</v>
      </c>
    </row>
    <row r="439" spans="2:18" x14ac:dyDescent="0.2">
      <c r="B439" s="171">
        <f t="shared" si="173"/>
        <v>83</v>
      </c>
      <c r="C439" s="143"/>
      <c r="D439" s="131"/>
      <c r="E439" s="131"/>
      <c r="F439" s="131" t="s">
        <v>200</v>
      </c>
      <c r="G439" s="194" t="s">
        <v>247</v>
      </c>
      <c r="H439" s="527">
        <f>6815+1000</f>
        <v>7815</v>
      </c>
      <c r="I439" s="527"/>
      <c r="J439" s="527">
        <f t="shared" si="179"/>
        <v>7815</v>
      </c>
      <c r="K439" s="145"/>
      <c r="L439" s="528"/>
      <c r="M439" s="528"/>
      <c r="N439" s="528"/>
      <c r="O439" s="145"/>
      <c r="P439" s="167">
        <f t="shared" si="175"/>
        <v>7815</v>
      </c>
      <c r="Q439" s="167">
        <f t="shared" si="178"/>
        <v>0</v>
      </c>
      <c r="R439" s="167">
        <f t="shared" si="178"/>
        <v>7815</v>
      </c>
    </row>
    <row r="440" spans="2:18" x14ac:dyDescent="0.2">
      <c r="B440" s="171">
        <f t="shared" si="173"/>
        <v>84</v>
      </c>
      <c r="C440" s="143"/>
      <c r="D440" s="131"/>
      <c r="E440" s="146"/>
      <c r="F440" s="131" t="s">
        <v>214</v>
      </c>
      <c r="G440" s="194" t="s">
        <v>261</v>
      </c>
      <c r="H440" s="527">
        <v>400</v>
      </c>
      <c r="I440" s="527"/>
      <c r="J440" s="527">
        <f t="shared" si="179"/>
        <v>400</v>
      </c>
      <c r="K440" s="145"/>
      <c r="L440" s="528"/>
      <c r="M440" s="528"/>
      <c r="N440" s="528"/>
      <c r="O440" s="145"/>
      <c r="P440" s="167">
        <f t="shared" si="175"/>
        <v>400</v>
      </c>
      <c r="Q440" s="167">
        <f t="shared" si="178"/>
        <v>0</v>
      </c>
      <c r="R440" s="167">
        <f t="shared" si="178"/>
        <v>400</v>
      </c>
    </row>
    <row r="441" spans="2:18" x14ac:dyDescent="0.2">
      <c r="B441" s="171">
        <f t="shared" si="173"/>
        <v>85</v>
      </c>
      <c r="C441" s="289"/>
      <c r="D441" s="290"/>
      <c r="E441" s="407"/>
      <c r="F441" s="290" t="s">
        <v>216</v>
      </c>
      <c r="G441" s="202" t="s">
        <v>248</v>
      </c>
      <c r="H441" s="527">
        <v>3650</v>
      </c>
      <c r="I441" s="527"/>
      <c r="J441" s="527">
        <f t="shared" si="179"/>
        <v>3650</v>
      </c>
      <c r="K441" s="283"/>
      <c r="L441" s="527"/>
      <c r="M441" s="527"/>
      <c r="N441" s="527"/>
      <c r="O441" s="283"/>
      <c r="P441" s="168">
        <f t="shared" si="175"/>
        <v>3650</v>
      </c>
      <c r="Q441" s="168">
        <f t="shared" si="178"/>
        <v>0</v>
      </c>
      <c r="R441" s="168">
        <f t="shared" si="178"/>
        <v>3650</v>
      </c>
    </row>
    <row r="442" spans="2:18" x14ac:dyDescent="0.2">
      <c r="B442" s="171">
        <f t="shared" si="173"/>
        <v>86</v>
      </c>
      <c r="C442" s="143"/>
      <c r="D442" s="131"/>
      <c r="E442" s="146"/>
      <c r="F442" s="284" t="s">
        <v>652</v>
      </c>
      <c r="G442" s="199" t="s">
        <v>665</v>
      </c>
      <c r="H442" s="432">
        <v>780</v>
      </c>
      <c r="I442" s="432"/>
      <c r="J442" s="388">
        <f t="shared" si="179"/>
        <v>780</v>
      </c>
      <c r="K442" s="283"/>
      <c r="L442" s="382"/>
      <c r="M442" s="382"/>
      <c r="N442" s="382"/>
      <c r="O442" s="283"/>
      <c r="P442" s="580">
        <f t="shared" si="175"/>
        <v>780</v>
      </c>
      <c r="Q442" s="580">
        <f t="shared" si="178"/>
        <v>0</v>
      </c>
      <c r="R442" s="580">
        <f t="shared" si="178"/>
        <v>780</v>
      </c>
    </row>
    <row r="443" spans="2:18" x14ac:dyDescent="0.2">
      <c r="B443" s="171">
        <f t="shared" si="173"/>
        <v>87</v>
      </c>
      <c r="C443" s="143"/>
      <c r="D443" s="131"/>
      <c r="E443" s="146"/>
      <c r="F443" s="165" t="s">
        <v>432</v>
      </c>
      <c r="G443" s="199" t="s">
        <v>799</v>
      </c>
      <c r="H443" s="432"/>
      <c r="I443" s="432"/>
      <c r="J443" s="432"/>
      <c r="K443" s="145"/>
      <c r="L443" s="461">
        <v>1740</v>
      </c>
      <c r="M443" s="461"/>
      <c r="N443" s="461">
        <f t="shared" si="172"/>
        <v>1740</v>
      </c>
      <c r="O443" s="145"/>
      <c r="P443" s="580">
        <f t="shared" si="175"/>
        <v>1740</v>
      </c>
      <c r="Q443" s="580">
        <f t="shared" si="178"/>
        <v>0</v>
      </c>
      <c r="R443" s="580">
        <f t="shared" si="178"/>
        <v>1740</v>
      </c>
    </row>
    <row r="444" spans="2:18" ht="15" x14ac:dyDescent="0.25">
      <c r="B444" s="171">
        <f t="shared" si="173"/>
        <v>88</v>
      </c>
      <c r="C444" s="143"/>
      <c r="D444" s="29" t="s">
        <v>353</v>
      </c>
      <c r="E444" s="264" t="s">
        <v>289</v>
      </c>
      <c r="F444" s="265" t="s">
        <v>354</v>
      </c>
      <c r="G444" s="266"/>
      <c r="H444" s="427">
        <f>SUM(H445:H447)+H452</f>
        <v>221850</v>
      </c>
      <c r="I444" s="427">
        <f t="shared" ref="I444" si="180">SUM(I445:I447)+I452</f>
        <v>500</v>
      </c>
      <c r="J444" s="427">
        <f>H444+I444</f>
        <v>222350</v>
      </c>
      <c r="K444" s="334"/>
      <c r="L444" s="854">
        <f>SUM(L446:L453)</f>
        <v>3959</v>
      </c>
      <c r="M444" s="854"/>
      <c r="N444" s="854">
        <f t="shared" si="172"/>
        <v>3959</v>
      </c>
      <c r="O444" s="499"/>
      <c r="P444" s="330">
        <f t="shared" si="175"/>
        <v>225809</v>
      </c>
      <c r="Q444" s="330">
        <f t="shared" si="178"/>
        <v>500</v>
      </c>
      <c r="R444" s="330">
        <f t="shared" si="178"/>
        <v>226309</v>
      </c>
    </row>
    <row r="445" spans="2:18" x14ac:dyDescent="0.2">
      <c r="B445" s="171">
        <f t="shared" si="173"/>
        <v>89</v>
      </c>
      <c r="C445" s="143"/>
      <c r="D445" s="144"/>
      <c r="E445" s="144"/>
      <c r="F445" s="144" t="s">
        <v>211</v>
      </c>
      <c r="G445" s="199" t="s">
        <v>505</v>
      </c>
      <c r="H445" s="388">
        <f>121210+5977-445</f>
        <v>126742</v>
      </c>
      <c r="I445" s="388"/>
      <c r="J445" s="388">
        <f>H445+I445</f>
        <v>126742</v>
      </c>
      <c r="K445" s="145"/>
      <c r="L445" s="528"/>
      <c r="M445" s="528"/>
      <c r="N445" s="528"/>
      <c r="O445" s="145"/>
      <c r="P445" s="166">
        <f t="shared" si="175"/>
        <v>126742</v>
      </c>
      <c r="Q445" s="166">
        <f t="shared" si="178"/>
        <v>0</v>
      </c>
      <c r="R445" s="166">
        <f t="shared" si="178"/>
        <v>126742</v>
      </c>
    </row>
    <row r="446" spans="2:18" x14ac:dyDescent="0.2">
      <c r="B446" s="171">
        <f t="shared" si="173"/>
        <v>90</v>
      </c>
      <c r="C446" s="143"/>
      <c r="D446" s="144"/>
      <c r="E446" s="144"/>
      <c r="F446" s="144" t="s">
        <v>212</v>
      </c>
      <c r="G446" s="199" t="s">
        <v>259</v>
      </c>
      <c r="H446" s="388">
        <f>44797+2207-106</f>
        <v>46898</v>
      </c>
      <c r="I446" s="388"/>
      <c r="J446" s="388">
        <f t="shared" ref="J446:J452" si="181">H446+I446</f>
        <v>46898</v>
      </c>
      <c r="K446" s="145"/>
      <c r="L446" s="528"/>
      <c r="M446" s="528"/>
      <c r="N446" s="528"/>
      <c r="O446" s="145"/>
      <c r="P446" s="166">
        <f t="shared" si="175"/>
        <v>46898</v>
      </c>
      <c r="Q446" s="166">
        <f t="shared" si="178"/>
        <v>0</v>
      </c>
      <c r="R446" s="166">
        <f t="shared" si="178"/>
        <v>46898</v>
      </c>
    </row>
    <row r="447" spans="2:18" x14ac:dyDescent="0.2">
      <c r="B447" s="171">
        <f t="shared" si="173"/>
        <v>91</v>
      </c>
      <c r="C447" s="143"/>
      <c r="D447" s="144"/>
      <c r="E447" s="144"/>
      <c r="F447" s="144" t="s">
        <v>218</v>
      </c>
      <c r="G447" s="199" t="s">
        <v>340</v>
      </c>
      <c r="H447" s="388">
        <f>SUM(H448:H451)</f>
        <v>46950</v>
      </c>
      <c r="I447" s="388">
        <f>SUM(I448:I451)</f>
        <v>500</v>
      </c>
      <c r="J447" s="388">
        <f t="shared" si="181"/>
        <v>47450</v>
      </c>
      <c r="K447" s="145"/>
      <c r="L447" s="528"/>
      <c r="M447" s="528"/>
      <c r="N447" s="528"/>
      <c r="O447" s="145"/>
      <c r="P447" s="166">
        <f t="shared" si="175"/>
        <v>46950</v>
      </c>
      <c r="Q447" s="166">
        <f t="shared" si="178"/>
        <v>500</v>
      </c>
      <c r="R447" s="166">
        <f t="shared" si="178"/>
        <v>47450</v>
      </c>
    </row>
    <row r="448" spans="2:18" x14ac:dyDescent="0.2">
      <c r="B448" s="171">
        <f t="shared" si="173"/>
        <v>92</v>
      </c>
      <c r="C448" s="143"/>
      <c r="D448" s="131"/>
      <c r="E448" s="131"/>
      <c r="F448" s="131" t="s">
        <v>199</v>
      </c>
      <c r="G448" s="194" t="s">
        <v>318</v>
      </c>
      <c r="H448" s="527">
        <v>32100</v>
      </c>
      <c r="I448" s="527"/>
      <c r="J448" s="527">
        <f t="shared" si="181"/>
        <v>32100</v>
      </c>
      <c r="K448" s="145"/>
      <c r="L448" s="528"/>
      <c r="M448" s="528"/>
      <c r="N448" s="528"/>
      <c r="O448" s="145"/>
      <c r="P448" s="167">
        <f t="shared" si="175"/>
        <v>32100</v>
      </c>
      <c r="Q448" s="167">
        <f t="shared" si="178"/>
        <v>0</v>
      </c>
      <c r="R448" s="167">
        <f t="shared" si="178"/>
        <v>32100</v>
      </c>
    </row>
    <row r="449" spans="2:19" x14ac:dyDescent="0.2">
      <c r="B449" s="171">
        <f t="shared" si="173"/>
        <v>93</v>
      </c>
      <c r="C449" s="143"/>
      <c r="D449" s="131"/>
      <c r="E449" s="131"/>
      <c r="F449" s="131" t="s">
        <v>200</v>
      </c>
      <c r="G449" s="194" t="s">
        <v>247</v>
      </c>
      <c r="H449" s="527">
        <v>10600</v>
      </c>
      <c r="I449" s="527">
        <v>500</v>
      </c>
      <c r="J449" s="527">
        <f t="shared" si="181"/>
        <v>11100</v>
      </c>
      <c r="K449" s="145"/>
      <c r="L449" s="528"/>
      <c r="M449" s="528"/>
      <c r="N449" s="528"/>
      <c r="O449" s="145"/>
      <c r="P449" s="167">
        <f t="shared" si="175"/>
        <v>10600</v>
      </c>
      <c r="Q449" s="167">
        <f t="shared" si="178"/>
        <v>500</v>
      </c>
      <c r="R449" s="167">
        <f t="shared" si="178"/>
        <v>11100</v>
      </c>
    </row>
    <row r="450" spans="2:19" x14ac:dyDescent="0.2">
      <c r="B450" s="171">
        <f t="shared" si="173"/>
        <v>94</v>
      </c>
      <c r="C450" s="143"/>
      <c r="D450" s="131"/>
      <c r="E450" s="146"/>
      <c r="F450" s="131" t="s">
        <v>214</v>
      </c>
      <c r="G450" s="194" t="s">
        <v>261</v>
      </c>
      <c r="H450" s="527">
        <v>150</v>
      </c>
      <c r="I450" s="527"/>
      <c r="J450" s="527">
        <f t="shared" si="181"/>
        <v>150</v>
      </c>
      <c r="K450" s="145"/>
      <c r="L450" s="528"/>
      <c r="M450" s="528"/>
      <c r="N450" s="528"/>
      <c r="O450" s="145"/>
      <c r="P450" s="167">
        <f t="shared" si="175"/>
        <v>150</v>
      </c>
      <c r="Q450" s="167">
        <f t="shared" ref="Q450:R465" si="182">I450+M450</f>
        <v>0</v>
      </c>
      <c r="R450" s="167">
        <f t="shared" si="182"/>
        <v>150</v>
      </c>
    </row>
    <row r="451" spans="2:19" x14ac:dyDescent="0.2">
      <c r="B451" s="171">
        <f t="shared" si="173"/>
        <v>95</v>
      </c>
      <c r="C451" s="143"/>
      <c r="D451" s="131"/>
      <c r="E451" s="146"/>
      <c r="F451" s="131" t="s">
        <v>216</v>
      </c>
      <c r="G451" s="194" t="s">
        <v>248</v>
      </c>
      <c r="H451" s="527">
        <v>4100</v>
      </c>
      <c r="I451" s="527"/>
      <c r="J451" s="527">
        <f t="shared" si="181"/>
        <v>4100</v>
      </c>
      <c r="K451" s="145"/>
      <c r="L451" s="528"/>
      <c r="M451" s="528"/>
      <c r="N451" s="528"/>
      <c r="O451" s="145"/>
      <c r="P451" s="167">
        <f t="shared" si="175"/>
        <v>4100</v>
      </c>
      <c r="Q451" s="167">
        <f t="shared" si="182"/>
        <v>0</v>
      </c>
      <c r="R451" s="167">
        <f t="shared" si="182"/>
        <v>4100</v>
      </c>
    </row>
    <row r="452" spans="2:19" x14ac:dyDescent="0.2">
      <c r="B452" s="171">
        <f t="shared" si="173"/>
        <v>96</v>
      </c>
      <c r="C452" s="143"/>
      <c r="D452" s="131"/>
      <c r="E452" s="146"/>
      <c r="F452" s="284" t="s">
        <v>652</v>
      </c>
      <c r="G452" s="199" t="s">
        <v>665</v>
      </c>
      <c r="H452" s="388">
        <v>1260</v>
      </c>
      <c r="I452" s="388"/>
      <c r="J452" s="388">
        <f t="shared" si="181"/>
        <v>1260</v>
      </c>
      <c r="K452" s="145"/>
      <c r="L452" s="528"/>
      <c r="M452" s="528"/>
      <c r="N452" s="528"/>
      <c r="O452" s="145"/>
      <c r="P452" s="166">
        <f t="shared" si="175"/>
        <v>1260</v>
      </c>
      <c r="Q452" s="166">
        <f t="shared" si="182"/>
        <v>0</v>
      </c>
      <c r="R452" s="166">
        <f t="shared" si="182"/>
        <v>1260</v>
      </c>
    </row>
    <row r="453" spans="2:19" x14ac:dyDescent="0.2">
      <c r="B453" s="171">
        <f t="shared" si="173"/>
        <v>97</v>
      </c>
      <c r="C453" s="143"/>
      <c r="D453" s="131"/>
      <c r="E453" s="146"/>
      <c r="F453" s="290" t="s">
        <v>321</v>
      </c>
      <c r="G453" s="194" t="s">
        <v>668</v>
      </c>
      <c r="H453" s="527"/>
      <c r="I453" s="527"/>
      <c r="J453" s="527"/>
      <c r="K453" s="145"/>
      <c r="L453" s="396">
        <f>4000-41</f>
        <v>3959</v>
      </c>
      <c r="M453" s="396"/>
      <c r="N453" s="396">
        <f t="shared" si="172"/>
        <v>3959</v>
      </c>
      <c r="O453" s="145"/>
      <c r="P453" s="167">
        <f t="shared" si="175"/>
        <v>3959</v>
      </c>
      <c r="Q453" s="167">
        <f t="shared" si="182"/>
        <v>0</v>
      </c>
      <c r="R453" s="167">
        <f t="shared" si="182"/>
        <v>3959</v>
      </c>
      <c r="S453" s="240"/>
    </row>
    <row r="454" spans="2:19" ht="15" x14ac:dyDescent="0.25">
      <c r="B454" s="171">
        <f t="shared" si="173"/>
        <v>98</v>
      </c>
      <c r="C454" s="143"/>
      <c r="D454" s="29" t="s">
        <v>356</v>
      </c>
      <c r="E454" s="174" t="s">
        <v>289</v>
      </c>
      <c r="F454" s="147" t="s">
        <v>355</v>
      </c>
      <c r="G454" s="236"/>
      <c r="H454" s="425">
        <f>SUM(H455:H457)</f>
        <v>139225</v>
      </c>
      <c r="I454" s="425">
        <f t="shared" ref="I454" si="183">SUM(I455:I457)</f>
        <v>0</v>
      </c>
      <c r="J454" s="425">
        <f>H454+I454</f>
        <v>139225</v>
      </c>
      <c r="K454" s="334"/>
      <c r="L454" s="859">
        <f>SUM(L455:L462)</f>
        <v>28041</v>
      </c>
      <c r="M454" s="859"/>
      <c r="N454" s="859">
        <f t="shared" si="172"/>
        <v>28041</v>
      </c>
      <c r="O454" s="334"/>
      <c r="P454" s="330">
        <f t="shared" si="175"/>
        <v>167266</v>
      </c>
      <c r="Q454" s="330">
        <f t="shared" si="182"/>
        <v>0</v>
      </c>
      <c r="R454" s="330">
        <f t="shared" si="182"/>
        <v>167266</v>
      </c>
      <c r="S454" s="240"/>
    </row>
    <row r="455" spans="2:19" x14ac:dyDescent="0.2">
      <c r="B455" s="171">
        <f t="shared" si="173"/>
        <v>99</v>
      </c>
      <c r="C455" s="143"/>
      <c r="D455" s="144"/>
      <c r="E455" s="144"/>
      <c r="F455" s="144" t="s">
        <v>211</v>
      </c>
      <c r="G455" s="199" t="s">
        <v>505</v>
      </c>
      <c r="H455" s="388">
        <f>80080+3920-100</f>
        <v>83900</v>
      </c>
      <c r="I455" s="388"/>
      <c r="J455" s="388">
        <f>H455+I455</f>
        <v>83900</v>
      </c>
      <c r="K455" s="145"/>
      <c r="L455" s="528"/>
      <c r="M455" s="528"/>
      <c r="N455" s="528"/>
      <c r="O455" s="145"/>
      <c r="P455" s="166">
        <f t="shared" si="175"/>
        <v>83900</v>
      </c>
      <c r="Q455" s="166">
        <f t="shared" si="182"/>
        <v>0</v>
      </c>
      <c r="R455" s="166">
        <f t="shared" si="182"/>
        <v>83900</v>
      </c>
    </row>
    <row r="456" spans="2:19" x14ac:dyDescent="0.2">
      <c r="B456" s="171">
        <f t="shared" si="173"/>
        <v>100</v>
      </c>
      <c r="C456" s="143"/>
      <c r="D456" s="144"/>
      <c r="E456" s="144"/>
      <c r="F456" s="144" t="s">
        <v>212</v>
      </c>
      <c r="G456" s="199" t="s">
        <v>259</v>
      </c>
      <c r="H456" s="388">
        <f>29939+1464-418</f>
        <v>30985</v>
      </c>
      <c r="I456" s="388"/>
      <c r="J456" s="388">
        <f t="shared" ref="J456:J462" si="184">H456+I456</f>
        <v>30985</v>
      </c>
      <c r="K456" s="145"/>
      <c r="L456" s="528"/>
      <c r="M456" s="528"/>
      <c r="N456" s="528"/>
      <c r="O456" s="145"/>
      <c r="P456" s="166">
        <f t="shared" si="175"/>
        <v>30985</v>
      </c>
      <c r="Q456" s="166">
        <f t="shared" si="182"/>
        <v>0</v>
      </c>
      <c r="R456" s="166">
        <f t="shared" si="182"/>
        <v>30985</v>
      </c>
    </row>
    <row r="457" spans="2:19" x14ac:dyDescent="0.2">
      <c r="B457" s="171">
        <f t="shared" si="173"/>
        <v>101</v>
      </c>
      <c r="C457" s="143"/>
      <c r="D457" s="144"/>
      <c r="E457" s="144"/>
      <c r="F457" s="144" t="s">
        <v>218</v>
      </c>
      <c r="G457" s="199" t="s">
        <v>340</v>
      </c>
      <c r="H457" s="388">
        <f>SUM(H458:H461)</f>
        <v>24340</v>
      </c>
      <c r="I457" s="388"/>
      <c r="J457" s="388">
        <f t="shared" si="184"/>
        <v>24340</v>
      </c>
      <c r="K457" s="145"/>
      <c r="L457" s="528"/>
      <c r="M457" s="528"/>
      <c r="N457" s="528"/>
      <c r="O457" s="145"/>
      <c r="P457" s="166">
        <f t="shared" si="175"/>
        <v>24340</v>
      </c>
      <c r="Q457" s="166">
        <f t="shared" si="182"/>
        <v>0</v>
      </c>
      <c r="R457" s="166">
        <f t="shared" si="182"/>
        <v>24340</v>
      </c>
    </row>
    <row r="458" spans="2:19" x14ac:dyDescent="0.2">
      <c r="B458" s="171">
        <f t="shared" si="173"/>
        <v>102</v>
      </c>
      <c r="C458" s="143"/>
      <c r="D458" s="131"/>
      <c r="E458" s="131"/>
      <c r="F458" s="131" t="s">
        <v>199</v>
      </c>
      <c r="G458" s="194" t="s">
        <v>318</v>
      </c>
      <c r="H458" s="527">
        <v>15970</v>
      </c>
      <c r="I458" s="527"/>
      <c r="J458" s="527">
        <f t="shared" si="184"/>
        <v>15970</v>
      </c>
      <c r="K458" s="145"/>
      <c r="L458" s="528"/>
      <c r="M458" s="528"/>
      <c r="N458" s="528"/>
      <c r="O458" s="145"/>
      <c r="P458" s="167">
        <f t="shared" si="175"/>
        <v>15970</v>
      </c>
      <c r="Q458" s="167">
        <f t="shared" si="182"/>
        <v>0</v>
      </c>
      <c r="R458" s="167">
        <f t="shared" si="182"/>
        <v>15970</v>
      </c>
    </row>
    <row r="459" spans="2:19" x14ac:dyDescent="0.2">
      <c r="B459" s="171">
        <f t="shared" si="173"/>
        <v>103</v>
      </c>
      <c r="C459" s="143"/>
      <c r="D459" s="131"/>
      <c r="E459" s="131"/>
      <c r="F459" s="131" t="s">
        <v>200</v>
      </c>
      <c r="G459" s="194" t="s">
        <v>247</v>
      </c>
      <c r="H459" s="527">
        <v>5320</v>
      </c>
      <c r="I459" s="527"/>
      <c r="J459" s="527">
        <f t="shared" si="184"/>
        <v>5320</v>
      </c>
      <c r="K459" s="145"/>
      <c r="L459" s="528"/>
      <c r="M459" s="528"/>
      <c r="N459" s="528"/>
      <c r="O459" s="145"/>
      <c r="P459" s="167">
        <f t="shared" si="175"/>
        <v>5320</v>
      </c>
      <c r="Q459" s="167">
        <f t="shared" si="182"/>
        <v>0</v>
      </c>
      <c r="R459" s="167">
        <f t="shared" si="182"/>
        <v>5320</v>
      </c>
    </row>
    <row r="460" spans="2:19" x14ac:dyDescent="0.2">
      <c r="B460" s="171">
        <f t="shared" si="173"/>
        <v>104</v>
      </c>
      <c r="C460" s="143"/>
      <c r="D460" s="131"/>
      <c r="E460" s="146"/>
      <c r="F460" s="131" t="s">
        <v>214</v>
      </c>
      <c r="G460" s="194" t="s">
        <v>261</v>
      </c>
      <c r="H460" s="527">
        <v>150</v>
      </c>
      <c r="I460" s="527"/>
      <c r="J460" s="527">
        <f t="shared" si="184"/>
        <v>150</v>
      </c>
      <c r="K460" s="145"/>
      <c r="L460" s="528"/>
      <c r="M460" s="528"/>
      <c r="N460" s="528"/>
      <c r="O460" s="145"/>
      <c r="P460" s="167">
        <f t="shared" ref="P460:P491" si="185">H460+L460</f>
        <v>150</v>
      </c>
      <c r="Q460" s="167">
        <f t="shared" si="182"/>
        <v>0</v>
      </c>
      <c r="R460" s="167">
        <f t="shared" si="182"/>
        <v>150</v>
      </c>
    </row>
    <row r="461" spans="2:19" x14ac:dyDescent="0.2">
      <c r="B461" s="171">
        <f t="shared" si="173"/>
        <v>105</v>
      </c>
      <c r="C461" s="143"/>
      <c r="D461" s="131"/>
      <c r="E461" s="146"/>
      <c r="F461" s="131" t="s">
        <v>216</v>
      </c>
      <c r="G461" s="194" t="s">
        <v>248</v>
      </c>
      <c r="H461" s="527">
        <v>2900</v>
      </c>
      <c r="I461" s="527"/>
      <c r="J461" s="527">
        <f t="shared" si="184"/>
        <v>2900</v>
      </c>
      <c r="K461" s="145"/>
      <c r="L461" s="528"/>
      <c r="M461" s="528"/>
      <c r="N461" s="528"/>
      <c r="O461" s="145"/>
      <c r="P461" s="167">
        <f t="shared" si="185"/>
        <v>2900</v>
      </c>
      <c r="Q461" s="167">
        <f t="shared" si="182"/>
        <v>0</v>
      </c>
      <c r="R461" s="167">
        <f t="shared" si="182"/>
        <v>2900</v>
      </c>
    </row>
    <row r="462" spans="2:19" x14ac:dyDescent="0.2">
      <c r="B462" s="171">
        <f t="shared" si="173"/>
        <v>106</v>
      </c>
      <c r="C462" s="143"/>
      <c r="D462" s="131"/>
      <c r="E462" s="146"/>
      <c r="F462" s="436" t="s">
        <v>321</v>
      </c>
      <c r="G462" s="199" t="s">
        <v>549</v>
      </c>
      <c r="H462" s="527"/>
      <c r="I462" s="527"/>
      <c r="J462" s="388">
        <f t="shared" si="184"/>
        <v>0</v>
      </c>
      <c r="K462" s="145"/>
      <c r="L462" s="396">
        <f>28000-1959+2000</f>
        <v>28041</v>
      </c>
      <c r="M462" s="396"/>
      <c r="N462" s="396">
        <f t="shared" si="172"/>
        <v>28041</v>
      </c>
      <c r="O462" s="145"/>
      <c r="P462" s="166">
        <f t="shared" si="185"/>
        <v>28041</v>
      </c>
      <c r="Q462" s="166">
        <f t="shared" si="182"/>
        <v>0</v>
      </c>
      <c r="R462" s="166">
        <f t="shared" si="182"/>
        <v>28041</v>
      </c>
    </row>
    <row r="463" spans="2:19" ht="15" x14ac:dyDescent="0.25">
      <c r="B463" s="171">
        <f t="shared" si="173"/>
        <v>107</v>
      </c>
      <c r="C463" s="143"/>
      <c r="D463" s="29" t="s">
        <v>358</v>
      </c>
      <c r="E463" s="174" t="s">
        <v>289</v>
      </c>
      <c r="F463" s="147" t="s">
        <v>357</v>
      </c>
      <c r="G463" s="236"/>
      <c r="H463" s="425">
        <f>SUM(H464:H466)</f>
        <v>65963</v>
      </c>
      <c r="I463" s="425">
        <f t="shared" ref="I463" si="186">SUM(I464:I466)</f>
        <v>0</v>
      </c>
      <c r="J463" s="425">
        <f>H463+I463</f>
        <v>65963</v>
      </c>
      <c r="K463" s="334"/>
      <c r="L463" s="856"/>
      <c r="M463" s="856"/>
      <c r="N463" s="856"/>
      <c r="O463" s="334"/>
      <c r="P463" s="330">
        <f t="shared" si="185"/>
        <v>65963</v>
      </c>
      <c r="Q463" s="330">
        <f t="shared" si="182"/>
        <v>0</v>
      </c>
      <c r="R463" s="330">
        <f t="shared" si="182"/>
        <v>65963</v>
      </c>
    </row>
    <row r="464" spans="2:19" x14ac:dyDescent="0.2">
      <c r="B464" s="171">
        <f t="shared" si="173"/>
        <v>108</v>
      </c>
      <c r="C464" s="143"/>
      <c r="D464" s="144"/>
      <c r="E464" s="144"/>
      <c r="F464" s="144" t="s">
        <v>211</v>
      </c>
      <c r="G464" s="199" t="s">
        <v>505</v>
      </c>
      <c r="H464" s="388">
        <f>38350+1876+4</f>
        <v>40230</v>
      </c>
      <c r="I464" s="388"/>
      <c r="J464" s="388">
        <f>H464+I464</f>
        <v>40230</v>
      </c>
      <c r="K464" s="145"/>
      <c r="L464" s="528"/>
      <c r="M464" s="528"/>
      <c r="N464" s="528"/>
      <c r="O464" s="145"/>
      <c r="P464" s="166">
        <f t="shared" si="185"/>
        <v>40230</v>
      </c>
      <c r="Q464" s="166">
        <f t="shared" si="182"/>
        <v>0</v>
      </c>
      <c r="R464" s="166">
        <f t="shared" si="182"/>
        <v>40230</v>
      </c>
    </row>
    <row r="465" spans="2:18" x14ac:dyDescent="0.2">
      <c r="B465" s="171">
        <f t="shared" si="173"/>
        <v>109</v>
      </c>
      <c r="C465" s="143"/>
      <c r="D465" s="144"/>
      <c r="E465" s="144"/>
      <c r="F465" s="144" t="s">
        <v>212</v>
      </c>
      <c r="G465" s="199" t="s">
        <v>259</v>
      </c>
      <c r="H465" s="388">
        <f>14039+685-251</f>
        <v>14473</v>
      </c>
      <c r="I465" s="388"/>
      <c r="J465" s="388">
        <f t="shared" ref="J465:J469" si="187">H465+I465</f>
        <v>14473</v>
      </c>
      <c r="K465" s="145"/>
      <c r="L465" s="528"/>
      <c r="M465" s="528"/>
      <c r="N465" s="528"/>
      <c r="O465" s="145"/>
      <c r="P465" s="166">
        <f t="shared" si="185"/>
        <v>14473</v>
      </c>
      <c r="Q465" s="166">
        <f t="shared" si="182"/>
        <v>0</v>
      </c>
      <c r="R465" s="166">
        <f t="shared" si="182"/>
        <v>14473</v>
      </c>
    </row>
    <row r="466" spans="2:18" x14ac:dyDescent="0.2">
      <c r="B466" s="171">
        <f t="shared" si="173"/>
        <v>110</v>
      </c>
      <c r="C466" s="143"/>
      <c r="D466" s="144"/>
      <c r="E466" s="144"/>
      <c r="F466" s="144" t="s">
        <v>218</v>
      </c>
      <c r="G466" s="199" t="s">
        <v>340</v>
      </c>
      <c r="H466" s="388">
        <f>SUM(H467:H469)</f>
        <v>11260</v>
      </c>
      <c r="I466" s="388"/>
      <c r="J466" s="388">
        <f t="shared" si="187"/>
        <v>11260</v>
      </c>
      <c r="K466" s="145"/>
      <c r="L466" s="528"/>
      <c r="M466" s="528"/>
      <c r="N466" s="528"/>
      <c r="O466" s="145"/>
      <c r="P466" s="166">
        <f t="shared" si="185"/>
        <v>11260</v>
      </c>
      <c r="Q466" s="166">
        <f t="shared" ref="Q466:R481" si="188">I466+M466</f>
        <v>0</v>
      </c>
      <c r="R466" s="166">
        <f t="shared" si="188"/>
        <v>11260</v>
      </c>
    </row>
    <row r="467" spans="2:18" x14ac:dyDescent="0.2">
      <c r="B467" s="171">
        <f t="shared" si="173"/>
        <v>111</v>
      </c>
      <c r="C467" s="143"/>
      <c r="D467" s="131"/>
      <c r="E467" s="131"/>
      <c r="F467" s="131" t="s">
        <v>199</v>
      </c>
      <c r="G467" s="194" t="s">
        <v>318</v>
      </c>
      <c r="H467" s="527">
        <v>5960</v>
      </c>
      <c r="I467" s="527"/>
      <c r="J467" s="527">
        <f t="shared" si="187"/>
        <v>5960</v>
      </c>
      <c r="K467" s="145"/>
      <c r="L467" s="528"/>
      <c r="M467" s="528"/>
      <c r="N467" s="528"/>
      <c r="O467" s="145"/>
      <c r="P467" s="167">
        <f t="shared" si="185"/>
        <v>5960</v>
      </c>
      <c r="Q467" s="167">
        <f t="shared" si="188"/>
        <v>0</v>
      </c>
      <c r="R467" s="167">
        <f t="shared" si="188"/>
        <v>5960</v>
      </c>
    </row>
    <row r="468" spans="2:18" x14ac:dyDescent="0.2">
      <c r="B468" s="171">
        <f t="shared" si="173"/>
        <v>112</v>
      </c>
      <c r="C468" s="143"/>
      <c r="D468" s="131"/>
      <c r="E468" s="131"/>
      <c r="F468" s="131" t="s">
        <v>200</v>
      </c>
      <c r="G468" s="194" t="s">
        <v>247</v>
      </c>
      <c r="H468" s="527">
        <v>3760</v>
      </c>
      <c r="I468" s="527"/>
      <c r="J468" s="527">
        <f t="shared" si="187"/>
        <v>3760</v>
      </c>
      <c r="K468" s="145"/>
      <c r="L468" s="528"/>
      <c r="M468" s="528"/>
      <c r="N468" s="528"/>
      <c r="O468" s="145"/>
      <c r="P468" s="167">
        <f t="shared" si="185"/>
        <v>3760</v>
      </c>
      <c r="Q468" s="167">
        <f t="shared" si="188"/>
        <v>0</v>
      </c>
      <c r="R468" s="167">
        <f t="shared" si="188"/>
        <v>3760</v>
      </c>
    </row>
    <row r="469" spans="2:18" x14ac:dyDescent="0.2">
      <c r="B469" s="171">
        <f t="shared" si="173"/>
        <v>113</v>
      </c>
      <c r="C469" s="143"/>
      <c r="D469" s="131"/>
      <c r="E469" s="146"/>
      <c r="F469" s="131" t="s">
        <v>216</v>
      </c>
      <c r="G469" s="194" t="s">
        <v>248</v>
      </c>
      <c r="H469" s="527">
        <v>1540</v>
      </c>
      <c r="I469" s="527"/>
      <c r="J469" s="527">
        <f t="shared" si="187"/>
        <v>1540</v>
      </c>
      <c r="K469" s="145"/>
      <c r="L469" s="528"/>
      <c r="M469" s="528"/>
      <c r="N469" s="528"/>
      <c r="O469" s="145"/>
      <c r="P469" s="167">
        <f t="shared" si="185"/>
        <v>1540</v>
      </c>
      <c r="Q469" s="167">
        <f t="shared" si="188"/>
        <v>0</v>
      </c>
      <c r="R469" s="167">
        <f t="shared" si="188"/>
        <v>1540</v>
      </c>
    </row>
    <row r="470" spans="2:18" ht="15" x14ac:dyDescent="0.25">
      <c r="B470" s="171">
        <f t="shared" si="173"/>
        <v>114</v>
      </c>
      <c r="C470" s="143"/>
      <c r="D470" s="29" t="s">
        <v>360</v>
      </c>
      <c r="E470" s="174" t="s">
        <v>289</v>
      </c>
      <c r="F470" s="147" t="s">
        <v>359</v>
      </c>
      <c r="G470" s="236"/>
      <c r="H470" s="425">
        <f>SUM(H471:H473)</f>
        <v>93284</v>
      </c>
      <c r="I470" s="425">
        <f t="shared" ref="I470" si="189">SUM(I471:I473)</f>
        <v>0</v>
      </c>
      <c r="J470" s="425">
        <f>H470+I470</f>
        <v>93284</v>
      </c>
      <c r="K470" s="334"/>
      <c r="L470" s="854"/>
      <c r="M470" s="854"/>
      <c r="N470" s="854"/>
      <c r="O470" s="334"/>
      <c r="P470" s="330">
        <f t="shared" si="185"/>
        <v>93284</v>
      </c>
      <c r="Q470" s="330">
        <f t="shared" si="188"/>
        <v>0</v>
      </c>
      <c r="R470" s="330">
        <f t="shared" si="188"/>
        <v>93284</v>
      </c>
    </row>
    <row r="471" spans="2:18" x14ac:dyDescent="0.2">
      <c r="B471" s="171">
        <f t="shared" si="173"/>
        <v>115</v>
      </c>
      <c r="C471" s="143"/>
      <c r="D471" s="144"/>
      <c r="E471" s="144"/>
      <c r="F471" s="144" t="s">
        <v>211</v>
      </c>
      <c r="G471" s="199" t="s">
        <v>505</v>
      </c>
      <c r="H471" s="388">
        <f>51765+2546+1861</f>
        <v>56172</v>
      </c>
      <c r="I471" s="388"/>
      <c r="J471" s="388">
        <f>H471+I471</f>
        <v>56172</v>
      </c>
      <c r="K471" s="145"/>
      <c r="L471" s="528"/>
      <c r="M471" s="528"/>
      <c r="N471" s="528"/>
      <c r="O471" s="145"/>
      <c r="P471" s="166">
        <f t="shared" si="185"/>
        <v>56172</v>
      </c>
      <c r="Q471" s="166">
        <f t="shared" si="188"/>
        <v>0</v>
      </c>
      <c r="R471" s="166">
        <f t="shared" si="188"/>
        <v>56172</v>
      </c>
    </row>
    <row r="472" spans="2:18" x14ac:dyDescent="0.2">
      <c r="B472" s="171">
        <f t="shared" si="173"/>
        <v>116</v>
      </c>
      <c r="C472" s="143"/>
      <c r="D472" s="144"/>
      <c r="E472" s="144"/>
      <c r="F472" s="144" t="s">
        <v>212</v>
      </c>
      <c r="G472" s="199" t="s">
        <v>259</v>
      </c>
      <c r="H472" s="388">
        <f>19027+935+910</f>
        <v>20872</v>
      </c>
      <c r="I472" s="388"/>
      <c r="J472" s="388">
        <f t="shared" ref="J472:J477" si="190">H472+I472</f>
        <v>20872</v>
      </c>
      <c r="K472" s="145"/>
      <c r="L472" s="528"/>
      <c r="M472" s="528"/>
      <c r="N472" s="528"/>
      <c r="O472" s="145"/>
      <c r="P472" s="166">
        <f t="shared" si="185"/>
        <v>20872</v>
      </c>
      <c r="Q472" s="166">
        <f t="shared" si="188"/>
        <v>0</v>
      </c>
      <c r="R472" s="166">
        <f t="shared" si="188"/>
        <v>20872</v>
      </c>
    </row>
    <row r="473" spans="2:18" x14ac:dyDescent="0.2">
      <c r="B473" s="171">
        <f t="shared" si="173"/>
        <v>117</v>
      </c>
      <c r="C473" s="143"/>
      <c r="D473" s="144"/>
      <c r="E473" s="144"/>
      <c r="F473" s="144" t="s">
        <v>218</v>
      </c>
      <c r="G473" s="199" t="s">
        <v>340</v>
      </c>
      <c r="H473" s="388">
        <f>SUM(H474:H477)</f>
        <v>16240</v>
      </c>
      <c r="I473" s="388"/>
      <c r="J473" s="388">
        <f t="shared" si="190"/>
        <v>16240</v>
      </c>
      <c r="K473" s="145"/>
      <c r="L473" s="528"/>
      <c r="M473" s="528"/>
      <c r="N473" s="528"/>
      <c r="O473" s="145"/>
      <c r="P473" s="166">
        <f t="shared" si="185"/>
        <v>16240</v>
      </c>
      <c r="Q473" s="166">
        <f t="shared" si="188"/>
        <v>0</v>
      </c>
      <c r="R473" s="166">
        <f t="shared" si="188"/>
        <v>16240</v>
      </c>
    </row>
    <row r="474" spans="2:18" x14ac:dyDescent="0.2">
      <c r="B474" s="171">
        <f t="shared" si="173"/>
        <v>118</v>
      </c>
      <c r="C474" s="143"/>
      <c r="D474" s="131"/>
      <c r="E474" s="131"/>
      <c r="F474" s="131" t="s">
        <v>199</v>
      </c>
      <c r="G474" s="194" t="s">
        <v>318</v>
      </c>
      <c r="H474" s="527">
        <v>10100</v>
      </c>
      <c r="I474" s="527"/>
      <c r="J474" s="527">
        <f t="shared" si="190"/>
        <v>10100</v>
      </c>
      <c r="K474" s="145"/>
      <c r="L474" s="528"/>
      <c r="M474" s="528"/>
      <c r="N474" s="528"/>
      <c r="O474" s="145"/>
      <c r="P474" s="167">
        <f t="shared" si="185"/>
        <v>10100</v>
      </c>
      <c r="Q474" s="167">
        <f t="shared" si="188"/>
        <v>0</v>
      </c>
      <c r="R474" s="167">
        <f t="shared" si="188"/>
        <v>10100</v>
      </c>
    </row>
    <row r="475" spans="2:18" x14ac:dyDescent="0.2">
      <c r="B475" s="171">
        <f t="shared" si="173"/>
        <v>119</v>
      </c>
      <c r="C475" s="143"/>
      <c r="D475" s="131"/>
      <c r="E475" s="131"/>
      <c r="F475" s="290" t="s">
        <v>200</v>
      </c>
      <c r="G475" s="194" t="s">
        <v>247</v>
      </c>
      <c r="H475" s="527">
        <v>4130</v>
      </c>
      <c r="I475" s="527"/>
      <c r="J475" s="527">
        <f t="shared" si="190"/>
        <v>4130</v>
      </c>
      <c r="K475" s="145"/>
      <c r="L475" s="528"/>
      <c r="M475" s="528"/>
      <c r="N475" s="528"/>
      <c r="O475" s="145"/>
      <c r="P475" s="167">
        <f t="shared" si="185"/>
        <v>4130</v>
      </c>
      <c r="Q475" s="167">
        <f t="shared" si="188"/>
        <v>0</v>
      </c>
      <c r="R475" s="167">
        <f t="shared" si="188"/>
        <v>4130</v>
      </c>
    </row>
    <row r="476" spans="2:18" x14ac:dyDescent="0.2">
      <c r="B476" s="171">
        <f t="shared" si="173"/>
        <v>120</v>
      </c>
      <c r="C476" s="143"/>
      <c r="D476" s="131"/>
      <c r="E476" s="146"/>
      <c r="F476" s="131" t="s">
        <v>214</v>
      </c>
      <c r="G476" s="194" t="s">
        <v>261</v>
      </c>
      <c r="H476" s="527">
        <v>150</v>
      </c>
      <c r="I476" s="527"/>
      <c r="J476" s="527">
        <f t="shared" si="190"/>
        <v>150</v>
      </c>
      <c r="K476" s="145"/>
      <c r="L476" s="528"/>
      <c r="M476" s="528"/>
      <c r="N476" s="528"/>
      <c r="O476" s="145"/>
      <c r="P476" s="167">
        <f t="shared" si="185"/>
        <v>150</v>
      </c>
      <c r="Q476" s="167">
        <f t="shared" si="188"/>
        <v>0</v>
      </c>
      <c r="R476" s="167">
        <f t="shared" si="188"/>
        <v>150</v>
      </c>
    </row>
    <row r="477" spans="2:18" x14ac:dyDescent="0.2">
      <c r="B477" s="171">
        <f t="shared" si="173"/>
        <v>121</v>
      </c>
      <c r="C477" s="143"/>
      <c r="D477" s="131"/>
      <c r="E477" s="146"/>
      <c r="F477" s="131" t="s">
        <v>216</v>
      </c>
      <c r="G477" s="194" t="s">
        <v>248</v>
      </c>
      <c r="H477" s="382">
        <v>1860</v>
      </c>
      <c r="I477" s="382"/>
      <c r="J477" s="527">
        <f t="shared" si="190"/>
        <v>1860</v>
      </c>
      <c r="K477" s="328"/>
      <c r="L477" s="528"/>
      <c r="M477" s="528"/>
      <c r="N477" s="528"/>
      <c r="O477" s="328"/>
      <c r="P477" s="167">
        <f t="shared" si="185"/>
        <v>1860</v>
      </c>
      <c r="Q477" s="167">
        <f t="shared" si="188"/>
        <v>0</v>
      </c>
      <c r="R477" s="167">
        <f t="shared" si="188"/>
        <v>1860</v>
      </c>
    </row>
    <row r="478" spans="2:18" ht="15" x14ac:dyDescent="0.25">
      <c r="B478" s="171">
        <f t="shared" si="173"/>
        <v>122</v>
      </c>
      <c r="C478" s="143"/>
      <c r="D478" s="29" t="s">
        <v>362</v>
      </c>
      <c r="E478" s="174" t="s">
        <v>289</v>
      </c>
      <c r="F478" s="147" t="s">
        <v>361</v>
      </c>
      <c r="G478" s="236"/>
      <c r="H478" s="425">
        <f>SUM(H479:H481)+H487</f>
        <v>88940</v>
      </c>
      <c r="I478" s="425">
        <f t="shared" ref="I478" si="191">SUM(I479:I481)+I487</f>
        <v>0</v>
      </c>
      <c r="J478" s="425">
        <f>H478+I478</f>
        <v>88940</v>
      </c>
      <c r="K478" s="334"/>
      <c r="L478" s="856"/>
      <c r="M478" s="856"/>
      <c r="N478" s="856"/>
      <c r="O478" s="334"/>
      <c r="P478" s="330">
        <f t="shared" si="185"/>
        <v>88940</v>
      </c>
      <c r="Q478" s="330">
        <f t="shared" si="188"/>
        <v>0</v>
      </c>
      <c r="R478" s="330">
        <f t="shared" si="188"/>
        <v>88940</v>
      </c>
    </row>
    <row r="479" spans="2:18" x14ac:dyDescent="0.2">
      <c r="B479" s="171">
        <f t="shared" si="173"/>
        <v>123</v>
      </c>
      <c r="C479" s="143"/>
      <c r="D479" s="144"/>
      <c r="E479" s="144"/>
      <c r="F479" s="144" t="s">
        <v>211</v>
      </c>
      <c r="G479" s="199" t="s">
        <v>505</v>
      </c>
      <c r="H479" s="388">
        <f>42210+2069+1455</f>
        <v>45734</v>
      </c>
      <c r="I479" s="388"/>
      <c r="J479" s="388">
        <f>H479+I479</f>
        <v>45734</v>
      </c>
      <c r="K479" s="145"/>
      <c r="L479" s="528"/>
      <c r="M479" s="528"/>
      <c r="N479" s="528"/>
      <c r="O479" s="145"/>
      <c r="P479" s="166">
        <f t="shared" si="185"/>
        <v>45734</v>
      </c>
      <c r="Q479" s="166">
        <f t="shared" si="188"/>
        <v>0</v>
      </c>
      <c r="R479" s="166">
        <f t="shared" si="188"/>
        <v>45734</v>
      </c>
    </row>
    <row r="480" spans="2:18" x14ac:dyDescent="0.2">
      <c r="B480" s="171">
        <f t="shared" si="173"/>
        <v>124</v>
      </c>
      <c r="C480" s="143"/>
      <c r="D480" s="144"/>
      <c r="E480" s="144"/>
      <c r="F480" s="144" t="s">
        <v>212</v>
      </c>
      <c r="G480" s="199" t="s">
        <v>259</v>
      </c>
      <c r="H480" s="388">
        <f>15693+768+1025</f>
        <v>17486</v>
      </c>
      <c r="I480" s="388"/>
      <c r="J480" s="388">
        <f t="shared" ref="J480:J487" si="192">H480+I480</f>
        <v>17486</v>
      </c>
      <c r="K480" s="145"/>
      <c r="L480" s="528"/>
      <c r="M480" s="528"/>
      <c r="N480" s="528"/>
      <c r="O480" s="145"/>
      <c r="P480" s="166">
        <f t="shared" si="185"/>
        <v>17486</v>
      </c>
      <c r="Q480" s="166">
        <f t="shared" si="188"/>
        <v>0</v>
      </c>
      <c r="R480" s="166">
        <f t="shared" si="188"/>
        <v>17486</v>
      </c>
    </row>
    <row r="481" spans="2:18" x14ac:dyDescent="0.2">
      <c r="B481" s="171">
        <f t="shared" si="173"/>
        <v>125</v>
      </c>
      <c r="C481" s="143"/>
      <c r="D481" s="144"/>
      <c r="E481" s="144"/>
      <c r="F481" s="144" t="s">
        <v>218</v>
      </c>
      <c r="G481" s="199" t="s">
        <v>340</v>
      </c>
      <c r="H481" s="388">
        <f>SUM(H482:H486)</f>
        <v>23670</v>
      </c>
      <c r="I481" s="388"/>
      <c r="J481" s="388">
        <f t="shared" si="192"/>
        <v>23670</v>
      </c>
      <c r="K481" s="145"/>
      <c r="L481" s="528"/>
      <c r="M481" s="528"/>
      <c r="N481" s="528"/>
      <c r="O481" s="145"/>
      <c r="P481" s="166">
        <f t="shared" si="185"/>
        <v>23670</v>
      </c>
      <c r="Q481" s="166">
        <f t="shared" si="188"/>
        <v>0</v>
      </c>
      <c r="R481" s="166">
        <f t="shared" si="188"/>
        <v>23670</v>
      </c>
    </row>
    <row r="482" spans="2:18" x14ac:dyDescent="0.2">
      <c r="B482" s="171">
        <f t="shared" si="173"/>
        <v>126</v>
      </c>
      <c r="C482" s="143"/>
      <c r="D482" s="131"/>
      <c r="E482" s="131"/>
      <c r="F482" s="131" t="s">
        <v>199</v>
      </c>
      <c r="G482" s="194" t="s">
        <v>318</v>
      </c>
      <c r="H482" s="527">
        <v>320</v>
      </c>
      <c r="I482" s="527"/>
      <c r="J482" s="527">
        <f t="shared" si="192"/>
        <v>320</v>
      </c>
      <c r="K482" s="145"/>
      <c r="L482" s="528"/>
      <c r="M482" s="528"/>
      <c r="N482" s="528"/>
      <c r="O482" s="145"/>
      <c r="P482" s="167">
        <f t="shared" si="185"/>
        <v>320</v>
      </c>
      <c r="Q482" s="167">
        <f t="shared" ref="Q482:R497" si="193">I482+M482</f>
        <v>0</v>
      </c>
      <c r="R482" s="167">
        <f t="shared" si="193"/>
        <v>320</v>
      </c>
    </row>
    <row r="483" spans="2:18" x14ac:dyDescent="0.2">
      <c r="B483" s="171">
        <f t="shared" si="173"/>
        <v>127</v>
      </c>
      <c r="C483" s="143"/>
      <c r="D483" s="131"/>
      <c r="E483" s="131"/>
      <c r="F483" s="131" t="s">
        <v>200</v>
      </c>
      <c r="G483" s="194" t="s">
        <v>247</v>
      </c>
      <c r="H483" s="527">
        <f>3340+1300</f>
        <v>4640</v>
      </c>
      <c r="I483" s="527"/>
      <c r="J483" s="527">
        <f t="shared" si="192"/>
        <v>4640</v>
      </c>
      <c r="K483" s="145"/>
      <c r="L483" s="528"/>
      <c r="M483" s="528"/>
      <c r="N483" s="528"/>
      <c r="O483" s="145"/>
      <c r="P483" s="167">
        <f t="shared" si="185"/>
        <v>4640</v>
      </c>
      <c r="Q483" s="167">
        <f t="shared" si="193"/>
        <v>0</v>
      </c>
      <c r="R483" s="167">
        <f t="shared" si="193"/>
        <v>4640</v>
      </c>
    </row>
    <row r="484" spans="2:18" x14ac:dyDescent="0.2">
      <c r="B484" s="171">
        <f t="shared" si="173"/>
        <v>128</v>
      </c>
      <c r="C484" s="143"/>
      <c r="D484" s="131"/>
      <c r="E484" s="178"/>
      <c r="F484" s="131" t="s">
        <v>214</v>
      </c>
      <c r="G484" s="194" t="s">
        <v>261</v>
      </c>
      <c r="H484" s="527">
        <v>2200</v>
      </c>
      <c r="I484" s="527"/>
      <c r="J484" s="527">
        <f t="shared" si="192"/>
        <v>2200</v>
      </c>
      <c r="K484" s="145"/>
      <c r="L484" s="528"/>
      <c r="M484" s="528"/>
      <c r="N484" s="528"/>
      <c r="O484" s="145"/>
      <c r="P484" s="167">
        <f t="shared" si="185"/>
        <v>2200</v>
      </c>
      <c r="Q484" s="167">
        <f t="shared" si="193"/>
        <v>0</v>
      </c>
      <c r="R484" s="167">
        <f t="shared" si="193"/>
        <v>2200</v>
      </c>
    </row>
    <row r="485" spans="2:18" x14ac:dyDescent="0.2">
      <c r="B485" s="171">
        <f t="shared" si="173"/>
        <v>129</v>
      </c>
      <c r="C485" s="143"/>
      <c r="D485" s="131"/>
      <c r="E485" s="146"/>
      <c r="F485" s="131" t="s">
        <v>215</v>
      </c>
      <c r="G485" s="194" t="s">
        <v>346</v>
      </c>
      <c r="H485" s="527">
        <v>14900</v>
      </c>
      <c r="I485" s="527"/>
      <c r="J485" s="527">
        <f t="shared" si="192"/>
        <v>14900</v>
      </c>
      <c r="K485" s="145"/>
      <c r="L485" s="528"/>
      <c r="M485" s="528"/>
      <c r="N485" s="528"/>
      <c r="O485" s="145"/>
      <c r="P485" s="167">
        <f t="shared" si="185"/>
        <v>14900</v>
      </c>
      <c r="Q485" s="167">
        <f t="shared" si="193"/>
        <v>0</v>
      </c>
      <c r="R485" s="167">
        <f t="shared" si="193"/>
        <v>14900</v>
      </c>
    </row>
    <row r="486" spans="2:18" x14ac:dyDescent="0.2">
      <c r="B486" s="171">
        <f t="shared" si="173"/>
        <v>130</v>
      </c>
      <c r="C486" s="143"/>
      <c r="D486" s="131"/>
      <c r="E486" s="146"/>
      <c r="F486" s="131" t="s">
        <v>216</v>
      </c>
      <c r="G486" s="194" t="s">
        <v>248</v>
      </c>
      <c r="H486" s="527">
        <v>1610</v>
      </c>
      <c r="I486" s="527"/>
      <c r="J486" s="527">
        <f t="shared" si="192"/>
        <v>1610</v>
      </c>
      <c r="K486" s="145"/>
      <c r="L486" s="528"/>
      <c r="M486" s="528"/>
      <c r="N486" s="528"/>
      <c r="O486" s="145"/>
      <c r="P486" s="167">
        <f t="shared" si="185"/>
        <v>1610</v>
      </c>
      <c r="Q486" s="167">
        <f t="shared" si="193"/>
        <v>0</v>
      </c>
      <c r="R486" s="167">
        <f t="shared" si="193"/>
        <v>1610</v>
      </c>
    </row>
    <row r="487" spans="2:18" x14ac:dyDescent="0.2">
      <c r="B487" s="171">
        <f t="shared" si="173"/>
        <v>131</v>
      </c>
      <c r="C487" s="143"/>
      <c r="D487" s="131"/>
      <c r="E487" s="146"/>
      <c r="F487" s="284" t="s">
        <v>652</v>
      </c>
      <c r="G487" s="199" t="s">
        <v>665</v>
      </c>
      <c r="H487" s="388">
        <v>2050</v>
      </c>
      <c r="I487" s="388"/>
      <c r="J487" s="388">
        <f t="shared" si="192"/>
        <v>2050</v>
      </c>
      <c r="K487" s="145"/>
      <c r="L487" s="528"/>
      <c r="M487" s="528"/>
      <c r="N487" s="528"/>
      <c r="O487" s="145"/>
      <c r="P487" s="166">
        <f t="shared" si="185"/>
        <v>2050</v>
      </c>
      <c r="Q487" s="166">
        <f t="shared" si="193"/>
        <v>0</v>
      </c>
      <c r="R487" s="166">
        <f t="shared" si="193"/>
        <v>2050</v>
      </c>
    </row>
    <row r="488" spans="2:18" ht="15" x14ac:dyDescent="0.25">
      <c r="B488" s="171">
        <f t="shared" ref="B488:B551" si="194">B487+1</f>
        <v>132</v>
      </c>
      <c r="C488" s="143"/>
      <c r="D488" s="29" t="s">
        <v>364</v>
      </c>
      <c r="E488" s="174" t="s">
        <v>289</v>
      </c>
      <c r="F488" s="147" t="s">
        <v>363</v>
      </c>
      <c r="G488" s="236"/>
      <c r="H488" s="425">
        <f>SUM(H489:H491)+H496</f>
        <v>234926</v>
      </c>
      <c r="I488" s="425">
        <f t="shared" ref="I488" si="195">SUM(I489:I491)+I496</f>
        <v>0</v>
      </c>
      <c r="J488" s="425">
        <f>H488+I488</f>
        <v>234926</v>
      </c>
      <c r="K488" s="334"/>
      <c r="L488" s="856"/>
      <c r="M488" s="856"/>
      <c r="N488" s="856"/>
      <c r="O488" s="334"/>
      <c r="P488" s="330">
        <f t="shared" si="185"/>
        <v>234926</v>
      </c>
      <c r="Q488" s="330">
        <f t="shared" si="193"/>
        <v>0</v>
      </c>
      <c r="R488" s="330">
        <f t="shared" si="193"/>
        <v>234926</v>
      </c>
    </row>
    <row r="489" spans="2:18" x14ac:dyDescent="0.2">
      <c r="B489" s="171">
        <f t="shared" si="194"/>
        <v>133</v>
      </c>
      <c r="C489" s="143"/>
      <c r="D489" s="144"/>
      <c r="E489" s="144"/>
      <c r="F489" s="144" t="s">
        <v>211</v>
      </c>
      <c r="G489" s="199" t="s">
        <v>505</v>
      </c>
      <c r="H489" s="388">
        <f>123650+6099+5108</f>
        <v>134857</v>
      </c>
      <c r="I489" s="388"/>
      <c r="J489" s="388">
        <f>H489+I489</f>
        <v>134857</v>
      </c>
      <c r="K489" s="145"/>
      <c r="L489" s="528"/>
      <c r="M489" s="528"/>
      <c r="N489" s="528"/>
      <c r="O489" s="145"/>
      <c r="P489" s="166">
        <f t="shared" si="185"/>
        <v>134857</v>
      </c>
      <c r="Q489" s="166">
        <f t="shared" si="193"/>
        <v>0</v>
      </c>
      <c r="R489" s="166">
        <f t="shared" si="193"/>
        <v>134857</v>
      </c>
    </row>
    <row r="490" spans="2:18" x14ac:dyDescent="0.2">
      <c r="B490" s="171">
        <f t="shared" si="194"/>
        <v>134</v>
      </c>
      <c r="C490" s="143"/>
      <c r="D490" s="144"/>
      <c r="E490" s="144"/>
      <c r="F490" s="144" t="s">
        <v>212</v>
      </c>
      <c r="G490" s="199" t="s">
        <v>259</v>
      </c>
      <c r="H490" s="388">
        <f>45888+2261+1700</f>
        <v>49849</v>
      </c>
      <c r="I490" s="388"/>
      <c r="J490" s="388">
        <f t="shared" ref="J490:J496" si="196">H490+I490</f>
        <v>49849</v>
      </c>
      <c r="K490" s="145"/>
      <c r="L490" s="528"/>
      <c r="M490" s="528"/>
      <c r="N490" s="528"/>
      <c r="O490" s="145"/>
      <c r="P490" s="166">
        <f t="shared" si="185"/>
        <v>49849</v>
      </c>
      <c r="Q490" s="166">
        <f t="shared" si="193"/>
        <v>0</v>
      </c>
      <c r="R490" s="166">
        <f t="shared" si="193"/>
        <v>49849</v>
      </c>
    </row>
    <row r="491" spans="2:18" x14ac:dyDescent="0.2">
      <c r="B491" s="171">
        <f t="shared" si="194"/>
        <v>135</v>
      </c>
      <c r="C491" s="143"/>
      <c r="D491" s="144"/>
      <c r="E491" s="144"/>
      <c r="F491" s="144" t="s">
        <v>218</v>
      </c>
      <c r="G491" s="199" t="s">
        <v>340</v>
      </c>
      <c r="H491" s="388">
        <f>SUM(H492:H495)</f>
        <v>47650</v>
      </c>
      <c r="I491" s="388"/>
      <c r="J491" s="388">
        <f t="shared" si="196"/>
        <v>47650</v>
      </c>
      <c r="K491" s="145"/>
      <c r="L491" s="528"/>
      <c r="M491" s="528"/>
      <c r="N491" s="528"/>
      <c r="O491" s="145"/>
      <c r="P491" s="166">
        <f t="shared" si="185"/>
        <v>47650</v>
      </c>
      <c r="Q491" s="166">
        <f t="shared" si="193"/>
        <v>0</v>
      </c>
      <c r="R491" s="166">
        <f t="shared" si="193"/>
        <v>47650</v>
      </c>
    </row>
    <row r="492" spans="2:18" x14ac:dyDescent="0.2">
      <c r="B492" s="171">
        <f t="shared" si="194"/>
        <v>136</v>
      </c>
      <c r="C492" s="143"/>
      <c r="D492" s="131"/>
      <c r="E492" s="131"/>
      <c r="F492" s="131" t="s">
        <v>199</v>
      </c>
      <c r="G492" s="194" t="s">
        <v>318</v>
      </c>
      <c r="H492" s="527">
        <f>27000+2280</f>
        <v>29280</v>
      </c>
      <c r="I492" s="527"/>
      <c r="J492" s="527">
        <f t="shared" si="196"/>
        <v>29280</v>
      </c>
      <c r="K492" s="145"/>
      <c r="L492" s="528"/>
      <c r="M492" s="528"/>
      <c r="N492" s="528"/>
      <c r="O492" s="145"/>
      <c r="P492" s="167">
        <f t="shared" ref="P492:P506" si="197">H492+L492</f>
        <v>29280</v>
      </c>
      <c r="Q492" s="167">
        <f t="shared" si="193"/>
        <v>0</v>
      </c>
      <c r="R492" s="167">
        <f t="shared" si="193"/>
        <v>29280</v>
      </c>
    </row>
    <row r="493" spans="2:18" x14ac:dyDescent="0.2">
      <c r="B493" s="171">
        <f t="shared" si="194"/>
        <v>137</v>
      </c>
      <c r="C493" s="143"/>
      <c r="D493" s="131"/>
      <c r="E493" s="131"/>
      <c r="F493" s="131" t="s">
        <v>200</v>
      </c>
      <c r="G493" s="194" t="s">
        <v>247</v>
      </c>
      <c r="H493" s="527">
        <v>8400</v>
      </c>
      <c r="I493" s="527"/>
      <c r="J493" s="527">
        <f t="shared" si="196"/>
        <v>8400</v>
      </c>
      <c r="K493" s="145"/>
      <c r="L493" s="528"/>
      <c r="M493" s="528"/>
      <c r="N493" s="528"/>
      <c r="O493" s="145"/>
      <c r="P493" s="167">
        <f t="shared" si="197"/>
        <v>8400</v>
      </c>
      <c r="Q493" s="167">
        <f t="shared" si="193"/>
        <v>0</v>
      </c>
      <c r="R493" s="167">
        <f t="shared" si="193"/>
        <v>8400</v>
      </c>
    </row>
    <row r="494" spans="2:18" x14ac:dyDescent="0.2">
      <c r="B494" s="171">
        <f t="shared" si="194"/>
        <v>138</v>
      </c>
      <c r="C494" s="143"/>
      <c r="D494" s="131"/>
      <c r="E494" s="146"/>
      <c r="F494" s="131" t="s">
        <v>215</v>
      </c>
      <c r="G494" s="194" t="s">
        <v>346</v>
      </c>
      <c r="H494" s="527">
        <v>4700</v>
      </c>
      <c r="I494" s="527"/>
      <c r="J494" s="527">
        <f t="shared" si="196"/>
        <v>4700</v>
      </c>
      <c r="K494" s="145"/>
      <c r="L494" s="528"/>
      <c r="M494" s="528"/>
      <c r="N494" s="528"/>
      <c r="O494" s="145"/>
      <c r="P494" s="167">
        <f t="shared" si="197"/>
        <v>4700</v>
      </c>
      <c r="Q494" s="167">
        <f t="shared" si="193"/>
        <v>0</v>
      </c>
      <c r="R494" s="167">
        <f t="shared" si="193"/>
        <v>4700</v>
      </c>
    </row>
    <row r="495" spans="2:18" x14ac:dyDescent="0.2">
      <c r="B495" s="171">
        <f t="shared" si="194"/>
        <v>139</v>
      </c>
      <c r="C495" s="143"/>
      <c r="D495" s="131"/>
      <c r="E495" s="146"/>
      <c r="F495" s="131" t="s">
        <v>216</v>
      </c>
      <c r="G495" s="194" t="s">
        <v>248</v>
      </c>
      <c r="H495" s="527">
        <v>5270</v>
      </c>
      <c r="I495" s="527"/>
      <c r="J495" s="527">
        <f t="shared" si="196"/>
        <v>5270</v>
      </c>
      <c r="K495" s="145"/>
      <c r="L495" s="528"/>
      <c r="M495" s="528"/>
      <c r="N495" s="528"/>
      <c r="O495" s="145"/>
      <c r="P495" s="167">
        <f t="shared" si="197"/>
        <v>5270</v>
      </c>
      <c r="Q495" s="167">
        <f t="shared" si="193"/>
        <v>0</v>
      </c>
      <c r="R495" s="167">
        <f t="shared" si="193"/>
        <v>5270</v>
      </c>
    </row>
    <row r="496" spans="2:18" x14ac:dyDescent="0.2">
      <c r="B496" s="171">
        <f t="shared" si="194"/>
        <v>140</v>
      </c>
      <c r="C496" s="143"/>
      <c r="D496" s="131"/>
      <c r="E496" s="146"/>
      <c r="F496" s="284" t="s">
        <v>652</v>
      </c>
      <c r="G496" s="199" t="s">
        <v>665</v>
      </c>
      <c r="H496" s="388">
        <v>2570</v>
      </c>
      <c r="I496" s="388"/>
      <c r="J496" s="388">
        <f t="shared" si="196"/>
        <v>2570</v>
      </c>
      <c r="K496" s="145"/>
      <c r="L496" s="528"/>
      <c r="M496" s="528"/>
      <c r="N496" s="528"/>
      <c r="O496" s="145"/>
      <c r="P496" s="166">
        <f t="shared" si="197"/>
        <v>2570</v>
      </c>
      <c r="Q496" s="166">
        <f t="shared" si="193"/>
        <v>0</v>
      </c>
      <c r="R496" s="166">
        <f t="shared" si="193"/>
        <v>2570</v>
      </c>
    </row>
    <row r="497" spans="2:18" ht="15" x14ac:dyDescent="0.25">
      <c r="B497" s="171">
        <f t="shared" si="194"/>
        <v>141</v>
      </c>
      <c r="C497" s="143"/>
      <c r="D497" s="29"/>
      <c r="E497" s="174" t="s">
        <v>289</v>
      </c>
      <c r="F497" s="147" t="s">
        <v>601</v>
      </c>
      <c r="G497" s="236"/>
      <c r="H497" s="425">
        <f>SUM(H498:H500)+H506</f>
        <v>377215</v>
      </c>
      <c r="I497" s="425">
        <f t="shared" ref="I497" si="198">SUM(I498:I500)+I506</f>
        <v>0</v>
      </c>
      <c r="J497" s="425">
        <f>H497+I497</f>
        <v>377215</v>
      </c>
      <c r="K497" s="334"/>
      <c r="L497" s="856"/>
      <c r="M497" s="856"/>
      <c r="N497" s="856"/>
      <c r="O497" s="334"/>
      <c r="P497" s="330">
        <f t="shared" si="197"/>
        <v>377215</v>
      </c>
      <c r="Q497" s="330">
        <f t="shared" si="193"/>
        <v>0</v>
      </c>
      <c r="R497" s="330">
        <f t="shared" si="193"/>
        <v>377215</v>
      </c>
    </row>
    <row r="498" spans="2:18" x14ac:dyDescent="0.2">
      <c r="B498" s="171">
        <f t="shared" si="194"/>
        <v>142</v>
      </c>
      <c r="C498" s="143"/>
      <c r="D498" s="144"/>
      <c r="E498" s="144"/>
      <c r="F498" s="144" t="s">
        <v>211</v>
      </c>
      <c r="G498" s="199" t="s">
        <v>505</v>
      </c>
      <c r="H498" s="388">
        <f>204325+10027</f>
        <v>214352</v>
      </c>
      <c r="I498" s="388"/>
      <c r="J498" s="388">
        <f>H498+I498</f>
        <v>214352</v>
      </c>
      <c r="K498" s="145"/>
      <c r="L498" s="528"/>
      <c r="M498" s="528"/>
      <c r="N498" s="528"/>
      <c r="O498" s="145"/>
      <c r="P498" s="166">
        <f t="shared" si="197"/>
        <v>214352</v>
      </c>
      <c r="Q498" s="166">
        <f t="shared" ref="Q498:R506" si="199">I498+M498</f>
        <v>0</v>
      </c>
      <c r="R498" s="166">
        <f t="shared" si="199"/>
        <v>214352</v>
      </c>
    </row>
    <row r="499" spans="2:18" x14ac:dyDescent="0.2">
      <c r="B499" s="171">
        <f t="shared" si="194"/>
        <v>143</v>
      </c>
      <c r="C499" s="143"/>
      <c r="D499" s="144"/>
      <c r="E499" s="144"/>
      <c r="F499" s="144" t="s">
        <v>212</v>
      </c>
      <c r="G499" s="199" t="s">
        <v>259</v>
      </c>
      <c r="H499" s="388">
        <f>74679+3659</f>
        <v>78338</v>
      </c>
      <c r="I499" s="388"/>
      <c r="J499" s="388">
        <f t="shared" ref="J499:J506" si="200">H499+I499</f>
        <v>78338</v>
      </c>
      <c r="K499" s="145"/>
      <c r="L499" s="528"/>
      <c r="M499" s="528"/>
      <c r="N499" s="528"/>
      <c r="O499" s="145"/>
      <c r="P499" s="166">
        <f t="shared" si="197"/>
        <v>78338</v>
      </c>
      <c r="Q499" s="166">
        <f t="shared" si="199"/>
        <v>0</v>
      </c>
      <c r="R499" s="166">
        <f t="shared" si="199"/>
        <v>78338</v>
      </c>
    </row>
    <row r="500" spans="2:18" x14ac:dyDescent="0.2">
      <c r="B500" s="171">
        <f t="shared" si="194"/>
        <v>144</v>
      </c>
      <c r="C500" s="143"/>
      <c r="D500" s="144"/>
      <c r="E500" s="144"/>
      <c r="F500" s="144" t="s">
        <v>218</v>
      </c>
      <c r="G500" s="199" t="s">
        <v>340</v>
      </c>
      <c r="H500" s="388">
        <f>SUM(H501:H505)</f>
        <v>82580</v>
      </c>
      <c r="I500" s="388"/>
      <c r="J500" s="388">
        <f t="shared" si="200"/>
        <v>82580</v>
      </c>
      <c r="K500" s="145"/>
      <c r="L500" s="528"/>
      <c r="M500" s="528"/>
      <c r="N500" s="528"/>
      <c r="O500" s="145"/>
      <c r="P500" s="166">
        <f t="shared" si="197"/>
        <v>82580</v>
      </c>
      <c r="Q500" s="166">
        <f t="shared" si="199"/>
        <v>0</v>
      </c>
      <c r="R500" s="166">
        <f t="shared" si="199"/>
        <v>82580</v>
      </c>
    </row>
    <row r="501" spans="2:18" x14ac:dyDescent="0.2">
      <c r="B501" s="171">
        <f t="shared" si="194"/>
        <v>145</v>
      </c>
      <c r="C501" s="143"/>
      <c r="D501" s="131"/>
      <c r="E501" s="131"/>
      <c r="F501" s="131" t="s">
        <v>199</v>
      </c>
      <c r="G501" s="194" t="s">
        <v>318</v>
      </c>
      <c r="H501" s="527">
        <v>53230</v>
      </c>
      <c r="I501" s="527"/>
      <c r="J501" s="527">
        <f t="shared" si="200"/>
        <v>53230</v>
      </c>
      <c r="K501" s="145"/>
      <c r="L501" s="528"/>
      <c r="M501" s="528"/>
      <c r="N501" s="528"/>
      <c r="O501" s="145"/>
      <c r="P501" s="167">
        <f t="shared" si="197"/>
        <v>53230</v>
      </c>
      <c r="Q501" s="167">
        <f t="shared" si="199"/>
        <v>0</v>
      </c>
      <c r="R501" s="167">
        <f t="shared" si="199"/>
        <v>53230</v>
      </c>
    </row>
    <row r="502" spans="2:18" x14ac:dyDescent="0.2">
      <c r="B502" s="171">
        <f t="shared" si="194"/>
        <v>146</v>
      </c>
      <c r="C502" s="143"/>
      <c r="D502" s="131"/>
      <c r="E502" s="131"/>
      <c r="F502" s="131" t="s">
        <v>200</v>
      </c>
      <c r="G502" s="194" t="s">
        <v>247</v>
      </c>
      <c r="H502" s="527">
        <v>13300</v>
      </c>
      <c r="I502" s="527"/>
      <c r="J502" s="527">
        <f t="shared" si="200"/>
        <v>13300</v>
      </c>
      <c r="K502" s="145"/>
      <c r="L502" s="528"/>
      <c r="M502" s="528"/>
      <c r="N502" s="528"/>
      <c r="O502" s="145"/>
      <c r="P502" s="167">
        <f t="shared" si="197"/>
        <v>13300</v>
      </c>
      <c r="Q502" s="167">
        <f t="shared" si="199"/>
        <v>0</v>
      </c>
      <c r="R502" s="167">
        <f t="shared" si="199"/>
        <v>13300</v>
      </c>
    </row>
    <row r="503" spans="2:18" x14ac:dyDescent="0.2">
      <c r="B503" s="171">
        <f t="shared" si="194"/>
        <v>147</v>
      </c>
      <c r="C503" s="143"/>
      <c r="D503" s="131"/>
      <c r="E503" s="146"/>
      <c r="F503" s="131" t="s">
        <v>214</v>
      </c>
      <c r="G503" s="194" t="s">
        <v>261</v>
      </c>
      <c r="H503" s="382">
        <v>150</v>
      </c>
      <c r="I503" s="382"/>
      <c r="J503" s="527">
        <f t="shared" si="200"/>
        <v>150</v>
      </c>
      <c r="K503" s="328"/>
      <c r="L503" s="528"/>
      <c r="M503" s="528"/>
      <c r="N503" s="528"/>
      <c r="O503" s="328"/>
      <c r="P503" s="167">
        <f t="shared" si="197"/>
        <v>150</v>
      </c>
      <c r="Q503" s="167">
        <f t="shared" si="199"/>
        <v>0</v>
      </c>
      <c r="R503" s="167">
        <f t="shared" si="199"/>
        <v>150</v>
      </c>
    </row>
    <row r="504" spans="2:18" x14ac:dyDescent="0.2">
      <c r="B504" s="171">
        <f t="shared" si="194"/>
        <v>148</v>
      </c>
      <c r="C504" s="143"/>
      <c r="D504" s="131"/>
      <c r="E504" s="146"/>
      <c r="F504" s="131" t="s">
        <v>215</v>
      </c>
      <c r="G504" s="194" t="s">
        <v>346</v>
      </c>
      <c r="H504" s="527">
        <v>7300</v>
      </c>
      <c r="I504" s="527"/>
      <c r="J504" s="527">
        <f t="shared" si="200"/>
        <v>7300</v>
      </c>
      <c r="K504" s="145"/>
      <c r="L504" s="528"/>
      <c r="M504" s="528"/>
      <c r="N504" s="528"/>
      <c r="O504" s="145"/>
      <c r="P504" s="167">
        <f t="shared" si="197"/>
        <v>7300</v>
      </c>
      <c r="Q504" s="167">
        <f t="shared" si="199"/>
        <v>0</v>
      </c>
      <c r="R504" s="167">
        <f t="shared" si="199"/>
        <v>7300</v>
      </c>
    </row>
    <row r="505" spans="2:18" x14ac:dyDescent="0.2">
      <c r="B505" s="171">
        <f t="shared" si="194"/>
        <v>149</v>
      </c>
      <c r="C505" s="143"/>
      <c r="D505" s="131"/>
      <c r="E505" s="146"/>
      <c r="F505" s="131" t="s">
        <v>216</v>
      </c>
      <c r="G505" s="194" t="s">
        <v>248</v>
      </c>
      <c r="H505" s="527">
        <v>8600</v>
      </c>
      <c r="I505" s="527"/>
      <c r="J505" s="527">
        <f t="shared" si="200"/>
        <v>8600</v>
      </c>
      <c r="K505" s="145"/>
      <c r="L505" s="528"/>
      <c r="M505" s="528"/>
      <c r="N505" s="528"/>
      <c r="O505" s="145"/>
      <c r="P505" s="167">
        <f t="shared" si="197"/>
        <v>8600</v>
      </c>
      <c r="Q505" s="167">
        <f t="shared" si="199"/>
        <v>0</v>
      </c>
      <c r="R505" s="167">
        <f t="shared" si="199"/>
        <v>8600</v>
      </c>
    </row>
    <row r="506" spans="2:18" x14ac:dyDescent="0.2">
      <c r="B506" s="171">
        <f t="shared" si="194"/>
        <v>150</v>
      </c>
      <c r="C506" s="143"/>
      <c r="D506" s="131"/>
      <c r="E506" s="146"/>
      <c r="F506" s="284" t="s">
        <v>652</v>
      </c>
      <c r="G506" s="199" t="s">
        <v>665</v>
      </c>
      <c r="H506" s="388">
        <v>1945</v>
      </c>
      <c r="I506" s="388"/>
      <c r="J506" s="388">
        <f t="shared" si="200"/>
        <v>1945</v>
      </c>
      <c r="K506" s="145"/>
      <c r="L506" s="528"/>
      <c r="M506" s="528"/>
      <c r="N506" s="528"/>
      <c r="O506" s="145"/>
      <c r="P506" s="166">
        <f t="shared" si="197"/>
        <v>1945</v>
      </c>
      <c r="Q506" s="166">
        <f t="shared" si="199"/>
        <v>0</v>
      </c>
      <c r="R506" s="166">
        <f t="shared" si="199"/>
        <v>1945</v>
      </c>
    </row>
    <row r="507" spans="2:18" x14ac:dyDescent="0.2">
      <c r="B507" s="171">
        <f t="shared" si="194"/>
        <v>151</v>
      </c>
      <c r="C507" s="143"/>
      <c r="D507" s="131"/>
      <c r="E507" s="146"/>
      <c r="F507" s="144"/>
      <c r="G507" s="199"/>
      <c r="H507" s="527"/>
      <c r="I507" s="527"/>
      <c r="J507" s="527"/>
      <c r="K507" s="145"/>
      <c r="L507" s="528"/>
      <c r="M507" s="528"/>
      <c r="N507" s="528"/>
      <c r="O507" s="145"/>
      <c r="P507" s="167"/>
      <c r="Q507" s="167"/>
      <c r="R507" s="167"/>
    </row>
    <row r="508" spans="2:18" x14ac:dyDescent="0.2">
      <c r="B508" s="171">
        <f t="shared" si="194"/>
        <v>152</v>
      </c>
      <c r="C508" s="143"/>
      <c r="D508" s="131"/>
      <c r="E508" s="146"/>
      <c r="F508" s="144" t="s">
        <v>214</v>
      </c>
      <c r="G508" s="199" t="s">
        <v>692</v>
      </c>
      <c r="H508" s="527">
        <f>30000-3500-18551-4210</f>
        <v>3739</v>
      </c>
      <c r="I508" s="527">
        <v>-3660</v>
      </c>
      <c r="J508" s="527">
        <f>H508+I508</f>
        <v>79</v>
      </c>
      <c r="K508" s="145"/>
      <c r="L508" s="528"/>
      <c r="M508" s="528"/>
      <c r="N508" s="528"/>
      <c r="O508" s="145"/>
      <c r="P508" s="167">
        <f>H508+L508</f>
        <v>3739</v>
      </c>
      <c r="Q508" s="167">
        <f t="shared" ref="Q508:R508" si="201">I508+M508</f>
        <v>-3660</v>
      </c>
      <c r="R508" s="167">
        <f t="shared" si="201"/>
        <v>79</v>
      </c>
    </row>
    <row r="509" spans="2:18" x14ac:dyDescent="0.2">
      <c r="B509" s="171">
        <f t="shared" si="194"/>
        <v>153</v>
      </c>
      <c r="C509" s="143"/>
      <c r="D509" s="131"/>
      <c r="E509" s="146"/>
      <c r="F509" s="144"/>
      <c r="G509" s="199"/>
      <c r="H509" s="527"/>
      <c r="I509" s="527"/>
      <c r="J509" s="527"/>
      <c r="K509" s="145"/>
      <c r="L509" s="528"/>
      <c r="M509" s="528"/>
      <c r="N509" s="528"/>
      <c r="O509" s="145"/>
      <c r="P509" s="167"/>
      <c r="Q509" s="167"/>
      <c r="R509" s="167"/>
    </row>
    <row r="510" spans="2:18" x14ac:dyDescent="0.2">
      <c r="B510" s="171">
        <f t="shared" si="194"/>
        <v>154</v>
      </c>
      <c r="C510" s="143"/>
      <c r="D510" s="131"/>
      <c r="E510" s="146"/>
      <c r="F510" s="131" t="s">
        <v>217</v>
      </c>
      <c r="G510" s="199" t="s">
        <v>512</v>
      </c>
      <c r="H510" s="388">
        <v>40013</v>
      </c>
      <c r="I510" s="388"/>
      <c r="J510" s="388">
        <f t="shared" ref="J510:J512" si="202">H510+I510</f>
        <v>40013</v>
      </c>
      <c r="K510" s="145"/>
      <c r="L510" s="528"/>
      <c r="M510" s="528"/>
      <c r="N510" s="528"/>
      <c r="O510" s="145"/>
      <c r="P510" s="166">
        <f>H510+L510</f>
        <v>40013</v>
      </c>
      <c r="Q510" s="166">
        <f t="shared" ref="Q510:R512" si="203">I510+M510</f>
        <v>0</v>
      </c>
      <c r="R510" s="166">
        <f t="shared" si="203"/>
        <v>40013</v>
      </c>
    </row>
    <row r="511" spans="2:18" x14ac:dyDescent="0.2">
      <c r="B511" s="171">
        <f t="shared" si="194"/>
        <v>155</v>
      </c>
      <c r="C511" s="143"/>
      <c r="D511" s="131"/>
      <c r="E511" s="146"/>
      <c r="F511" s="131" t="s">
        <v>217</v>
      </c>
      <c r="G511" s="199" t="s">
        <v>513</v>
      </c>
      <c r="H511" s="388">
        <v>83226</v>
      </c>
      <c r="I511" s="388"/>
      <c r="J511" s="388">
        <f t="shared" si="202"/>
        <v>83226</v>
      </c>
      <c r="K511" s="145"/>
      <c r="L511" s="528"/>
      <c r="M511" s="528"/>
      <c r="N511" s="528"/>
      <c r="O511" s="145"/>
      <c r="P511" s="166">
        <f>H511+L511</f>
        <v>83226</v>
      </c>
      <c r="Q511" s="166">
        <f t="shared" si="203"/>
        <v>0</v>
      </c>
      <c r="R511" s="166">
        <f t="shared" si="203"/>
        <v>83226</v>
      </c>
    </row>
    <row r="512" spans="2:18" x14ac:dyDescent="0.2">
      <c r="B512" s="171">
        <f t="shared" si="194"/>
        <v>156</v>
      </c>
      <c r="C512" s="143"/>
      <c r="D512" s="131"/>
      <c r="E512" s="146"/>
      <c r="F512" s="131" t="s">
        <v>217</v>
      </c>
      <c r="G512" s="199" t="s">
        <v>514</v>
      </c>
      <c r="H512" s="388">
        <v>67221</v>
      </c>
      <c r="I512" s="388"/>
      <c r="J512" s="388">
        <f t="shared" si="202"/>
        <v>67221</v>
      </c>
      <c r="K512" s="145"/>
      <c r="L512" s="528"/>
      <c r="M512" s="528"/>
      <c r="N512" s="528"/>
      <c r="O512" s="145"/>
      <c r="P512" s="166">
        <f>H512+L512</f>
        <v>67221</v>
      </c>
      <c r="Q512" s="166">
        <f t="shared" si="203"/>
        <v>0</v>
      </c>
      <c r="R512" s="166">
        <f t="shared" si="203"/>
        <v>67221</v>
      </c>
    </row>
    <row r="513" spans="2:18" x14ac:dyDescent="0.2">
      <c r="B513" s="171">
        <f t="shared" si="194"/>
        <v>157</v>
      </c>
      <c r="C513" s="143"/>
      <c r="D513" s="131"/>
      <c r="E513" s="146"/>
      <c r="F513" s="131"/>
      <c r="G513" s="199"/>
      <c r="H513" s="388"/>
      <c r="I513" s="388"/>
      <c r="J513" s="388"/>
      <c r="K513" s="145"/>
      <c r="L513" s="528"/>
      <c r="M513" s="528"/>
      <c r="N513" s="528"/>
      <c r="O513" s="145"/>
      <c r="P513" s="167"/>
      <c r="Q513" s="167"/>
      <c r="R513" s="167"/>
    </row>
    <row r="514" spans="2:18" ht="15.75" x14ac:dyDescent="0.25">
      <c r="B514" s="171">
        <f t="shared" si="194"/>
        <v>158</v>
      </c>
      <c r="C514" s="21">
        <v>2</v>
      </c>
      <c r="D514" s="126" t="s">
        <v>107</v>
      </c>
      <c r="E514" s="22"/>
      <c r="F514" s="22"/>
      <c r="G514" s="195"/>
      <c r="H514" s="413">
        <f>H515+H525+H549+H572+H599+H624+H648+H671+H693</f>
        <v>6427645</v>
      </c>
      <c r="I514" s="413">
        <f>I515+I525+I549+I572+I599+I624+I648+I671+I693+I715</f>
        <v>1977</v>
      </c>
      <c r="J514" s="413">
        <f>H514+I514</f>
        <v>6429622</v>
      </c>
      <c r="K514" s="112"/>
      <c r="L514" s="860">
        <f>L515+L525+L549+L572+L599+L624+L648+L671+L693</f>
        <v>135216</v>
      </c>
      <c r="M514" s="860">
        <f t="shared" ref="M514" si="204">M515+M525+M549+M572+M599+M624+M648+M671+M693</f>
        <v>0</v>
      </c>
      <c r="N514" s="860">
        <f t="shared" ref="N514" si="205">L514+M514</f>
        <v>135216</v>
      </c>
      <c r="O514" s="112"/>
      <c r="P514" s="391">
        <f t="shared" ref="P514:P545" si="206">H514+L514</f>
        <v>6562861</v>
      </c>
      <c r="Q514" s="391">
        <f t="shared" ref="Q514:R529" si="207">I514+M514</f>
        <v>1977</v>
      </c>
      <c r="R514" s="391">
        <f t="shared" si="207"/>
        <v>6564838</v>
      </c>
    </row>
    <row r="515" spans="2:18" ht="15" x14ac:dyDescent="0.25">
      <c r="B515" s="171">
        <f t="shared" si="194"/>
        <v>159</v>
      </c>
      <c r="C515" s="143"/>
      <c r="D515" s="152" t="s">
        <v>4</v>
      </c>
      <c r="E515" s="147"/>
      <c r="F515" s="147" t="s">
        <v>245</v>
      </c>
      <c r="G515" s="236"/>
      <c r="H515" s="425">
        <f>H517+H518+H519</f>
        <v>105269</v>
      </c>
      <c r="I515" s="425">
        <f t="shared" ref="I515" si="208">I517+I518+I519</f>
        <v>0</v>
      </c>
      <c r="J515" s="425">
        <f>H515+I515</f>
        <v>105269</v>
      </c>
      <c r="K515" s="331"/>
      <c r="L515" s="853"/>
      <c r="M515" s="853"/>
      <c r="N515" s="853"/>
      <c r="O515" s="331"/>
      <c r="P515" s="332">
        <f t="shared" si="206"/>
        <v>105269</v>
      </c>
      <c r="Q515" s="332">
        <f t="shared" si="207"/>
        <v>0</v>
      </c>
      <c r="R515" s="332">
        <f t="shared" si="207"/>
        <v>105269</v>
      </c>
    </row>
    <row r="516" spans="2:18" ht="15" x14ac:dyDescent="0.25">
      <c r="B516" s="171">
        <f t="shared" si="194"/>
        <v>160</v>
      </c>
      <c r="C516" s="143"/>
      <c r="D516" s="516"/>
      <c r="E516" s="519" t="s">
        <v>428</v>
      </c>
      <c r="F516" s="519" t="s">
        <v>687</v>
      </c>
      <c r="G516" s="518"/>
      <c r="H516" s="520">
        <f>H517+H518+H519</f>
        <v>105269</v>
      </c>
      <c r="I516" s="520">
        <f t="shared" ref="I516" si="209">I517+I518+I519</f>
        <v>0</v>
      </c>
      <c r="J516" s="520">
        <f>H516+I516</f>
        <v>105269</v>
      </c>
      <c r="K516" s="331"/>
      <c r="L516" s="861"/>
      <c r="M516" s="861"/>
      <c r="N516" s="861"/>
      <c r="O516" s="331"/>
      <c r="P516" s="521">
        <f t="shared" si="206"/>
        <v>105269</v>
      </c>
      <c r="Q516" s="521">
        <f t="shared" si="207"/>
        <v>0</v>
      </c>
      <c r="R516" s="521">
        <f t="shared" si="207"/>
        <v>105269</v>
      </c>
    </row>
    <row r="517" spans="2:18" x14ac:dyDescent="0.2">
      <c r="B517" s="171">
        <f t="shared" si="194"/>
        <v>161</v>
      </c>
      <c r="C517" s="143"/>
      <c r="D517" s="144"/>
      <c r="E517" s="144"/>
      <c r="F517" s="144" t="s">
        <v>211</v>
      </c>
      <c r="G517" s="199" t="s">
        <v>505</v>
      </c>
      <c r="H517" s="530">
        <f>57940+2150</f>
        <v>60090</v>
      </c>
      <c r="I517" s="530"/>
      <c r="J517" s="530">
        <f>H517+I517</f>
        <v>60090</v>
      </c>
      <c r="K517" s="336"/>
      <c r="L517" s="402"/>
      <c r="M517" s="402"/>
      <c r="N517" s="402"/>
      <c r="O517" s="336"/>
      <c r="P517" s="166">
        <f t="shared" si="206"/>
        <v>60090</v>
      </c>
      <c r="Q517" s="166">
        <f t="shared" si="207"/>
        <v>0</v>
      </c>
      <c r="R517" s="166">
        <f t="shared" si="207"/>
        <v>60090</v>
      </c>
    </row>
    <row r="518" spans="2:18" x14ac:dyDescent="0.2">
      <c r="B518" s="171">
        <f t="shared" si="194"/>
        <v>162</v>
      </c>
      <c r="C518" s="143"/>
      <c r="D518" s="144"/>
      <c r="E518" s="144"/>
      <c r="F518" s="144" t="s">
        <v>212</v>
      </c>
      <c r="G518" s="199" t="s">
        <v>259</v>
      </c>
      <c r="H518" s="530">
        <f>20250+1756</f>
        <v>22006</v>
      </c>
      <c r="I518" s="530"/>
      <c r="J518" s="530">
        <f t="shared" ref="J518:J524" si="210">H518+I518</f>
        <v>22006</v>
      </c>
      <c r="K518" s="336"/>
      <c r="L518" s="402"/>
      <c r="M518" s="402"/>
      <c r="N518" s="402"/>
      <c r="O518" s="336"/>
      <c r="P518" s="166">
        <f t="shared" si="206"/>
        <v>22006</v>
      </c>
      <c r="Q518" s="166">
        <f t="shared" si="207"/>
        <v>0</v>
      </c>
      <c r="R518" s="166">
        <f t="shared" si="207"/>
        <v>22006</v>
      </c>
    </row>
    <row r="519" spans="2:18" x14ac:dyDescent="0.2">
      <c r="B519" s="171">
        <f t="shared" si="194"/>
        <v>163</v>
      </c>
      <c r="C519" s="143"/>
      <c r="D519" s="144"/>
      <c r="E519" s="144"/>
      <c r="F519" s="144" t="s">
        <v>218</v>
      </c>
      <c r="G519" s="199" t="s">
        <v>340</v>
      </c>
      <c r="H519" s="530">
        <f>SUM(H520:H524)</f>
        <v>23173</v>
      </c>
      <c r="I519" s="530"/>
      <c r="J519" s="530">
        <f t="shared" si="210"/>
        <v>23173</v>
      </c>
      <c r="K519" s="336"/>
      <c r="L519" s="402"/>
      <c r="M519" s="402"/>
      <c r="N519" s="402"/>
      <c r="O519" s="336"/>
      <c r="P519" s="166">
        <f t="shared" si="206"/>
        <v>23173</v>
      </c>
      <c r="Q519" s="166">
        <f t="shared" si="207"/>
        <v>0</v>
      </c>
      <c r="R519" s="166">
        <f t="shared" si="207"/>
        <v>23173</v>
      </c>
    </row>
    <row r="520" spans="2:18" x14ac:dyDescent="0.2">
      <c r="B520" s="171">
        <f t="shared" si="194"/>
        <v>164</v>
      </c>
      <c r="C520" s="143"/>
      <c r="D520" s="144"/>
      <c r="E520" s="144"/>
      <c r="F520" s="131" t="s">
        <v>199</v>
      </c>
      <c r="G520" s="194" t="s">
        <v>246</v>
      </c>
      <c r="H520" s="399">
        <f>6345+8461</f>
        <v>14806</v>
      </c>
      <c r="I520" s="399"/>
      <c r="J520" s="399">
        <f t="shared" si="210"/>
        <v>14806</v>
      </c>
      <c r="K520" s="336"/>
      <c r="L520" s="402"/>
      <c r="M520" s="402"/>
      <c r="N520" s="402"/>
      <c r="O520" s="336"/>
      <c r="P520" s="167">
        <f t="shared" si="206"/>
        <v>14806</v>
      </c>
      <c r="Q520" s="167">
        <f t="shared" si="207"/>
        <v>0</v>
      </c>
      <c r="R520" s="167">
        <f t="shared" si="207"/>
        <v>14806</v>
      </c>
    </row>
    <row r="521" spans="2:18" x14ac:dyDescent="0.2">
      <c r="B521" s="171">
        <f t="shared" si="194"/>
        <v>165</v>
      </c>
      <c r="C521" s="143"/>
      <c r="D521" s="144"/>
      <c r="E521" s="144"/>
      <c r="F521" s="131" t="s">
        <v>200</v>
      </c>
      <c r="G521" s="194" t="s">
        <v>247</v>
      </c>
      <c r="H521" s="399">
        <v>4700</v>
      </c>
      <c r="I521" s="399"/>
      <c r="J521" s="399">
        <f t="shared" si="210"/>
        <v>4700</v>
      </c>
      <c r="K521" s="336"/>
      <c r="L521" s="402"/>
      <c r="M521" s="402"/>
      <c r="N521" s="402"/>
      <c r="O521" s="336"/>
      <c r="P521" s="167">
        <f t="shared" si="206"/>
        <v>4700</v>
      </c>
      <c r="Q521" s="167">
        <f t="shared" si="207"/>
        <v>0</v>
      </c>
      <c r="R521" s="167">
        <f t="shared" si="207"/>
        <v>4700</v>
      </c>
    </row>
    <row r="522" spans="2:18" x14ac:dyDescent="0.2">
      <c r="B522" s="171">
        <f t="shared" si="194"/>
        <v>166</v>
      </c>
      <c r="C522" s="143"/>
      <c r="D522" s="144"/>
      <c r="E522" s="144"/>
      <c r="F522" s="131" t="s">
        <v>214</v>
      </c>
      <c r="G522" s="194" t="s">
        <v>261</v>
      </c>
      <c r="H522" s="399">
        <v>1000</v>
      </c>
      <c r="I522" s="399"/>
      <c r="J522" s="399">
        <f t="shared" si="210"/>
        <v>1000</v>
      </c>
      <c r="K522" s="336"/>
      <c r="L522" s="402"/>
      <c r="M522" s="402"/>
      <c r="N522" s="402"/>
      <c r="O522" s="336"/>
      <c r="P522" s="167">
        <f t="shared" si="206"/>
        <v>1000</v>
      </c>
      <c r="Q522" s="167">
        <f t="shared" si="207"/>
        <v>0</v>
      </c>
      <c r="R522" s="167">
        <f t="shared" si="207"/>
        <v>1000</v>
      </c>
    </row>
    <row r="523" spans="2:18" x14ac:dyDescent="0.2">
      <c r="B523" s="171">
        <f t="shared" si="194"/>
        <v>167</v>
      </c>
      <c r="C523" s="143"/>
      <c r="D523" s="144"/>
      <c r="E523" s="144"/>
      <c r="F523" s="131" t="s">
        <v>216</v>
      </c>
      <c r="G523" s="194" t="s">
        <v>248</v>
      </c>
      <c r="H523" s="399">
        <v>2460</v>
      </c>
      <c r="I523" s="399"/>
      <c r="J523" s="399">
        <f t="shared" si="210"/>
        <v>2460</v>
      </c>
      <c r="K523" s="336"/>
      <c r="L523" s="402"/>
      <c r="M523" s="402"/>
      <c r="N523" s="402"/>
      <c r="O523" s="336"/>
      <c r="P523" s="167">
        <f t="shared" si="206"/>
        <v>2460</v>
      </c>
      <c r="Q523" s="167">
        <f t="shared" si="207"/>
        <v>0</v>
      </c>
      <c r="R523" s="167">
        <f t="shared" si="207"/>
        <v>2460</v>
      </c>
    </row>
    <row r="524" spans="2:18" x14ac:dyDescent="0.2">
      <c r="B524" s="171">
        <f t="shared" si="194"/>
        <v>168</v>
      </c>
      <c r="C524" s="143"/>
      <c r="D524" s="165"/>
      <c r="E524" s="165"/>
      <c r="F524" s="169" t="s">
        <v>218</v>
      </c>
      <c r="G524" s="194" t="s">
        <v>791</v>
      </c>
      <c r="H524" s="430">
        <v>207</v>
      </c>
      <c r="I524" s="430"/>
      <c r="J524" s="530">
        <f t="shared" si="210"/>
        <v>207</v>
      </c>
      <c r="K524" s="336"/>
      <c r="L524" s="530"/>
      <c r="M524" s="530"/>
      <c r="N524" s="530"/>
      <c r="O524" s="341"/>
      <c r="P524" s="168">
        <f t="shared" si="206"/>
        <v>207</v>
      </c>
      <c r="Q524" s="168">
        <f t="shared" si="207"/>
        <v>0</v>
      </c>
      <c r="R524" s="168">
        <f t="shared" si="207"/>
        <v>207</v>
      </c>
    </row>
    <row r="525" spans="2:18" ht="15" x14ac:dyDescent="0.25">
      <c r="B525" s="171">
        <f t="shared" si="194"/>
        <v>169</v>
      </c>
      <c r="C525" s="76"/>
      <c r="D525" s="265">
        <v>2</v>
      </c>
      <c r="E525" s="265"/>
      <c r="F525" s="265" t="s">
        <v>365</v>
      </c>
      <c r="G525" s="266"/>
      <c r="H525" s="427">
        <f>H526+H537</f>
        <v>1090554</v>
      </c>
      <c r="I525" s="427">
        <f t="shared" ref="I525" si="211">I526+I537</f>
        <v>0</v>
      </c>
      <c r="J525" s="427">
        <f>H525+I525</f>
        <v>1090554</v>
      </c>
      <c r="K525" s="333"/>
      <c r="L525" s="862"/>
      <c r="M525" s="862"/>
      <c r="N525" s="862"/>
      <c r="O525" s="333"/>
      <c r="P525" s="338">
        <f t="shared" si="206"/>
        <v>1090554</v>
      </c>
      <c r="Q525" s="338">
        <f t="shared" si="207"/>
        <v>0</v>
      </c>
      <c r="R525" s="338">
        <f t="shared" si="207"/>
        <v>1090554</v>
      </c>
    </row>
    <row r="526" spans="2:18" ht="14.25" x14ac:dyDescent="0.2">
      <c r="B526" s="171">
        <f t="shared" si="194"/>
        <v>170</v>
      </c>
      <c r="C526" s="76"/>
      <c r="D526" s="516"/>
      <c r="E526" s="522" t="s">
        <v>428</v>
      </c>
      <c r="F526" s="519" t="s">
        <v>687</v>
      </c>
      <c r="G526" s="518"/>
      <c r="H526" s="520">
        <f>H527+H528+H529+H536</f>
        <v>399510</v>
      </c>
      <c r="I526" s="520">
        <f t="shared" ref="I526" si="212">I527+I528+I529+I536</f>
        <v>0</v>
      </c>
      <c r="J526" s="520">
        <f>H526+I526</f>
        <v>399510</v>
      </c>
      <c r="K526" s="333"/>
      <c r="L526" s="861"/>
      <c r="M526" s="861"/>
      <c r="N526" s="861"/>
      <c r="O526" s="333"/>
      <c r="P526" s="521">
        <f t="shared" si="206"/>
        <v>399510</v>
      </c>
      <c r="Q526" s="521">
        <f t="shared" si="207"/>
        <v>0</v>
      </c>
      <c r="R526" s="521">
        <f t="shared" si="207"/>
        <v>399510</v>
      </c>
    </row>
    <row r="527" spans="2:18" x14ac:dyDescent="0.2">
      <c r="B527" s="171">
        <f t="shared" si="194"/>
        <v>171</v>
      </c>
      <c r="C527" s="143"/>
      <c r="D527" s="131"/>
      <c r="E527" s="144"/>
      <c r="F527" s="144" t="s">
        <v>211</v>
      </c>
      <c r="G527" s="199" t="s">
        <v>505</v>
      </c>
      <c r="H527" s="530">
        <f>244146-2572</f>
        <v>241574</v>
      </c>
      <c r="I527" s="530"/>
      <c r="J527" s="530">
        <f>H527+I527</f>
        <v>241574</v>
      </c>
      <c r="K527" s="336"/>
      <c r="L527" s="402"/>
      <c r="M527" s="402"/>
      <c r="N527" s="402"/>
      <c r="O527" s="336"/>
      <c r="P527" s="166">
        <f t="shared" si="206"/>
        <v>241574</v>
      </c>
      <c r="Q527" s="166">
        <f t="shared" si="207"/>
        <v>0</v>
      </c>
      <c r="R527" s="166">
        <f t="shared" si="207"/>
        <v>241574</v>
      </c>
    </row>
    <row r="528" spans="2:18" x14ac:dyDescent="0.2">
      <c r="B528" s="171">
        <f t="shared" si="194"/>
        <v>172</v>
      </c>
      <c r="C528" s="143"/>
      <c r="D528" s="131"/>
      <c r="E528" s="144"/>
      <c r="F528" s="144" t="s">
        <v>212</v>
      </c>
      <c r="G528" s="199" t="s">
        <v>259</v>
      </c>
      <c r="H528" s="530">
        <f>85440-898</f>
        <v>84542</v>
      </c>
      <c r="I528" s="530"/>
      <c r="J528" s="530">
        <f t="shared" ref="J528:J536" si="213">H528+I528</f>
        <v>84542</v>
      </c>
      <c r="K528" s="336"/>
      <c r="L528" s="402"/>
      <c r="M528" s="402"/>
      <c r="N528" s="402"/>
      <c r="O528" s="336"/>
      <c r="P528" s="166">
        <f t="shared" si="206"/>
        <v>84542</v>
      </c>
      <c r="Q528" s="166">
        <f t="shared" si="207"/>
        <v>0</v>
      </c>
      <c r="R528" s="166">
        <f t="shared" si="207"/>
        <v>84542</v>
      </c>
    </row>
    <row r="529" spans="2:18" x14ac:dyDescent="0.2">
      <c r="B529" s="171">
        <f t="shared" si="194"/>
        <v>173</v>
      </c>
      <c r="C529" s="143"/>
      <c r="D529" s="131"/>
      <c r="E529" s="144"/>
      <c r="F529" s="144" t="s">
        <v>218</v>
      </c>
      <c r="G529" s="199" t="s">
        <v>340</v>
      </c>
      <c r="H529" s="530">
        <f>SUM(H530:H535)</f>
        <v>69754</v>
      </c>
      <c r="I529" s="530"/>
      <c r="J529" s="530">
        <f t="shared" si="213"/>
        <v>69754</v>
      </c>
      <c r="K529" s="336"/>
      <c r="L529" s="402"/>
      <c r="M529" s="402"/>
      <c r="N529" s="402"/>
      <c r="O529" s="336"/>
      <c r="P529" s="166">
        <f t="shared" si="206"/>
        <v>69754</v>
      </c>
      <c r="Q529" s="166">
        <f t="shared" si="207"/>
        <v>0</v>
      </c>
      <c r="R529" s="166">
        <f t="shared" si="207"/>
        <v>69754</v>
      </c>
    </row>
    <row r="530" spans="2:18" x14ac:dyDescent="0.2">
      <c r="B530" s="171">
        <f t="shared" si="194"/>
        <v>174</v>
      </c>
      <c r="C530" s="130"/>
      <c r="D530" s="131"/>
      <c r="E530" s="131"/>
      <c r="F530" s="131" t="s">
        <v>213</v>
      </c>
      <c r="G530" s="194" t="s">
        <v>255</v>
      </c>
      <c r="H530" s="399">
        <v>16</v>
      </c>
      <c r="I530" s="399"/>
      <c r="J530" s="399">
        <f t="shared" si="213"/>
        <v>16</v>
      </c>
      <c r="K530" s="339"/>
      <c r="L530" s="434"/>
      <c r="M530" s="434"/>
      <c r="N530" s="434"/>
      <c r="O530" s="339"/>
      <c r="P530" s="167">
        <f t="shared" si="206"/>
        <v>16</v>
      </c>
      <c r="Q530" s="167">
        <f t="shared" ref="Q530:R545" si="214">I530+M530</f>
        <v>0</v>
      </c>
      <c r="R530" s="167">
        <f t="shared" si="214"/>
        <v>16</v>
      </c>
    </row>
    <row r="531" spans="2:18" x14ac:dyDescent="0.2">
      <c r="B531" s="171">
        <f t="shared" si="194"/>
        <v>175</v>
      </c>
      <c r="C531" s="130"/>
      <c r="D531" s="131"/>
      <c r="E531" s="131"/>
      <c r="F531" s="131" t="s">
        <v>199</v>
      </c>
      <c r="G531" s="194" t="s">
        <v>318</v>
      </c>
      <c r="H531" s="399">
        <v>44016</v>
      </c>
      <c r="I531" s="399"/>
      <c r="J531" s="399">
        <f t="shared" si="213"/>
        <v>44016</v>
      </c>
      <c r="K531" s="339"/>
      <c r="L531" s="434"/>
      <c r="M531" s="434"/>
      <c r="N531" s="434"/>
      <c r="O531" s="339"/>
      <c r="P531" s="167">
        <f t="shared" si="206"/>
        <v>44016</v>
      </c>
      <c r="Q531" s="167">
        <f t="shared" si="214"/>
        <v>0</v>
      </c>
      <c r="R531" s="167">
        <f t="shared" si="214"/>
        <v>44016</v>
      </c>
    </row>
    <row r="532" spans="2:18" x14ac:dyDescent="0.2">
      <c r="B532" s="171">
        <f t="shared" si="194"/>
        <v>176</v>
      </c>
      <c r="C532" s="130"/>
      <c r="D532" s="131"/>
      <c r="E532" s="131"/>
      <c r="F532" s="131" t="s">
        <v>200</v>
      </c>
      <c r="G532" s="194" t="s">
        <v>247</v>
      </c>
      <c r="H532" s="399">
        <v>11390</v>
      </c>
      <c r="I532" s="399"/>
      <c r="J532" s="399">
        <f t="shared" si="213"/>
        <v>11390</v>
      </c>
      <c r="K532" s="339"/>
      <c r="L532" s="434"/>
      <c r="M532" s="434"/>
      <c r="N532" s="434"/>
      <c r="O532" s="339"/>
      <c r="P532" s="167">
        <f t="shared" si="206"/>
        <v>11390</v>
      </c>
      <c r="Q532" s="167">
        <f t="shared" si="214"/>
        <v>0</v>
      </c>
      <c r="R532" s="167">
        <f t="shared" si="214"/>
        <v>11390</v>
      </c>
    </row>
    <row r="533" spans="2:18" x14ac:dyDescent="0.2">
      <c r="B533" s="171">
        <f t="shared" si="194"/>
        <v>177</v>
      </c>
      <c r="C533" s="143"/>
      <c r="D533" s="131"/>
      <c r="E533" s="146"/>
      <c r="F533" s="131" t="s">
        <v>201</v>
      </c>
      <c r="G533" s="194" t="s">
        <v>366</v>
      </c>
      <c r="H533" s="399">
        <v>10</v>
      </c>
      <c r="I533" s="399"/>
      <c r="J533" s="399">
        <f t="shared" si="213"/>
        <v>10</v>
      </c>
      <c r="K533" s="336"/>
      <c r="L533" s="402"/>
      <c r="M533" s="402"/>
      <c r="N533" s="402"/>
      <c r="O533" s="336"/>
      <c r="P533" s="167">
        <f t="shared" si="206"/>
        <v>10</v>
      </c>
      <c r="Q533" s="167">
        <f t="shared" si="214"/>
        <v>0</v>
      </c>
      <c r="R533" s="167">
        <f t="shared" si="214"/>
        <v>10</v>
      </c>
    </row>
    <row r="534" spans="2:18" x14ac:dyDescent="0.2">
      <c r="B534" s="171">
        <f t="shared" si="194"/>
        <v>178</v>
      </c>
      <c r="C534" s="76"/>
      <c r="D534" s="131"/>
      <c r="E534" s="146"/>
      <c r="F534" s="131" t="s">
        <v>214</v>
      </c>
      <c r="G534" s="194" t="s">
        <v>261</v>
      </c>
      <c r="H534" s="399">
        <f>1532+4304</f>
        <v>5836</v>
      </c>
      <c r="I534" s="399"/>
      <c r="J534" s="399">
        <f t="shared" si="213"/>
        <v>5836</v>
      </c>
      <c r="K534" s="339"/>
      <c r="L534" s="434"/>
      <c r="M534" s="434"/>
      <c r="N534" s="434"/>
      <c r="O534" s="339"/>
      <c r="P534" s="167">
        <f t="shared" si="206"/>
        <v>5836</v>
      </c>
      <c r="Q534" s="167">
        <f t="shared" si="214"/>
        <v>0</v>
      </c>
      <c r="R534" s="167">
        <f t="shared" si="214"/>
        <v>5836</v>
      </c>
    </row>
    <row r="535" spans="2:18" x14ac:dyDescent="0.2">
      <c r="B535" s="171">
        <f t="shared" si="194"/>
        <v>179</v>
      </c>
      <c r="C535" s="130"/>
      <c r="D535" s="131"/>
      <c r="E535" s="146"/>
      <c r="F535" s="131" t="s">
        <v>216</v>
      </c>
      <c r="G535" s="194" t="s">
        <v>248</v>
      </c>
      <c r="H535" s="399">
        <v>8486</v>
      </c>
      <c r="I535" s="399"/>
      <c r="J535" s="399">
        <f t="shared" si="213"/>
        <v>8486</v>
      </c>
      <c r="K535" s="339"/>
      <c r="L535" s="434"/>
      <c r="M535" s="434"/>
      <c r="N535" s="434"/>
      <c r="O535" s="339"/>
      <c r="P535" s="167">
        <f t="shared" si="206"/>
        <v>8486</v>
      </c>
      <c r="Q535" s="167">
        <f t="shared" si="214"/>
        <v>0</v>
      </c>
      <c r="R535" s="167">
        <f t="shared" si="214"/>
        <v>8486</v>
      </c>
    </row>
    <row r="536" spans="2:18" x14ac:dyDescent="0.2">
      <c r="B536" s="171">
        <f t="shared" si="194"/>
        <v>180</v>
      </c>
      <c r="C536" s="130"/>
      <c r="D536" s="131"/>
      <c r="E536" s="436"/>
      <c r="F536" s="284" t="s">
        <v>217</v>
      </c>
      <c r="G536" s="199" t="s">
        <v>371</v>
      </c>
      <c r="H536" s="530">
        <f>3440+200</f>
        <v>3640</v>
      </c>
      <c r="I536" s="530"/>
      <c r="J536" s="530">
        <f t="shared" si="213"/>
        <v>3640</v>
      </c>
      <c r="K536" s="340"/>
      <c r="L536" s="399"/>
      <c r="M536" s="399"/>
      <c r="N536" s="399"/>
      <c r="O536" s="340"/>
      <c r="P536" s="531">
        <f t="shared" si="206"/>
        <v>3640</v>
      </c>
      <c r="Q536" s="531">
        <f t="shared" si="214"/>
        <v>0</v>
      </c>
      <c r="R536" s="531">
        <f t="shared" si="214"/>
        <v>3640</v>
      </c>
    </row>
    <row r="537" spans="2:18" ht="14.25" x14ac:dyDescent="0.2">
      <c r="B537" s="171">
        <f t="shared" si="194"/>
        <v>181</v>
      </c>
      <c r="C537" s="130"/>
      <c r="D537" s="131"/>
      <c r="E537" s="522" t="s">
        <v>685</v>
      </c>
      <c r="F537" s="519" t="s">
        <v>686</v>
      </c>
      <c r="G537" s="516"/>
      <c r="H537" s="523">
        <f>H538+H539+H540+H548</f>
        <v>691044</v>
      </c>
      <c r="I537" s="523">
        <f t="shared" ref="I537" si="215">I538+I539+I540+I548</f>
        <v>0</v>
      </c>
      <c r="J537" s="523">
        <f>H537+I537</f>
        <v>691044</v>
      </c>
      <c r="K537" s="339"/>
      <c r="L537" s="861"/>
      <c r="M537" s="861"/>
      <c r="N537" s="861"/>
      <c r="O537" s="339"/>
      <c r="P537" s="521">
        <f t="shared" si="206"/>
        <v>691044</v>
      </c>
      <c r="Q537" s="521">
        <f t="shared" si="214"/>
        <v>0</v>
      </c>
      <c r="R537" s="521">
        <f t="shared" si="214"/>
        <v>691044</v>
      </c>
    </row>
    <row r="538" spans="2:18" x14ac:dyDescent="0.2">
      <c r="B538" s="171">
        <f t="shared" si="194"/>
        <v>182</v>
      </c>
      <c r="C538" s="130"/>
      <c r="D538" s="131"/>
      <c r="E538" s="165"/>
      <c r="F538" s="144" t="s">
        <v>211</v>
      </c>
      <c r="G538" s="199" t="s">
        <v>505</v>
      </c>
      <c r="H538" s="462">
        <f>375019+8890-3858</f>
        <v>380051</v>
      </c>
      <c r="I538" s="462"/>
      <c r="J538" s="462">
        <f>H538+I538</f>
        <v>380051</v>
      </c>
      <c r="K538" s="339"/>
      <c r="L538" s="399"/>
      <c r="M538" s="399"/>
      <c r="N538" s="399"/>
      <c r="O538" s="339"/>
      <c r="P538" s="531">
        <f t="shared" si="206"/>
        <v>380051</v>
      </c>
      <c r="Q538" s="531">
        <f t="shared" si="214"/>
        <v>0</v>
      </c>
      <c r="R538" s="531">
        <f t="shared" si="214"/>
        <v>380051</v>
      </c>
    </row>
    <row r="539" spans="2:18" x14ac:dyDescent="0.2">
      <c r="B539" s="171">
        <f t="shared" si="194"/>
        <v>183</v>
      </c>
      <c r="C539" s="130"/>
      <c r="D539" s="131"/>
      <c r="E539" s="165"/>
      <c r="F539" s="144" t="s">
        <v>212</v>
      </c>
      <c r="G539" s="199" t="s">
        <v>259</v>
      </c>
      <c r="H539" s="462">
        <f>131260+3110-1348</f>
        <v>133022</v>
      </c>
      <c r="I539" s="462"/>
      <c r="J539" s="462">
        <f t="shared" ref="J539:J548" si="216">H539+I539</f>
        <v>133022</v>
      </c>
      <c r="K539" s="339"/>
      <c r="L539" s="399"/>
      <c r="M539" s="399"/>
      <c r="N539" s="399"/>
      <c r="O539" s="339"/>
      <c r="P539" s="531">
        <f t="shared" si="206"/>
        <v>133022</v>
      </c>
      <c r="Q539" s="531">
        <f t="shared" si="214"/>
        <v>0</v>
      </c>
      <c r="R539" s="531">
        <f t="shared" si="214"/>
        <v>133022</v>
      </c>
    </row>
    <row r="540" spans="2:18" x14ac:dyDescent="0.2">
      <c r="B540" s="171">
        <f t="shared" si="194"/>
        <v>184</v>
      </c>
      <c r="C540" s="130"/>
      <c r="D540" s="131"/>
      <c r="E540" s="165"/>
      <c r="F540" s="144" t="s">
        <v>218</v>
      </c>
      <c r="G540" s="199" t="s">
        <v>340</v>
      </c>
      <c r="H540" s="530">
        <f>SUM(H541:H547)</f>
        <v>172511</v>
      </c>
      <c r="I540" s="530"/>
      <c r="J540" s="462">
        <f t="shared" si="216"/>
        <v>172511</v>
      </c>
      <c r="K540" s="339"/>
      <c r="L540" s="399"/>
      <c r="M540" s="399"/>
      <c r="N540" s="399"/>
      <c r="O540" s="339"/>
      <c r="P540" s="531">
        <f t="shared" si="206"/>
        <v>172511</v>
      </c>
      <c r="Q540" s="531">
        <f t="shared" si="214"/>
        <v>0</v>
      </c>
      <c r="R540" s="531">
        <f t="shared" si="214"/>
        <v>172511</v>
      </c>
    </row>
    <row r="541" spans="2:18" x14ac:dyDescent="0.2">
      <c r="B541" s="171">
        <f t="shared" si="194"/>
        <v>185</v>
      </c>
      <c r="C541" s="130"/>
      <c r="D541" s="131"/>
      <c r="E541" s="165"/>
      <c r="F541" s="131" t="s">
        <v>213</v>
      </c>
      <c r="G541" s="194" t="s">
        <v>255</v>
      </c>
      <c r="H541" s="430">
        <v>24</v>
      </c>
      <c r="I541" s="430"/>
      <c r="J541" s="430">
        <f t="shared" si="216"/>
        <v>24</v>
      </c>
      <c r="K541" s="339"/>
      <c r="L541" s="399"/>
      <c r="M541" s="399"/>
      <c r="N541" s="399"/>
      <c r="O541" s="339"/>
      <c r="P541" s="168">
        <f t="shared" si="206"/>
        <v>24</v>
      </c>
      <c r="Q541" s="168">
        <f t="shared" si="214"/>
        <v>0</v>
      </c>
      <c r="R541" s="168">
        <f t="shared" si="214"/>
        <v>24</v>
      </c>
    </row>
    <row r="542" spans="2:18" x14ac:dyDescent="0.2">
      <c r="B542" s="171">
        <f t="shared" si="194"/>
        <v>186</v>
      </c>
      <c r="C542" s="130"/>
      <c r="D542" s="131"/>
      <c r="E542" s="165"/>
      <c r="F542" s="131" t="s">
        <v>199</v>
      </c>
      <c r="G542" s="194" t="s">
        <v>318</v>
      </c>
      <c r="H542" s="430">
        <v>122099</v>
      </c>
      <c r="I542" s="430"/>
      <c r="J542" s="430">
        <f t="shared" si="216"/>
        <v>122099</v>
      </c>
      <c r="K542" s="339"/>
      <c r="L542" s="399"/>
      <c r="M542" s="399"/>
      <c r="N542" s="399"/>
      <c r="O542" s="339"/>
      <c r="P542" s="168">
        <f t="shared" si="206"/>
        <v>122099</v>
      </c>
      <c r="Q542" s="168">
        <f t="shared" si="214"/>
        <v>0</v>
      </c>
      <c r="R542" s="168">
        <f t="shared" si="214"/>
        <v>122099</v>
      </c>
    </row>
    <row r="543" spans="2:18" x14ac:dyDescent="0.2">
      <c r="B543" s="171">
        <f t="shared" si="194"/>
        <v>187</v>
      </c>
      <c r="C543" s="130"/>
      <c r="D543" s="131"/>
      <c r="E543" s="165"/>
      <c r="F543" s="131" t="s">
        <v>200</v>
      </c>
      <c r="G543" s="194" t="s">
        <v>247</v>
      </c>
      <c r="H543" s="430">
        <v>17085</v>
      </c>
      <c r="I543" s="430"/>
      <c r="J543" s="430">
        <f t="shared" si="216"/>
        <v>17085</v>
      </c>
      <c r="K543" s="339"/>
      <c r="L543" s="399"/>
      <c r="M543" s="399"/>
      <c r="N543" s="399"/>
      <c r="O543" s="339"/>
      <c r="P543" s="168">
        <f t="shared" si="206"/>
        <v>17085</v>
      </c>
      <c r="Q543" s="168">
        <f t="shared" si="214"/>
        <v>0</v>
      </c>
      <c r="R543" s="168">
        <f t="shared" si="214"/>
        <v>17085</v>
      </c>
    </row>
    <row r="544" spans="2:18" x14ac:dyDescent="0.2">
      <c r="B544" s="171">
        <f t="shared" si="194"/>
        <v>188</v>
      </c>
      <c r="C544" s="130"/>
      <c r="D544" s="131"/>
      <c r="E544" s="165"/>
      <c r="F544" s="131" t="s">
        <v>201</v>
      </c>
      <c r="G544" s="194" t="s">
        <v>366</v>
      </c>
      <c r="H544" s="430">
        <v>15</v>
      </c>
      <c r="I544" s="430"/>
      <c r="J544" s="430">
        <f t="shared" si="216"/>
        <v>15</v>
      </c>
      <c r="K544" s="339"/>
      <c r="L544" s="399"/>
      <c r="M544" s="399"/>
      <c r="N544" s="399"/>
      <c r="O544" s="339"/>
      <c r="P544" s="168">
        <f t="shared" si="206"/>
        <v>15</v>
      </c>
      <c r="Q544" s="168">
        <f t="shared" si="214"/>
        <v>0</v>
      </c>
      <c r="R544" s="168">
        <f t="shared" si="214"/>
        <v>15</v>
      </c>
    </row>
    <row r="545" spans="2:18" x14ac:dyDescent="0.2">
      <c r="B545" s="171">
        <f t="shared" si="194"/>
        <v>189</v>
      </c>
      <c r="C545" s="130"/>
      <c r="D545" s="131"/>
      <c r="E545" s="165"/>
      <c r="F545" s="131" t="s">
        <v>214</v>
      </c>
      <c r="G545" s="194" t="s">
        <v>261</v>
      </c>
      <c r="H545" s="430">
        <f>4498+6455</f>
        <v>10953</v>
      </c>
      <c r="I545" s="430"/>
      <c r="J545" s="430">
        <f t="shared" si="216"/>
        <v>10953</v>
      </c>
      <c r="K545" s="339"/>
      <c r="L545" s="399"/>
      <c r="M545" s="399"/>
      <c r="N545" s="399"/>
      <c r="O545" s="339"/>
      <c r="P545" s="168">
        <f t="shared" si="206"/>
        <v>10953</v>
      </c>
      <c r="Q545" s="168">
        <f t="shared" si="214"/>
        <v>0</v>
      </c>
      <c r="R545" s="168">
        <f t="shared" si="214"/>
        <v>10953</v>
      </c>
    </row>
    <row r="546" spans="2:18" x14ac:dyDescent="0.2">
      <c r="B546" s="171">
        <f t="shared" si="194"/>
        <v>190</v>
      </c>
      <c r="C546" s="130"/>
      <c r="D546" s="131"/>
      <c r="E546" s="165"/>
      <c r="F546" s="131" t="s">
        <v>216</v>
      </c>
      <c r="G546" s="194" t="s">
        <v>248</v>
      </c>
      <c r="H546" s="430">
        <v>22329</v>
      </c>
      <c r="I546" s="430"/>
      <c r="J546" s="430">
        <f t="shared" si="216"/>
        <v>22329</v>
      </c>
      <c r="K546" s="339"/>
      <c r="L546" s="399"/>
      <c r="M546" s="399"/>
      <c r="N546" s="399"/>
      <c r="O546" s="339"/>
      <c r="P546" s="168">
        <f t="shared" ref="P546:P577" si="217">H546+L546</f>
        <v>22329</v>
      </c>
      <c r="Q546" s="168">
        <f t="shared" ref="Q546:R561" si="218">I546+M546</f>
        <v>0</v>
      </c>
      <c r="R546" s="168">
        <f t="shared" si="218"/>
        <v>22329</v>
      </c>
    </row>
    <row r="547" spans="2:18" x14ac:dyDescent="0.2">
      <c r="B547" s="171">
        <f t="shared" si="194"/>
        <v>191</v>
      </c>
      <c r="C547" s="130"/>
      <c r="D547" s="131"/>
      <c r="E547" s="165"/>
      <c r="F547" s="169" t="s">
        <v>218</v>
      </c>
      <c r="G547" s="194" t="s">
        <v>791</v>
      </c>
      <c r="H547" s="430">
        <v>6</v>
      </c>
      <c r="I547" s="430"/>
      <c r="J547" s="430">
        <f t="shared" si="216"/>
        <v>6</v>
      </c>
      <c r="K547" s="339"/>
      <c r="L547" s="399"/>
      <c r="M547" s="399"/>
      <c r="N547" s="399"/>
      <c r="O547" s="339"/>
      <c r="P547" s="168">
        <f t="shared" si="217"/>
        <v>6</v>
      </c>
      <c r="Q547" s="168">
        <f t="shared" si="218"/>
        <v>0</v>
      </c>
      <c r="R547" s="168">
        <f t="shared" si="218"/>
        <v>6</v>
      </c>
    </row>
    <row r="548" spans="2:18" x14ac:dyDescent="0.2">
      <c r="B548" s="171">
        <f t="shared" si="194"/>
        <v>192</v>
      </c>
      <c r="C548" s="130"/>
      <c r="D548" s="131"/>
      <c r="E548" s="165"/>
      <c r="F548" s="284" t="s">
        <v>217</v>
      </c>
      <c r="G548" s="199" t="s">
        <v>371</v>
      </c>
      <c r="H548" s="462">
        <f>5160+300</f>
        <v>5460</v>
      </c>
      <c r="I548" s="462"/>
      <c r="J548" s="462">
        <f t="shared" si="216"/>
        <v>5460</v>
      </c>
      <c r="K548" s="339"/>
      <c r="L548" s="399"/>
      <c r="M548" s="399"/>
      <c r="N548" s="399"/>
      <c r="O548" s="339"/>
      <c r="P548" s="531">
        <f t="shared" si="217"/>
        <v>5460</v>
      </c>
      <c r="Q548" s="531">
        <f t="shared" si="218"/>
        <v>0</v>
      </c>
      <c r="R548" s="531">
        <f t="shared" si="218"/>
        <v>5460</v>
      </c>
    </row>
    <row r="549" spans="2:18" ht="15" x14ac:dyDescent="0.25">
      <c r="B549" s="171">
        <f t="shared" si="194"/>
        <v>193</v>
      </c>
      <c r="C549" s="143"/>
      <c r="D549" s="260" t="s">
        <v>6</v>
      </c>
      <c r="E549" s="265" t="s">
        <v>429</v>
      </c>
      <c r="F549" s="265" t="s">
        <v>367</v>
      </c>
      <c r="G549" s="266"/>
      <c r="H549" s="427">
        <f>H550+H560</f>
        <v>1341347</v>
      </c>
      <c r="I549" s="427">
        <f t="shared" ref="I549" si="219">I550+I560</f>
        <v>0</v>
      </c>
      <c r="J549" s="427">
        <f>H549+I549</f>
        <v>1341347</v>
      </c>
      <c r="K549" s="334"/>
      <c r="L549" s="426"/>
      <c r="M549" s="426"/>
      <c r="N549" s="426"/>
      <c r="O549" s="334"/>
      <c r="P549" s="345">
        <f t="shared" si="217"/>
        <v>1341347</v>
      </c>
      <c r="Q549" s="345">
        <f t="shared" si="218"/>
        <v>0</v>
      </c>
      <c r="R549" s="345">
        <f t="shared" si="218"/>
        <v>1341347</v>
      </c>
    </row>
    <row r="550" spans="2:18" ht="14.25" x14ac:dyDescent="0.2">
      <c r="B550" s="171">
        <f t="shared" si="194"/>
        <v>194</v>
      </c>
      <c r="C550" s="76"/>
      <c r="D550" s="516"/>
      <c r="E550" s="522" t="s">
        <v>428</v>
      </c>
      <c r="F550" s="519" t="s">
        <v>687</v>
      </c>
      <c r="G550" s="518"/>
      <c r="H550" s="520">
        <f>H551+H552+H553+H559</f>
        <v>514731</v>
      </c>
      <c r="I550" s="520">
        <f t="shared" ref="I550" si="220">I551+I552+I553+I559</f>
        <v>0</v>
      </c>
      <c r="J550" s="520">
        <f>H550+I550</f>
        <v>514731</v>
      </c>
      <c r="K550" s="333"/>
      <c r="L550" s="861"/>
      <c r="M550" s="861"/>
      <c r="N550" s="861"/>
      <c r="O550" s="333"/>
      <c r="P550" s="521">
        <f t="shared" si="217"/>
        <v>514731</v>
      </c>
      <c r="Q550" s="521">
        <f t="shared" si="218"/>
        <v>0</v>
      </c>
      <c r="R550" s="521">
        <f t="shared" si="218"/>
        <v>514731</v>
      </c>
    </row>
    <row r="551" spans="2:18" x14ac:dyDescent="0.2">
      <c r="B551" s="171">
        <f t="shared" si="194"/>
        <v>195</v>
      </c>
      <c r="C551" s="143"/>
      <c r="D551" s="144"/>
      <c r="E551" s="144"/>
      <c r="F551" s="144" t="s">
        <v>211</v>
      </c>
      <c r="G551" s="199" t="s">
        <v>505</v>
      </c>
      <c r="H551" s="530">
        <f>298656+14480</f>
        <v>313136</v>
      </c>
      <c r="I551" s="530"/>
      <c r="J551" s="530">
        <f>H551+I551</f>
        <v>313136</v>
      </c>
      <c r="K551" s="336"/>
      <c r="L551" s="402"/>
      <c r="M551" s="402"/>
      <c r="N551" s="402"/>
      <c r="O551" s="336"/>
      <c r="P551" s="531">
        <f t="shared" si="217"/>
        <v>313136</v>
      </c>
      <c r="Q551" s="531">
        <f t="shared" si="218"/>
        <v>0</v>
      </c>
      <c r="R551" s="531">
        <f t="shared" si="218"/>
        <v>313136</v>
      </c>
    </row>
    <row r="552" spans="2:18" x14ac:dyDescent="0.2">
      <c r="B552" s="171">
        <f t="shared" ref="B552:B615" si="221">B551+1</f>
        <v>196</v>
      </c>
      <c r="C552" s="143"/>
      <c r="D552" s="144"/>
      <c r="E552" s="144"/>
      <c r="F552" s="144" t="s">
        <v>212</v>
      </c>
      <c r="G552" s="199" t="s">
        <v>259</v>
      </c>
      <c r="H552" s="530">
        <f>104530+5028</f>
        <v>109558</v>
      </c>
      <c r="I552" s="530"/>
      <c r="J552" s="530">
        <f t="shared" ref="J552:J559" si="222">H552+I552</f>
        <v>109558</v>
      </c>
      <c r="K552" s="336"/>
      <c r="L552" s="402"/>
      <c r="M552" s="402"/>
      <c r="N552" s="402"/>
      <c r="O552" s="336"/>
      <c r="P552" s="166">
        <f t="shared" si="217"/>
        <v>109558</v>
      </c>
      <c r="Q552" s="166">
        <f t="shared" si="218"/>
        <v>0</v>
      </c>
      <c r="R552" s="166">
        <f t="shared" si="218"/>
        <v>109558</v>
      </c>
    </row>
    <row r="553" spans="2:18" x14ac:dyDescent="0.2">
      <c r="B553" s="171">
        <f t="shared" si="221"/>
        <v>197</v>
      </c>
      <c r="C553" s="130"/>
      <c r="D553" s="131"/>
      <c r="E553" s="131"/>
      <c r="F553" s="144" t="s">
        <v>218</v>
      </c>
      <c r="G553" s="199" t="s">
        <v>340</v>
      </c>
      <c r="H553" s="530">
        <f>SUM(H554:H558)</f>
        <v>88647</v>
      </c>
      <c r="I553" s="530"/>
      <c r="J553" s="530">
        <f t="shared" si="222"/>
        <v>88647</v>
      </c>
      <c r="K553" s="339"/>
      <c r="L553" s="434"/>
      <c r="M553" s="434"/>
      <c r="N553" s="434"/>
      <c r="O553" s="339"/>
      <c r="P553" s="166">
        <f t="shared" si="217"/>
        <v>88647</v>
      </c>
      <c r="Q553" s="166">
        <f t="shared" si="218"/>
        <v>0</v>
      </c>
      <c r="R553" s="166">
        <f t="shared" si="218"/>
        <v>88647</v>
      </c>
    </row>
    <row r="554" spans="2:18" x14ac:dyDescent="0.2">
      <c r="B554" s="171">
        <f t="shared" si="221"/>
        <v>198</v>
      </c>
      <c r="C554" s="130"/>
      <c r="D554" s="131"/>
      <c r="E554" s="131"/>
      <c r="F554" s="131" t="s">
        <v>213</v>
      </c>
      <c r="G554" s="194" t="s">
        <v>255</v>
      </c>
      <c r="H554" s="399">
        <v>20</v>
      </c>
      <c r="I554" s="399"/>
      <c r="J554" s="399">
        <f t="shared" si="222"/>
        <v>20</v>
      </c>
      <c r="K554" s="339"/>
      <c r="L554" s="434"/>
      <c r="M554" s="434"/>
      <c r="N554" s="434"/>
      <c r="O554" s="339"/>
      <c r="P554" s="167">
        <f t="shared" si="217"/>
        <v>20</v>
      </c>
      <c r="Q554" s="167">
        <f t="shared" si="218"/>
        <v>0</v>
      </c>
      <c r="R554" s="167">
        <f t="shared" si="218"/>
        <v>20</v>
      </c>
    </row>
    <row r="555" spans="2:18" x14ac:dyDescent="0.2">
      <c r="B555" s="171">
        <f t="shared" si="221"/>
        <v>199</v>
      </c>
      <c r="C555" s="130"/>
      <c r="D555" s="131"/>
      <c r="E555" s="131"/>
      <c r="F555" s="131" t="s">
        <v>199</v>
      </c>
      <c r="G555" s="194" t="s">
        <v>318</v>
      </c>
      <c r="H555" s="399">
        <f>48376+10517</f>
        <v>58893</v>
      </c>
      <c r="I555" s="399"/>
      <c r="J555" s="399">
        <f t="shared" si="222"/>
        <v>58893</v>
      </c>
      <c r="K555" s="339"/>
      <c r="L555" s="434"/>
      <c r="M555" s="434"/>
      <c r="N555" s="434"/>
      <c r="O555" s="339"/>
      <c r="P555" s="167">
        <f t="shared" si="217"/>
        <v>58893</v>
      </c>
      <c r="Q555" s="167">
        <f t="shared" si="218"/>
        <v>0</v>
      </c>
      <c r="R555" s="167">
        <f t="shared" si="218"/>
        <v>58893</v>
      </c>
    </row>
    <row r="556" spans="2:18" x14ac:dyDescent="0.2">
      <c r="B556" s="171">
        <f t="shared" si="221"/>
        <v>200</v>
      </c>
      <c r="C556" s="130"/>
      <c r="D556" s="131"/>
      <c r="E556" s="131"/>
      <c r="F556" s="131" t="s">
        <v>200</v>
      </c>
      <c r="G556" s="194" t="s">
        <v>247</v>
      </c>
      <c r="H556" s="399">
        <v>12046</v>
      </c>
      <c r="I556" s="399"/>
      <c r="J556" s="399">
        <f t="shared" si="222"/>
        <v>12046</v>
      </c>
      <c r="K556" s="339"/>
      <c r="L556" s="434"/>
      <c r="M556" s="434"/>
      <c r="N556" s="434"/>
      <c r="O556" s="339"/>
      <c r="P556" s="167">
        <f t="shared" si="217"/>
        <v>12046</v>
      </c>
      <c r="Q556" s="167">
        <f t="shared" si="218"/>
        <v>0</v>
      </c>
      <c r="R556" s="167">
        <f t="shared" si="218"/>
        <v>12046</v>
      </c>
    </row>
    <row r="557" spans="2:18" x14ac:dyDescent="0.2">
      <c r="B557" s="171">
        <f t="shared" si="221"/>
        <v>201</v>
      </c>
      <c r="C557" s="130"/>
      <c r="D557" s="131"/>
      <c r="E557" s="131"/>
      <c r="F557" s="131" t="s">
        <v>214</v>
      </c>
      <c r="G557" s="194" t="s">
        <v>261</v>
      </c>
      <c r="H557" s="399">
        <v>4460</v>
      </c>
      <c r="I557" s="399"/>
      <c r="J557" s="399">
        <f t="shared" si="222"/>
        <v>4460</v>
      </c>
      <c r="K557" s="339"/>
      <c r="L557" s="434"/>
      <c r="M557" s="434"/>
      <c r="N557" s="434"/>
      <c r="O557" s="339"/>
      <c r="P557" s="167">
        <f t="shared" si="217"/>
        <v>4460</v>
      </c>
      <c r="Q557" s="167">
        <f t="shared" si="218"/>
        <v>0</v>
      </c>
      <c r="R557" s="167">
        <f t="shared" si="218"/>
        <v>4460</v>
      </c>
    </row>
    <row r="558" spans="2:18" x14ac:dyDescent="0.2">
      <c r="B558" s="171">
        <f t="shared" si="221"/>
        <v>202</v>
      </c>
      <c r="C558" s="130"/>
      <c r="D558" s="131"/>
      <c r="E558" s="131"/>
      <c r="F558" s="131" t="s">
        <v>216</v>
      </c>
      <c r="G558" s="194" t="s">
        <v>248</v>
      </c>
      <c r="H558" s="430">
        <v>13228</v>
      </c>
      <c r="I558" s="430"/>
      <c r="J558" s="399">
        <f t="shared" si="222"/>
        <v>13228</v>
      </c>
      <c r="K558" s="340"/>
      <c r="L558" s="399"/>
      <c r="M558" s="399"/>
      <c r="N558" s="399"/>
      <c r="O558" s="340"/>
      <c r="P558" s="168">
        <f t="shared" si="217"/>
        <v>13228</v>
      </c>
      <c r="Q558" s="168">
        <f t="shared" si="218"/>
        <v>0</v>
      </c>
      <c r="R558" s="168">
        <f t="shared" si="218"/>
        <v>13228</v>
      </c>
    </row>
    <row r="559" spans="2:18" x14ac:dyDescent="0.2">
      <c r="B559" s="171">
        <f t="shared" si="221"/>
        <v>203</v>
      </c>
      <c r="C559" s="130"/>
      <c r="D559" s="131"/>
      <c r="E559" s="131"/>
      <c r="F559" s="144" t="s">
        <v>217</v>
      </c>
      <c r="G559" s="199" t="s">
        <v>371</v>
      </c>
      <c r="H559" s="530">
        <f>3830-440</f>
        <v>3390</v>
      </c>
      <c r="I559" s="530"/>
      <c r="J559" s="530">
        <f t="shared" si="222"/>
        <v>3390</v>
      </c>
      <c r="K559" s="344"/>
      <c r="L559" s="399"/>
      <c r="M559" s="399"/>
      <c r="N559" s="399"/>
      <c r="O559" s="344"/>
      <c r="P559" s="166">
        <f t="shared" si="217"/>
        <v>3390</v>
      </c>
      <c r="Q559" s="166">
        <f t="shared" si="218"/>
        <v>0</v>
      </c>
      <c r="R559" s="166">
        <f t="shared" si="218"/>
        <v>3390</v>
      </c>
    </row>
    <row r="560" spans="2:18" ht="14.25" x14ac:dyDescent="0.2">
      <c r="B560" s="171">
        <f t="shared" si="221"/>
        <v>204</v>
      </c>
      <c r="C560" s="130"/>
      <c r="D560" s="131"/>
      <c r="E560" s="522" t="s">
        <v>685</v>
      </c>
      <c r="F560" s="519" t="s">
        <v>686</v>
      </c>
      <c r="G560" s="516"/>
      <c r="H560" s="523">
        <f>H561+H562+H563+H571</f>
        <v>826616</v>
      </c>
      <c r="I560" s="523">
        <f t="shared" ref="I560" si="223">I561+I562+I563+I571</f>
        <v>0</v>
      </c>
      <c r="J560" s="523">
        <f>H560+I560</f>
        <v>826616</v>
      </c>
      <c r="K560" s="339"/>
      <c r="L560" s="861"/>
      <c r="M560" s="861"/>
      <c r="N560" s="861"/>
      <c r="O560" s="339"/>
      <c r="P560" s="521">
        <f t="shared" si="217"/>
        <v>826616</v>
      </c>
      <c r="Q560" s="521">
        <f t="shared" si="218"/>
        <v>0</v>
      </c>
      <c r="R560" s="521">
        <f t="shared" si="218"/>
        <v>826616</v>
      </c>
    </row>
    <row r="561" spans="2:18" x14ac:dyDescent="0.2">
      <c r="B561" s="171">
        <f t="shared" si="221"/>
        <v>205</v>
      </c>
      <c r="C561" s="130"/>
      <c r="D561" s="131"/>
      <c r="E561" s="165"/>
      <c r="F561" s="144" t="s">
        <v>211</v>
      </c>
      <c r="G561" s="199" t="s">
        <v>505</v>
      </c>
      <c r="H561" s="462">
        <f>458464+21720</f>
        <v>480184</v>
      </c>
      <c r="I561" s="462"/>
      <c r="J561" s="462">
        <f>H561+I561</f>
        <v>480184</v>
      </c>
      <c r="K561" s="339"/>
      <c r="L561" s="399"/>
      <c r="M561" s="399"/>
      <c r="N561" s="399"/>
      <c r="O561" s="339"/>
      <c r="P561" s="531">
        <f t="shared" si="217"/>
        <v>480184</v>
      </c>
      <c r="Q561" s="531">
        <f t="shared" si="218"/>
        <v>0</v>
      </c>
      <c r="R561" s="531">
        <f t="shared" si="218"/>
        <v>480184</v>
      </c>
    </row>
    <row r="562" spans="2:18" x14ac:dyDescent="0.2">
      <c r="B562" s="171">
        <f t="shared" si="221"/>
        <v>206</v>
      </c>
      <c r="C562" s="130"/>
      <c r="D562" s="131"/>
      <c r="E562" s="165"/>
      <c r="F562" s="144" t="s">
        <v>212</v>
      </c>
      <c r="G562" s="199" t="s">
        <v>259</v>
      </c>
      <c r="H562" s="462">
        <f>160290+7542</f>
        <v>167832</v>
      </c>
      <c r="I562" s="462"/>
      <c r="J562" s="462">
        <f t="shared" ref="J562:J571" si="224">H562+I562</f>
        <v>167832</v>
      </c>
      <c r="K562" s="339"/>
      <c r="L562" s="399"/>
      <c r="M562" s="399"/>
      <c r="N562" s="399"/>
      <c r="O562" s="339"/>
      <c r="P562" s="531">
        <f t="shared" si="217"/>
        <v>167832</v>
      </c>
      <c r="Q562" s="531">
        <f t="shared" ref="Q562:R577" si="225">I562+M562</f>
        <v>0</v>
      </c>
      <c r="R562" s="531">
        <f t="shared" si="225"/>
        <v>167832</v>
      </c>
    </row>
    <row r="563" spans="2:18" x14ac:dyDescent="0.2">
      <c r="B563" s="171">
        <f t="shared" si="221"/>
        <v>207</v>
      </c>
      <c r="C563" s="130"/>
      <c r="D563" s="131"/>
      <c r="E563" s="165"/>
      <c r="F563" s="144" t="s">
        <v>218</v>
      </c>
      <c r="G563" s="199" t="s">
        <v>340</v>
      </c>
      <c r="H563" s="462">
        <f>SUM(H564:H570)</f>
        <v>174490</v>
      </c>
      <c r="I563" s="462"/>
      <c r="J563" s="462">
        <f t="shared" si="224"/>
        <v>174490</v>
      </c>
      <c r="K563" s="339"/>
      <c r="L563" s="399"/>
      <c r="M563" s="399"/>
      <c r="N563" s="399"/>
      <c r="O563" s="339"/>
      <c r="P563" s="531">
        <f t="shared" si="217"/>
        <v>174490</v>
      </c>
      <c r="Q563" s="531">
        <f t="shared" si="225"/>
        <v>0</v>
      </c>
      <c r="R563" s="531">
        <f t="shared" si="225"/>
        <v>174490</v>
      </c>
    </row>
    <row r="564" spans="2:18" x14ac:dyDescent="0.2">
      <c r="B564" s="171">
        <f t="shared" si="221"/>
        <v>208</v>
      </c>
      <c r="C564" s="130"/>
      <c r="D564" s="131"/>
      <c r="E564" s="165"/>
      <c r="F564" s="131" t="s">
        <v>213</v>
      </c>
      <c r="G564" s="194" t="s">
        <v>255</v>
      </c>
      <c r="H564" s="430">
        <v>30</v>
      </c>
      <c r="I564" s="430"/>
      <c r="J564" s="430">
        <f t="shared" si="224"/>
        <v>30</v>
      </c>
      <c r="K564" s="339"/>
      <c r="L564" s="399"/>
      <c r="M564" s="399"/>
      <c r="N564" s="399"/>
      <c r="O564" s="339"/>
      <c r="P564" s="168">
        <f t="shared" si="217"/>
        <v>30</v>
      </c>
      <c r="Q564" s="168">
        <f t="shared" si="225"/>
        <v>0</v>
      </c>
      <c r="R564" s="168">
        <f t="shared" si="225"/>
        <v>30</v>
      </c>
    </row>
    <row r="565" spans="2:18" x14ac:dyDescent="0.2">
      <c r="B565" s="171">
        <f t="shared" si="221"/>
        <v>209</v>
      </c>
      <c r="C565" s="130"/>
      <c r="D565" s="131"/>
      <c r="E565" s="165"/>
      <c r="F565" s="131" t="s">
        <v>199</v>
      </c>
      <c r="G565" s="194" t="s">
        <v>318</v>
      </c>
      <c r="H565" s="430">
        <f>82564+15776</f>
        <v>98340</v>
      </c>
      <c r="I565" s="430"/>
      <c r="J565" s="430">
        <f t="shared" si="224"/>
        <v>98340</v>
      </c>
      <c r="K565" s="339"/>
      <c r="L565" s="399"/>
      <c r="M565" s="399"/>
      <c r="N565" s="399"/>
      <c r="O565" s="339"/>
      <c r="P565" s="168">
        <f t="shared" si="217"/>
        <v>98340</v>
      </c>
      <c r="Q565" s="168">
        <f t="shared" si="225"/>
        <v>0</v>
      </c>
      <c r="R565" s="168">
        <f t="shared" si="225"/>
        <v>98340</v>
      </c>
    </row>
    <row r="566" spans="2:18" x14ac:dyDescent="0.2">
      <c r="B566" s="171">
        <f t="shared" si="221"/>
        <v>210</v>
      </c>
      <c r="C566" s="130"/>
      <c r="D566" s="131"/>
      <c r="E566" s="165"/>
      <c r="F566" s="131" t="s">
        <v>200</v>
      </c>
      <c r="G566" s="194" t="s">
        <v>247</v>
      </c>
      <c r="H566" s="430">
        <v>23094</v>
      </c>
      <c r="I566" s="430"/>
      <c r="J566" s="430">
        <f t="shared" si="224"/>
        <v>23094</v>
      </c>
      <c r="K566" s="339"/>
      <c r="L566" s="399"/>
      <c r="M566" s="399"/>
      <c r="N566" s="399"/>
      <c r="O566" s="339"/>
      <c r="P566" s="168">
        <f t="shared" si="217"/>
        <v>23094</v>
      </c>
      <c r="Q566" s="168">
        <f t="shared" si="225"/>
        <v>0</v>
      </c>
      <c r="R566" s="168">
        <f t="shared" si="225"/>
        <v>23094</v>
      </c>
    </row>
    <row r="567" spans="2:18" x14ac:dyDescent="0.2">
      <c r="B567" s="171">
        <f t="shared" si="221"/>
        <v>211</v>
      </c>
      <c r="C567" s="130"/>
      <c r="D567" s="131"/>
      <c r="E567" s="165"/>
      <c r="F567" s="131" t="s">
        <v>214</v>
      </c>
      <c r="G567" s="194" t="s">
        <v>261</v>
      </c>
      <c r="H567" s="430">
        <v>12690</v>
      </c>
      <c r="I567" s="430"/>
      <c r="J567" s="430">
        <f t="shared" si="224"/>
        <v>12690</v>
      </c>
      <c r="K567" s="339"/>
      <c r="L567" s="399"/>
      <c r="M567" s="399"/>
      <c r="N567" s="399"/>
      <c r="O567" s="339"/>
      <c r="P567" s="168">
        <f t="shared" si="217"/>
        <v>12690</v>
      </c>
      <c r="Q567" s="168">
        <f t="shared" si="225"/>
        <v>0</v>
      </c>
      <c r="R567" s="168">
        <f t="shared" si="225"/>
        <v>12690</v>
      </c>
    </row>
    <row r="568" spans="2:18" x14ac:dyDescent="0.2">
      <c r="B568" s="171">
        <f t="shared" si="221"/>
        <v>212</v>
      </c>
      <c r="C568" s="130"/>
      <c r="D568" s="131"/>
      <c r="E568" s="165"/>
      <c r="F568" s="131" t="s">
        <v>215</v>
      </c>
      <c r="G568" s="194" t="s">
        <v>634</v>
      </c>
      <c r="H568" s="430">
        <v>20000</v>
      </c>
      <c r="I568" s="430"/>
      <c r="J568" s="430">
        <f t="shared" si="224"/>
        <v>20000</v>
      </c>
      <c r="K568" s="339"/>
      <c r="L568" s="399"/>
      <c r="M568" s="399"/>
      <c r="N568" s="399"/>
      <c r="O568" s="339"/>
      <c r="P568" s="168">
        <f t="shared" si="217"/>
        <v>20000</v>
      </c>
      <c r="Q568" s="168">
        <f t="shared" si="225"/>
        <v>0</v>
      </c>
      <c r="R568" s="168">
        <f t="shared" si="225"/>
        <v>20000</v>
      </c>
    </row>
    <row r="569" spans="2:18" x14ac:dyDescent="0.2">
      <c r="B569" s="171">
        <f t="shared" si="221"/>
        <v>213</v>
      </c>
      <c r="C569" s="130"/>
      <c r="D569" s="131"/>
      <c r="E569" s="165"/>
      <c r="F569" s="131" t="s">
        <v>216</v>
      </c>
      <c r="G569" s="194" t="s">
        <v>248</v>
      </c>
      <c r="H569" s="430">
        <v>19842</v>
      </c>
      <c r="I569" s="430"/>
      <c r="J569" s="430">
        <f t="shared" si="224"/>
        <v>19842</v>
      </c>
      <c r="K569" s="339"/>
      <c r="L569" s="399"/>
      <c r="M569" s="399"/>
      <c r="N569" s="399"/>
      <c r="O569" s="339"/>
      <c r="P569" s="168">
        <f t="shared" si="217"/>
        <v>19842</v>
      </c>
      <c r="Q569" s="168">
        <f t="shared" si="225"/>
        <v>0</v>
      </c>
      <c r="R569" s="168">
        <f t="shared" si="225"/>
        <v>19842</v>
      </c>
    </row>
    <row r="570" spans="2:18" x14ac:dyDescent="0.2">
      <c r="B570" s="171">
        <f t="shared" si="221"/>
        <v>214</v>
      </c>
      <c r="C570" s="130"/>
      <c r="D570" s="131"/>
      <c r="E570" s="165"/>
      <c r="F570" s="131" t="s">
        <v>218</v>
      </c>
      <c r="G570" s="194" t="s">
        <v>791</v>
      </c>
      <c r="H570" s="430">
        <v>494</v>
      </c>
      <c r="I570" s="430"/>
      <c r="J570" s="430">
        <f t="shared" si="224"/>
        <v>494</v>
      </c>
      <c r="K570" s="339"/>
      <c r="L570" s="399"/>
      <c r="M570" s="399"/>
      <c r="N570" s="399"/>
      <c r="O570" s="339"/>
      <c r="P570" s="168">
        <f t="shared" si="217"/>
        <v>494</v>
      </c>
      <c r="Q570" s="168">
        <f t="shared" si="225"/>
        <v>0</v>
      </c>
      <c r="R570" s="168">
        <f t="shared" si="225"/>
        <v>494</v>
      </c>
    </row>
    <row r="571" spans="2:18" x14ac:dyDescent="0.2">
      <c r="B571" s="171">
        <f t="shared" si="221"/>
        <v>215</v>
      </c>
      <c r="C571" s="130"/>
      <c r="D571" s="131"/>
      <c r="E571" s="165"/>
      <c r="F571" s="284" t="s">
        <v>217</v>
      </c>
      <c r="G571" s="199" t="s">
        <v>371</v>
      </c>
      <c r="H571" s="462">
        <f>4770-660</f>
        <v>4110</v>
      </c>
      <c r="I571" s="462"/>
      <c r="J571" s="462">
        <f t="shared" si="224"/>
        <v>4110</v>
      </c>
      <c r="K571" s="339"/>
      <c r="L571" s="399"/>
      <c r="M571" s="399"/>
      <c r="N571" s="399"/>
      <c r="O571" s="339"/>
      <c r="P571" s="531">
        <f t="shared" si="217"/>
        <v>4110</v>
      </c>
      <c r="Q571" s="531">
        <f t="shared" si="225"/>
        <v>0</v>
      </c>
      <c r="R571" s="531">
        <f t="shared" si="225"/>
        <v>4110</v>
      </c>
    </row>
    <row r="572" spans="2:18" ht="15" x14ac:dyDescent="0.25">
      <c r="B572" s="171">
        <f t="shared" si="221"/>
        <v>216</v>
      </c>
      <c r="C572" s="130"/>
      <c r="D572" s="261" t="s">
        <v>7</v>
      </c>
      <c r="E572" s="147" t="s">
        <v>429</v>
      </c>
      <c r="F572" s="147" t="s">
        <v>368</v>
      </c>
      <c r="G572" s="236"/>
      <c r="H572" s="425">
        <f>H573+H585</f>
        <v>952854</v>
      </c>
      <c r="I572" s="425">
        <f t="shared" ref="I572" si="226">I573+I585</f>
        <v>0</v>
      </c>
      <c r="J572" s="425">
        <f>H572+I572</f>
        <v>952854</v>
      </c>
      <c r="K572" s="132"/>
      <c r="L572" s="854">
        <f>L573+L585</f>
        <v>95216</v>
      </c>
      <c r="M572" s="854">
        <f t="shared" ref="M572" si="227">M573+M585</f>
        <v>0</v>
      </c>
      <c r="N572" s="854">
        <f t="shared" ref="N572:N598" si="228">L572+M572</f>
        <v>95216</v>
      </c>
      <c r="O572" s="132"/>
      <c r="P572" s="330">
        <f t="shared" si="217"/>
        <v>1048070</v>
      </c>
      <c r="Q572" s="330">
        <f t="shared" si="225"/>
        <v>0</v>
      </c>
      <c r="R572" s="330">
        <f t="shared" si="225"/>
        <v>1048070</v>
      </c>
    </row>
    <row r="573" spans="2:18" ht="14.25" x14ac:dyDescent="0.2">
      <c r="B573" s="171">
        <f t="shared" si="221"/>
        <v>217</v>
      </c>
      <c r="C573" s="76"/>
      <c r="D573" s="516"/>
      <c r="E573" s="522" t="s">
        <v>428</v>
      </c>
      <c r="F573" s="519" t="s">
        <v>687</v>
      </c>
      <c r="G573" s="518"/>
      <c r="H573" s="520">
        <f>H574+H575+H576+H583+H582</f>
        <v>376421</v>
      </c>
      <c r="I573" s="520">
        <f t="shared" ref="I573" si="229">I574+I575+I576+I583+I582</f>
        <v>0</v>
      </c>
      <c r="J573" s="520">
        <f>H573+I573</f>
        <v>376421</v>
      </c>
      <c r="K573" s="333"/>
      <c r="L573" s="524">
        <f>L584</f>
        <v>2500</v>
      </c>
      <c r="M573" s="524">
        <f t="shared" ref="M573" si="230">M584</f>
        <v>0</v>
      </c>
      <c r="N573" s="524">
        <f t="shared" si="228"/>
        <v>2500</v>
      </c>
      <c r="O573" s="333"/>
      <c r="P573" s="521">
        <f t="shared" si="217"/>
        <v>378921</v>
      </c>
      <c r="Q573" s="521">
        <f t="shared" si="225"/>
        <v>0</v>
      </c>
      <c r="R573" s="521">
        <f t="shared" si="225"/>
        <v>378921</v>
      </c>
    </row>
    <row r="574" spans="2:18" x14ac:dyDescent="0.2">
      <c r="B574" s="171">
        <f t="shared" si="221"/>
        <v>218</v>
      </c>
      <c r="C574" s="130"/>
      <c r="D574" s="131"/>
      <c r="E574" s="131"/>
      <c r="F574" s="144" t="s">
        <v>211</v>
      </c>
      <c r="G574" s="199" t="s">
        <v>505</v>
      </c>
      <c r="H574" s="530">
        <f>203353+21682</f>
        <v>225035</v>
      </c>
      <c r="I574" s="530"/>
      <c r="J574" s="530">
        <f>H574+I574</f>
        <v>225035</v>
      </c>
      <c r="K574" s="339"/>
      <c r="L574" s="434"/>
      <c r="M574" s="434"/>
      <c r="N574" s="434"/>
      <c r="O574" s="339"/>
      <c r="P574" s="242">
        <f t="shared" si="217"/>
        <v>225035</v>
      </c>
      <c r="Q574" s="242">
        <f t="shared" si="225"/>
        <v>0</v>
      </c>
      <c r="R574" s="242">
        <f t="shared" si="225"/>
        <v>225035</v>
      </c>
    </row>
    <row r="575" spans="2:18" x14ac:dyDescent="0.2">
      <c r="B575" s="171">
        <f t="shared" si="221"/>
        <v>219</v>
      </c>
      <c r="C575" s="130"/>
      <c r="D575" s="131"/>
      <c r="E575" s="131"/>
      <c r="F575" s="144" t="s">
        <v>212</v>
      </c>
      <c r="G575" s="199" t="s">
        <v>259</v>
      </c>
      <c r="H575" s="530">
        <f>71580+7632</f>
        <v>79212</v>
      </c>
      <c r="I575" s="530"/>
      <c r="J575" s="530">
        <f t="shared" ref="J575:J583" si="231">H575+I575</f>
        <v>79212</v>
      </c>
      <c r="K575" s="339"/>
      <c r="L575" s="434"/>
      <c r="M575" s="434"/>
      <c r="N575" s="434"/>
      <c r="O575" s="339"/>
      <c r="P575" s="242">
        <f t="shared" si="217"/>
        <v>79212</v>
      </c>
      <c r="Q575" s="242">
        <f t="shared" si="225"/>
        <v>0</v>
      </c>
      <c r="R575" s="242">
        <f t="shared" si="225"/>
        <v>79212</v>
      </c>
    </row>
    <row r="576" spans="2:18" x14ac:dyDescent="0.2">
      <c r="B576" s="171">
        <f t="shared" si="221"/>
        <v>220</v>
      </c>
      <c r="C576" s="130"/>
      <c r="D576" s="131"/>
      <c r="E576" s="131"/>
      <c r="F576" s="144" t="s">
        <v>218</v>
      </c>
      <c r="G576" s="199" t="s">
        <v>340</v>
      </c>
      <c r="H576" s="530">
        <f>SUM(H577:H581)</f>
        <v>71521</v>
      </c>
      <c r="I576" s="530"/>
      <c r="J576" s="530">
        <f t="shared" si="231"/>
        <v>71521</v>
      </c>
      <c r="K576" s="339"/>
      <c r="L576" s="434"/>
      <c r="M576" s="434"/>
      <c r="N576" s="434"/>
      <c r="O576" s="339"/>
      <c r="P576" s="242">
        <f t="shared" si="217"/>
        <v>71521</v>
      </c>
      <c r="Q576" s="242">
        <f t="shared" si="225"/>
        <v>0</v>
      </c>
      <c r="R576" s="242">
        <f t="shared" si="225"/>
        <v>71521</v>
      </c>
    </row>
    <row r="577" spans="2:18" x14ac:dyDescent="0.2">
      <c r="B577" s="171">
        <f t="shared" si="221"/>
        <v>221</v>
      </c>
      <c r="C577" s="130"/>
      <c r="D577" s="131"/>
      <c r="E577" s="131"/>
      <c r="F577" s="131" t="s">
        <v>213</v>
      </c>
      <c r="G577" s="194" t="s">
        <v>255</v>
      </c>
      <c r="H577" s="399">
        <v>113</v>
      </c>
      <c r="I577" s="399"/>
      <c r="J577" s="399">
        <f t="shared" si="231"/>
        <v>113</v>
      </c>
      <c r="K577" s="339"/>
      <c r="L577" s="434"/>
      <c r="M577" s="434"/>
      <c r="N577" s="434"/>
      <c r="O577" s="339"/>
      <c r="P577" s="167">
        <f t="shared" si="217"/>
        <v>113</v>
      </c>
      <c r="Q577" s="167">
        <f t="shared" si="225"/>
        <v>0</v>
      </c>
      <c r="R577" s="167">
        <f t="shared" si="225"/>
        <v>113</v>
      </c>
    </row>
    <row r="578" spans="2:18" x14ac:dyDescent="0.2">
      <c r="B578" s="171">
        <f t="shared" si="221"/>
        <v>222</v>
      </c>
      <c r="C578" s="130"/>
      <c r="D578" s="131"/>
      <c r="E578" s="131"/>
      <c r="F578" s="131" t="s">
        <v>199</v>
      </c>
      <c r="G578" s="194" t="s">
        <v>318</v>
      </c>
      <c r="H578" s="399">
        <v>24300</v>
      </c>
      <c r="I578" s="399"/>
      <c r="J578" s="399">
        <f t="shared" si="231"/>
        <v>24300</v>
      </c>
      <c r="K578" s="339"/>
      <c r="L578" s="434"/>
      <c r="M578" s="434"/>
      <c r="N578" s="434"/>
      <c r="O578" s="339"/>
      <c r="P578" s="167">
        <f t="shared" ref="P578:P609" si="232">H578+L578</f>
        <v>24300</v>
      </c>
      <c r="Q578" s="167">
        <f t="shared" ref="Q578:R593" si="233">I578+M578</f>
        <v>0</v>
      </c>
      <c r="R578" s="167">
        <f t="shared" si="233"/>
        <v>24300</v>
      </c>
    </row>
    <row r="579" spans="2:18" x14ac:dyDescent="0.2">
      <c r="B579" s="171">
        <f t="shared" si="221"/>
        <v>223</v>
      </c>
      <c r="C579" s="130"/>
      <c r="D579" s="131"/>
      <c r="E579" s="131"/>
      <c r="F579" s="131" t="s">
        <v>200</v>
      </c>
      <c r="G579" s="194" t="s">
        <v>247</v>
      </c>
      <c r="H579" s="399">
        <f>11792+10236</f>
        <v>22028</v>
      </c>
      <c r="I579" s="399"/>
      <c r="J579" s="399">
        <f t="shared" si="231"/>
        <v>22028</v>
      </c>
      <c r="K579" s="339"/>
      <c r="L579" s="434"/>
      <c r="M579" s="434"/>
      <c r="N579" s="434"/>
      <c r="O579" s="339"/>
      <c r="P579" s="167">
        <f t="shared" si="232"/>
        <v>22028</v>
      </c>
      <c r="Q579" s="167">
        <f t="shared" si="233"/>
        <v>0</v>
      </c>
      <c r="R579" s="167">
        <f t="shared" si="233"/>
        <v>22028</v>
      </c>
    </row>
    <row r="580" spans="2:18" x14ac:dyDescent="0.2">
      <c r="B580" s="171">
        <f t="shared" si="221"/>
        <v>224</v>
      </c>
      <c r="C580" s="130"/>
      <c r="D580" s="131"/>
      <c r="E580" s="131"/>
      <c r="F580" s="131" t="s">
        <v>214</v>
      </c>
      <c r="G580" s="194" t="s">
        <v>261</v>
      </c>
      <c r="H580" s="399">
        <v>10350</v>
      </c>
      <c r="I580" s="399"/>
      <c r="J580" s="399">
        <f t="shared" si="231"/>
        <v>10350</v>
      </c>
      <c r="K580" s="339"/>
      <c r="L580" s="434"/>
      <c r="M580" s="434"/>
      <c r="N580" s="434"/>
      <c r="O580" s="339"/>
      <c r="P580" s="167">
        <f t="shared" si="232"/>
        <v>10350</v>
      </c>
      <c r="Q580" s="167">
        <f t="shared" si="233"/>
        <v>0</v>
      </c>
      <c r="R580" s="167">
        <f t="shared" si="233"/>
        <v>10350</v>
      </c>
    </row>
    <row r="581" spans="2:18" x14ac:dyDescent="0.2">
      <c r="B581" s="171">
        <f t="shared" si="221"/>
        <v>225</v>
      </c>
      <c r="C581" s="130"/>
      <c r="D581" s="131"/>
      <c r="E581" s="131"/>
      <c r="F581" s="131" t="s">
        <v>216</v>
      </c>
      <c r="G581" s="194" t="s">
        <v>248</v>
      </c>
      <c r="H581" s="399">
        <f>14130+600</f>
        <v>14730</v>
      </c>
      <c r="I581" s="399"/>
      <c r="J581" s="399">
        <f t="shared" si="231"/>
        <v>14730</v>
      </c>
      <c r="K581" s="339"/>
      <c r="L581" s="434"/>
      <c r="M581" s="434"/>
      <c r="N581" s="434"/>
      <c r="O581" s="339"/>
      <c r="P581" s="167">
        <f t="shared" si="232"/>
        <v>14730</v>
      </c>
      <c r="Q581" s="167">
        <f t="shared" si="233"/>
        <v>0</v>
      </c>
      <c r="R581" s="167">
        <f t="shared" si="233"/>
        <v>14730</v>
      </c>
    </row>
    <row r="582" spans="2:18" x14ac:dyDescent="0.2">
      <c r="B582" s="171">
        <f t="shared" si="221"/>
        <v>226</v>
      </c>
      <c r="C582" s="130"/>
      <c r="D582" s="131"/>
      <c r="E582" s="131"/>
      <c r="F582" s="144" t="s">
        <v>217</v>
      </c>
      <c r="G582" s="199" t="s">
        <v>506</v>
      </c>
      <c r="H582" s="530">
        <v>225</v>
      </c>
      <c r="I582" s="530"/>
      <c r="J582" s="530">
        <f t="shared" si="231"/>
        <v>225</v>
      </c>
      <c r="K582" s="336"/>
      <c r="L582" s="402"/>
      <c r="M582" s="402"/>
      <c r="N582" s="402"/>
      <c r="O582" s="336"/>
      <c r="P582" s="166">
        <f t="shared" si="232"/>
        <v>225</v>
      </c>
      <c r="Q582" s="166">
        <f t="shared" si="233"/>
        <v>0</v>
      </c>
      <c r="R582" s="166">
        <f t="shared" si="233"/>
        <v>225</v>
      </c>
    </row>
    <row r="583" spans="2:18" x14ac:dyDescent="0.2">
      <c r="B583" s="171">
        <f t="shared" si="221"/>
        <v>227</v>
      </c>
      <c r="C583" s="130"/>
      <c r="D583" s="131"/>
      <c r="E583" s="131"/>
      <c r="F583" s="144" t="s">
        <v>217</v>
      </c>
      <c r="G583" s="199" t="s">
        <v>371</v>
      </c>
      <c r="H583" s="530">
        <v>428</v>
      </c>
      <c r="I583" s="530"/>
      <c r="J583" s="530">
        <f t="shared" si="231"/>
        <v>428</v>
      </c>
      <c r="K583" s="336"/>
      <c r="L583" s="402"/>
      <c r="M583" s="402"/>
      <c r="N583" s="402"/>
      <c r="O583" s="336"/>
      <c r="P583" s="166">
        <f t="shared" si="232"/>
        <v>428</v>
      </c>
      <c r="Q583" s="166">
        <f t="shared" si="233"/>
        <v>0</v>
      </c>
      <c r="R583" s="166">
        <f t="shared" si="233"/>
        <v>428</v>
      </c>
    </row>
    <row r="584" spans="2:18" x14ac:dyDescent="0.2">
      <c r="B584" s="171">
        <f t="shared" si="221"/>
        <v>228</v>
      </c>
      <c r="C584" s="130"/>
      <c r="D584" s="131"/>
      <c r="E584" s="169"/>
      <c r="F584" s="144" t="s">
        <v>606</v>
      </c>
      <c r="G584" s="199" t="s">
        <v>653</v>
      </c>
      <c r="H584" s="530"/>
      <c r="I584" s="530"/>
      <c r="J584" s="530"/>
      <c r="K584" s="336"/>
      <c r="L584" s="402">
        <v>2500</v>
      </c>
      <c r="M584" s="402"/>
      <c r="N584" s="402">
        <f t="shared" si="228"/>
        <v>2500</v>
      </c>
      <c r="O584" s="336"/>
      <c r="P584" s="166">
        <f t="shared" si="232"/>
        <v>2500</v>
      </c>
      <c r="Q584" s="166">
        <f t="shared" si="233"/>
        <v>0</v>
      </c>
      <c r="R584" s="166">
        <f t="shared" si="233"/>
        <v>2500</v>
      </c>
    </row>
    <row r="585" spans="2:18" x14ac:dyDescent="0.2">
      <c r="B585" s="171">
        <f t="shared" si="221"/>
        <v>229</v>
      </c>
      <c r="C585" s="130"/>
      <c r="D585" s="131"/>
      <c r="E585" s="522" t="s">
        <v>685</v>
      </c>
      <c r="F585" s="519" t="s">
        <v>686</v>
      </c>
      <c r="G585" s="516"/>
      <c r="H585" s="523">
        <f>H586+H587+H588+H596+H595</f>
        <v>576433</v>
      </c>
      <c r="I585" s="523">
        <f t="shared" ref="I585" si="234">I586+I587+I588+I596+I595</f>
        <v>0</v>
      </c>
      <c r="J585" s="523">
        <f>H585+I585</f>
        <v>576433</v>
      </c>
      <c r="K585" s="339"/>
      <c r="L585" s="524">
        <f>L597+L598</f>
        <v>92716</v>
      </c>
      <c r="M585" s="524">
        <f t="shared" ref="M585" si="235">M597+M598</f>
        <v>0</v>
      </c>
      <c r="N585" s="524">
        <f t="shared" si="228"/>
        <v>92716</v>
      </c>
      <c r="O585" s="339"/>
      <c r="P585" s="521">
        <f t="shared" si="232"/>
        <v>669149</v>
      </c>
      <c r="Q585" s="521">
        <f t="shared" si="233"/>
        <v>0</v>
      </c>
      <c r="R585" s="521">
        <f t="shared" si="233"/>
        <v>669149</v>
      </c>
    </row>
    <row r="586" spans="2:18" x14ac:dyDescent="0.2">
      <c r="B586" s="171">
        <f t="shared" si="221"/>
        <v>230</v>
      </c>
      <c r="C586" s="130"/>
      <c r="D586" s="131"/>
      <c r="E586" s="165"/>
      <c r="F586" s="144" t="s">
        <v>211</v>
      </c>
      <c r="G586" s="199" t="s">
        <v>505</v>
      </c>
      <c r="H586" s="462">
        <f>332387+26049</f>
        <v>358436</v>
      </c>
      <c r="I586" s="462"/>
      <c r="J586" s="462">
        <f>H586+I586</f>
        <v>358436</v>
      </c>
      <c r="K586" s="339"/>
      <c r="L586" s="399"/>
      <c r="M586" s="399"/>
      <c r="N586" s="399"/>
      <c r="O586" s="339"/>
      <c r="P586" s="531">
        <f t="shared" si="232"/>
        <v>358436</v>
      </c>
      <c r="Q586" s="531">
        <f t="shared" si="233"/>
        <v>0</v>
      </c>
      <c r="R586" s="531">
        <f t="shared" si="233"/>
        <v>358436</v>
      </c>
    </row>
    <row r="587" spans="2:18" x14ac:dyDescent="0.2">
      <c r="B587" s="171">
        <f t="shared" si="221"/>
        <v>231</v>
      </c>
      <c r="C587" s="130"/>
      <c r="D587" s="131"/>
      <c r="E587" s="165"/>
      <c r="F587" s="144" t="s">
        <v>212</v>
      </c>
      <c r="G587" s="199" t="s">
        <v>259</v>
      </c>
      <c r="H587" s="462">
        <f>117000+9170</f>
        <v>126170</v>
      </c>
      <c r="I587" s="462"/>
      <c r="J587" s="462">
        <f t="shared" ref="J587:J596" si="236">H587+I587</f>
        <v>126170</v>
      </c>
      <c r="K587" s="339"/>
      <c r="L587" s="399"/>
      <c r="M587" s="399"/>
      <c r="N587" s="399"/>
      <c r="O587" s="339"/>
      <c r="P587" s="531">
        <f t="shared" si="232"/>
        <v>126170</v>
      </c>
      <c r="Q587" s="531">
        <f t="shared" si="233"/>
        <v>0</v>
      </c>
      <c r="R587" s="531">
        <f t="shared" si="233"/>
        <v>126170</v>
      </c>
    </row>
    <row r="588" spans="2:18" x14ac:dyDescent="0.2">
      <c r="B588" s="171">
        <f t="shared" si="221"/>
        <v>232</v>
      </c>
      <c r="C588" s="130"/>
      <c r="D588" s="131"/>
      <c r="E588" s="165"/>
      <c r="F588" s="144" t="s">
        <v>218</v>
      </c>
      <c r="G588" s="199" t="s">
        <v>340</v>
      </c>
      <c r="H588" s="530">
        <f>SUM(H589:H594)</f>
        <v>91030</v>
      </c>
      <c r="I588" s="530"/>
      <c r="J588" s="462">
        <f t="shared" si="236"/>
        <v>91030</v>
      </c>
      <c r="K588" s="339"/>
      <c r="L588" s="399"/>
      <c r="M588" s="399"/>
      <c r="N588" s="399"/>
      <c r="O588" s="339"/>
      <c r="P588" s="531">
        <f t="shared" si="232"/>
        <v>91030</v>
      </c>
      <c r="Q588" s="531">
        <f t="shared" si="233"/>
        <v>0</v>
      </c>
      <c r="R588" s="531">
        <f t="shared" si="233"/>
        <v>91030</v>
      </c>
    </row>
    <row r="589" spans="2:18" x14ac:dyDescent="0.2">
      <c r="B589" s="171">
        <f t="shared" si="221"/>
        <v>233</v>
      </c>
      <c r="C589" s="130"/>
      <c r="D589" s="131"/>
      <c r="E589" s="165"/>
      <c r="F589" s="131" t="s">
        <v>213</v>
      </c>
      <c r="G589" s="194" t="s">
        <v>255</v>
      </c>
      <c r="H589" s="430">
        <v>137</v>
      </c>
      <c r="I589" s="430"/>
      <c r="J589" s="430">
        <f t="shared" si="236"/>
        <v>137</v>
      </c>
      <c r="K589" s="339"/>
      <c r="L589" s="399"/>
      <c r="M589" s="399"/>
      <c r="N589" s="399"/>
      <c r="O589" s="339"/>
      <c r="P589" s="168">
        <f t="shared" si="232"/>
        <v>137</v>
      </c>
      <c r="Q589" s="168">
        <f t="shared" si="233"/>
        <v>0</v>
      </c>
      <c r="R589" s="168">
        <f t="shared" si="233"/>
        <v>137</v>
      </c>
    </row>
    <row r="590" spans="2:18" x14ac:dyDescent="0.2">
      <c r="B590" s="171">
        <f t="shared" si="221"/>
        <v>234</v>
      </c>
      <c r="C590" s="130"/>
      <c r="D590" s="131"/>
      <c r="E590" s="165"/>
      <c r="F590" s="131" t="s">
        <v>199</v>
      </c>
      <c r="G590" s="194" t="s">
        <v>318</v>
      </c>
      <c r="H590" s="430">
        <v>31700</v>
      </c>
      <c r="I590" s="430"/>
      <c r="J590" s="430">
        <f t="shared" si="236"/>
        <v>31700</v>
      </c>
      <c r="K590" s="339"/>
      <c r="L590" s="399"/>
      <c r="M590" s="399"/>
      <c r="N590" s="399"/>
      <c r="O590" s="339"/>
      <c r="P590" s="168">
        <f t="shared" si="232"/>
        <v>31700</v>
      </c>
      <c r="Q590" s="168">
        <f t="shared" si="233"/>
        <v>0</v>
      </c>
      <c r="R590" s="168">
        <f t="shared" si="233"/>
        <v>31700</v>
      </c>
    </row>
    <row r="591" spans="2:18" x14ac:dyDescent="0.2">
      <c r="B591" s="171">
        <f t="shared" si="221"/>
        <v>235</v>
      </c>
      <c r="C591" s="130"/>
      <c r="D591" s="131"/>
      <c r="E591" s="165"/>
      <c r="F591" s="131" t="s">
        <v>200</v>
      </c>
      <c r="G591" s="194" t="s">
        <v>247</v>
      </c>
      <c r="H591" s="430">
        <f>14413+12266</f>
        <v>26679</v>
      </c>
      <c r="I591" s="430"/>
      <c r="J591" s="430">
        <f t="shared" si="236"/>
        <v>26679</v>
      </c>
      <c r="K591" s="339"/>
      <c r="L591" s="399"/>
      <c r="M591" s="399"/>
      <c r="N591" s="399"/>
      <c r="O591" s="339"/>
      <c r="P591" s="168">
        <f t="shared" si="232"/>
        <v>26679</v>
      </c>
      <c r="Q591" s="168">
        <f t="shared" si="233"/>
        <v>0</v>
      </c>
      <c r="R591" s="168">
        <f t="shared" si="233"/>
        <v>26679</v>
      </c>
    </row>
    <row r="592" spans="2:18" x14ac:dyDescent="0.2">
      <c r="B592" s="171">
        <f t="shared" si="221"/>
        <v>236</v>
      </c>
      <c r="C592" s="130"/>
      <c r="D592" s="131"/>
      <c r="E592" s="165"/>
      <c r="F592" s="131" t="s">
        <v>214</v>
      </c>
      <c r="G592" s="194" t="s">
        <v>261</v>
      </c>
      <c r="H592" s="430">
        <v>12650</v>
      </c>
      <c r="I592" s="430"/>
      <c r="J592" s="430">
        <f t="shared" si="236"/>
        <v>12650</v>
      </c>
      <c r="K592" s="339"/>
      <c r="L592" s="399"/>
      <c r="M592" s="399"/>
      <c r="N592" s="399"/>
      <c r="O592" s="339"/>
      <c r="P592" s="168">
        <f t="shared" si="232"/>
        <v>12650</v>
      </c>
      <c r="Q592" s="168">
        <f t="shared" si="233"/>
        <v>0</v>
      </c>
      <c r="R592" s="168">
        <f t="shared" si="233"/>
        <v>12650</v>
      </c>
    </row>
    <row r="593" spans="2:18" x14ac:dyDescent="0.2">
      <c r="B593" s="171">
        <f t="shared" si="221"/>
        <v>237</v>
      </c>
      <c r="C593" s="130"/>
      <c r="D593" s="131"/>
      <c r="E593" s="165"/>
      <c r="F593" s="131" t="s">
        <v>216</v>
      </c>
      <c r="G593" s="194" t="s">
        <v>248</v>
      </c>
      <c r="H593" s="430">
        <v>17270</v>
      </c>
      <c r="I593" s="430"/>
      <c r="J593" s="430">
        <f t="shared" si="236"/>
        <v>17270</v>
      </c>
      <c r="K593" s="339"/>
      <c r="L593" s="399"/>
      <c r="M593" s="399"/>
      <c r="N593" s="399"/>
      <c r="O593" s="339"/>
      <c r="P593" s="168">
        <f t="shared" si="232"/>
        <v>17270</v>
      </c>
      <c r="Q593" s="168">
        <f t="shared" si="233"/>
        <v>0</v>
      </c>
      <c r="R593" s="168">
        <f t="shared" si="233"/>
        <v>17270</v>
      </c>
    </row>
    <row r="594" spans="2:18" x14ac:dyDescent="0.2">
      <c r="B594" s="171">
        <f t="shared" si="221"/>
        <v>238</v>
      </c>
      <c r="C594" s="130"/>
      <c r="D594" s="131"/>
      <c r="E594" s="165"/>
      <c r="F594" s="131" t="s">
        <v>218</v>
      </c>
      <c r="G594" s="194" t="s">
        <v>791</v>
      </c>
      <c r="H594" s="430">
        <v>2594</v>
      </c>
      <c r="I594" s="430"/>
      <c r="J594" s="430">
        <f t="shared" si="236"/>
        <v>2594</v>
      </c>
      <c r="K594" s="339"/>
      <c r="L594" s="399"/>
      <c r="M594" s="399"/>
      <c r="N594" s="399"/>
      <c r="O594" s="339"/>
      <c r="P594" s="168">
        <f t="shared" si="232"/>
        <v>2594</v>
      </c>
      <c r="Q594" s="168">
        <f t="shared" ref="Q594:R609" si="237">I594+M594</f>
        <v>0</v>
      </c>
      <c r="R594" s="168">
        <f t="shared" si="237"/>
        <v>2594</v>
      </c>
    </row>
    <row r="595" spans="2:18" x14ac:dyDescent="0.2">
      <c r="B595" s="171">
        <f t="shared" si="221"/>
        <v>239</v>
      </c>
      <c r="C595" s="130"/>
      <c r="D595" s="131"/>
      <c r="E595" s="165"/>
      <c r="F595" s="284" t="s">
        <v>217</v>
      </c>
      <c r="G595" s="199" t="s">
        <v>506</v>
      </c>
      <c r="H595" s="462">
        <v>275</v>
      </c>
      <c r="I595" s="462"/>
      <c r="J595" s="462">
        <f t="shared" si="236"/>
        <v>275</v>
      </c>
      <c r="K595" s="339"/>
      <c r="L595" s="399"/>
      <c r="M595" s="399"/>
      <c r="N595" s="399"/>
      <c r="O595" s="339"/>
      <c r="P595" s="168">
        <f t="shared" si="232"/>
        <v>275</v>
      </c>
      <c r="Q595" s="168">
        <f t="shared" si="237"/>
        <v>0</v>
      </c>
      <c r="R595" s="168">
        <f t="shared" si="237"/>
        <v>275</v>
      </c>
    </row>
    <row r="596" spans="2:18" x14ac:dyDescent="0.2">
      <c r="B596" s="171">
        <f t="shared" si="221"/>
        <v>240</v>
      </c>
      <c r="C596" s="130"/>
      <c r="D596" s="131"/>
      <c r="E596" s="165"/>
      <c r="F596" s="284" t="s">
        <v>217</v>
      </c>
      <c r="G596" s="199" t="s">
        <v>371</v>
      </c>
      <c r="H596" s="462">
        <v>522</v>
      </c>
      <c r="I596" s="462"/>
      <c r="J596" s="462">
        <f t="shared" si="236"/>
        <v>522</v>
      </c>
      <c r="K596" s="339"/>
      <c r="L596" s="399"/>
      <c r="M596" s="399"/>
      <c r="N596" s="399"/>
      <c r="O596" s="339"/>
      <c r="P596" s="531">
        <f t="shared" si="232"/>
        <v>522</v>
      </c>
      <c r="Q596" s="531">
        <f t="shared" si="237"/>
        <v>0</v>
      </c>
      <c r="R596" s="531">
        <f t="shared" si="237"/>
        <v>522</v>
      </c>
    </row>
    <row r="597" spans="2:18" x14ac:dyDescent="0.2">
      <c r="B597" s="171">
        <f t="shared" si="221"/>
        <v>241</v>
      </c>
      <c r="C597" s="130"/>
      <c r="D597" s="131"/>
      <c r="E597" s="165"/>
      <c r="F597" s="284" t="s">
        <v>432</v>
      </c>
      <c r="G597" s="199" t="s">
        <v>758</v>
      </c>
      <c r="H597" s="462"/>
      <c r="I597" s="462"/>
      <c r="J597" s="462"/>
      <c r="K597" s="339"/>
      <c r="L597" s="530">
        <f>2680+36</f>
        <v>2716</v>
      </c>
      <c r="M597" s="530"/>
      <c r="N597" s="530">
        <f t="shared" si="228"/>
        <v>2716</v>
      </c>
      <c r="O597" s="339"/>
      <c r="P597" s="531">
        <f t="shared" si="232"/>
        <v>2716</v>
      </c>
      <c r="Q597" s="531">
        <f t="shared" si="237"/>
        <v>0</v>
      </c>
      <c r="R597" s="531">
        <f t="shared" si="237"/>
        <v>2716</v>
      </c>
    </row>
    <row r="598" spans="2:18" x14ac:dyDescent="0.2">
      <c r="B598" s="171">
        <f t="shared" si="221"/>
        <v>242</v>
      </c>
      <c r="C598" s="130"/>
      <c r="D598" s="131"/>
      <c r="E598" s="165"/>
      <c r="F598" s="284" t="s">
        <v>321</v>
      </c>
      <c r="G598" s="199" t="s">
        <v>842</v>
      </c>
      <c r="H598" s="462"/>
      <c r="I598" s="462"/>
      <c r="J598" s="462"/>
      <c r="K598" s="339"/>
      <c r="L598" s="402">
        <f>70000+20000</f>
        <v>90000</v>
      </c>
      <c r="M598" s="402"/>
      <c r="N598" s="402">
        <f t="shared" si="228"/>
        <v>90000</v>
      </c>
      <c r="O598" s="339"/>
      <c r="P598" s="531">
        <f t="shared" si="232"/>
        <v>90000</v>
      </c>
      <c r="Q598" s="531">
        <f t="shared" si="237"/>
        <v>0</v>
      </c>
      <c r="R598" s="531">
        <f t="shared" si="237"/>
        <v>90000</v>
      </c>
    </row>
    <row r="599" spans="2:18" ht="15" x14ac:dyDescent="0.25">
      <c r="B599" s="171">
        <f t="shared" si="221"/>
        <v>243</v>
      </c>
      <c r="C599" s="130"/>
      <c r="D599" s="261" t="s">
        <v>8</v>
      </c>
      <c r="E599" s="147" t="s">
        <v>429</v>
      </c>
      <c r="F599" s="147" t="s">
        <v>369</v>
      </c>
      <c r="G599" s="236"/>
      <c r="H599" s="425">
        <f>H600+H612</f>
        <v>950887</v>
      </c>
      <c r="I599" s="425">
        <f t="shared" ref="I599" si="238">I600+I612</f>
        <v>0</v>
      </c>
      <c r="J599" s="425">
        <f>H599+I599</f>
        <v>950887</v>
      </c>
      <c r="K599" s="132"/>
      <c r="L599" s="863"/>
      <c r="M599" s="863"/>
      <c r="N599" s="863"/>
      <c r="O599" s="132"/>
      <c r="P599" s="330">
        <f t="shared" si="232"/>
        <v>950887</v>
      </c>
      <c r="Q599" s="330">
        <f t="shared" si="237"/>
        <v>0</v>
      </c>
      <c r="R599" s="330">
        <f t="shared" si="237"/>
        <v>950887</v>
      </c>
    </row>
    <row r="600" spans="2:18" ht="14.25" x14ac:dyDescent="0.2">
      <c r="B600" s="171">
        <f t="shared" si="221"/>
        <v>244</v>
      </c>
      <c r="C600" s="76"/>
      <c r="D600" s="516"/>
      <c r="E600" s="522" t="s">
        <v>428</v>
      </c>
      <c r="F600" s="519" t="s">
        <v>687</v>
      </c>
      <c r="G600" s="518"/>
      <c r="H600" s="520">
        <f>H601+H602+H603+H611</f>
        <v>420125</v>
      </c>
      <c r="I600" s="520">
        <f t="shared" ref="I600" si="239">I601+I602+I603+I611</f>
        <v>0</v>
      </c>
      <c r="J600" s="520">
        <f>H600+I600</f>
        <v>420125</v>
      </c>
      <c r="K600" s="333"/>
      <c r="L600" s="861"/>
      <c r="M600" s="861"/>
      <c r="N600" s="861"/>
      <c r="O600" s="333"/>
      <c r="P600" s="521">
        <f t="shared" si="232"/>
        <v>420125</v>
      </c>
      <c r="Q600" s="521">
        <f t="shared" si="237"/>
        <v>0</v>
      </c>
      <c r="R600" s="521">
        <f t="shared" si="237"/>
        <v>420125</v>
      </c>
    </row>
    <row r="601" spans="2:18" x14ac:dyDescent="0.2">
      <c r="B601" s="171">
        <f t="shared" si="221"/>
        <v>245</v>
      </c>
      <c r="C601" s="130"/>
      <c r="D601" s="131"/>
      <c r="E601" s="131"/>
      <c r="F601" s="144" t="s">
        <v>211</v>
      </c>
      <c r="G601" s="199" t="s">
        <v>505</v>
      </c>
      <c r="H601" s="530">
        <f>234360+12900</f>
        <v>247260</v>
      </c>
      <c r="I601" s="530"/>
      <c r="J601" s="530">
        <f>H601+I601</f>
        <v>247260</v>
      </c>
      <c r="K601" s="339"/>
      <c r="L601" s="434"/>
      <c r="M601" s="434"/>
      <c r="N601" s="434"/>
      <c r="O601" s="339"/>
      <c r="P601" s="166">
        <f t="shared" si="232"/>
        <v>247260</v>
      </c>
      <c r="Q601" s="166">
        <f t="shared" si="237"/>
        <v>0</v>
      </c>
      <c r="R601" s="166">
        <f t="shared" si="237"/>
        <v>247260</v>
      </c>
    </row>
    <row r="602" spans="2:18" x14ac:dyDescent="0.2">
      <c r="B602" s="171">
        <f t="shared" si="221"/>
        <v>246</v>
      </c>
      <c r="C602" s="130"/>
      <c r="D602" s="131"/>
      <c r="E602" s="131"/>
      <c r="F602" s="144" t="s">
        <v>212</v>
      </c>
      <c r="G602" s="199" t="s">
        <v>259</v>
      </c>
      <c r="H602" s="530">
        <f>85990+5000</f>
        <v>90990</v>
      </c>
      <c r="I602" s="530"/>
      <c r="J602" s="530">
        <f t="shared" ref="J602:J611" si="240">H602+I602</f>
        <v>90990</v>
      </c>
      <c r="K602" s="339"/>
      <c r="L602" s="434"/>
      <c r="M602" s="434"/>
      <c r="N602" s="434"/>
      <c r="O602" s="339"/>
      <c r="P602" s="166">
        <f t="shared" si="232"/>
        <v>90990</v>
      </c>
      <c r="Q602" s="166">
        <f t="shared" si="237"/>
        <v>0</v>
      </c>
      <c r="R602" s="166">
        <f t="shared" si="237"/>
        <v>90990</v>
      </c>
    </row>
    <row r="603" spans="2:18" x14ac:dyDescent="0.2">
      <c r="B603" s="171">
        <f t="shared" si="221"/>
        <v>247</v>
      </c>
      <c r="C603" s="130"/>
      <c r="D603" s="131"/>
      <c r="E603" s="131"/>
      <c r="F603" s="144" t="s">
        <v>218</v>
      </c>
      <c r="G603" s="199" t="s">
        <v>340</v>
      </c>
      <c r="H603" s="530">
        <f>SUM(H604:H610)</f>
        <v>72885</v>
      </c>
      <c r="I603" s="530"/>
      <c r="J603" s="530">
        <f t="shared" si="240"/>
        <v>72885</v>
      </c>
      <c r="K603" s="339"/>
      <c r="L603" s="434"/>
      <c r="M603" s="434"/>
      <c r="N603" s="434"/>
      <c r="O603" s="339"/>
      <c r="P603" s="166">
        <f t="shared" si="232"/>
        <v>72885</v>
      </c>
      <c r="Q603" s="166">
        <f t="shared" si="237"/>
        <v>0</v>
      </c>
      <c r="R603" s="166">
        <f t="shared" si="237"/>
        <v>72885</v>
      </c>
    </row>
    <row r="604" spans="2:18" x14ac:dyDescent="0.2">
      <c r="B604" s="171">
        <f t="shared" si="221"/>
        <v>248</v>
      </c>
      <c r="C604" s="130"/>
      <c r="D604" s="131"/>
      <c r="E604" s="131"/>
      <c r="F604" s="131" t="s">
        <v>213</v>
      </c>
      <c r="G604" s="194" t="s">
        <v>255</v>
      </c>
      <c r="H604" s="399">
        <v>270</v>
      </c>
      <c r="I604" s="399"/>
      <c r="J604" s="399">
        <f t="shared" si="240"/>
        <v>270</v>
      </c>
      <c r="K604" s="339"/>
      <c r="L604" s="434"/>
      <c r="M604" s="434"/>
      <c r="N604" s="434"/>
      <c r="O604" s="339"/>
      <c r="P604" s="167">
        <f t="shared" si="232"/>
        <v>270</v>
      </c>
      <c r="Q604" s="167">
        <f t="shared" si="237"/>
        <v>0</v>
      </c>
      <c r="R604" s="167">
        <f t="shared" si="237"/>
        <v>270</v>
      </c>
    </row>
    <row r="605" spans="2:18" x14ac:dyDescent="0.2">
      <c r="B605" s="171">
        <f t="shared" si="221"/>
        <v>249</v>
      </c>
      <c r="C605" s="130"/>
      <c r="D605" s="131"/>
      <c r="E605" s="131"/>
      <c r="F605" s="131" t="s">
        <v>199</v>
      </c>
      <c r="G605" s="194" t="s">
        <v>318</v>
      </c>
      <c r="H605" s="399">
        <v>25425</v>
      </c>
      <c r="I605" s="399"/>
      <c r="J605" s="399">
        <f t="shared" si="240"/>
        <v>25425</v>
      </c>
      <c r="K605" s="339"/>
      <c r="L605" s="434"/>
      <c r="M605" s="434"/>
      <c r="N605" s="434"/>
      <c r="O605" s="339"/>
      <c r="P605" s="167">
        <f t="shared" si="232"/>
        <v>25425</v>
      </c>
      <c r="Q605" s="167">
        <f t="shared" si="237"/>
        <v>0</v>
      </c>
      <c r="R605" s="167">
        <f t="shared" si="237"/>
        <v>25425</v>
      </c>
    </row>
    <row r="606" spans="2:18" x14ac:dyDescent="0.2">
      <c r="B606" s="171">
        <f t="shared" si="221"/>
        <v>250</v>
      </c>
      <c r="C606" s="130"/>
      <c r="D606" s="131"/>
      <c r="E606" s="131"/>
      <c r="F606" s="131" t="s">
        <v>200</v>
      </c>
      <c r="G606" s="194" t="s">
        <v>247</v>
      </c>
      <c r="H606" s="399">
        <v>13320</v>
      </c>
      <c r="I606" s="399"/>
      <c r="J606" s="399">
        <f t="shared" si="240"/>
        <v>13320</v>
      </c>
      <c r="K606" s="339"/>
      <c r="L606" s="434"/>
      <c r="M606" s="434"/>
      <c r="N606" s="434"/>
      <c r="O606" s="339"/>
      <c r="P606" s="167">
        <f t="shared" si="232"/>
        <v>13320</v>
      </c>
      <c r="Q606" s="167">
        <f t="shared" si="237"/>
        <v>0</v>
      </c>
      <c r="R606" s="167">
        <f t="shared" si="237"/>
        <v>13320</v>
      </c>
    </row>
    <row r="607" spans="2:18" x14ac:dyDescent="0.2">
      <c r="B607" s="171">
        <f t="shared" si="221"/>
        <v>251</v>
      </c>
      <c r="C607" s="130"/>
      <c r="D607" s="131"/>
      <c r="E607" s="131"/>
      <c r="F607" s="131" t="s">
        <v>201</v>
      </c>
      <c r="G607" s="194" t="s">
        <v>260</v>
      </c>
      <c r="H607" s="399">
        <v>110</v>
      </c>
      <c r="I607" s="399"/>
      <c r="J607" s="399">
        <f t="shared" si="240"/>
        <v>110</v>
      </c>
      <c r="K607" s="339"/>
      <c r="L607" s="434"/>
      <c r="M607" s="434"/>
      <c r="N607" s="434"/>
      <c r="O607" s="339"/>
      <c r="P607" s="167">
        <f t="shared" si="232"/>
        <v>110</v>
      </c>
      <c r="Q607" s="167">
        <f t="shared" si="237"/>
        <v>0</v>
      </c>
      <c r="R607" s="167">
        <f t="shared" si="237"/>
        <v>110</v>
      </c>
    </row>
    <row r="608" spans="2:18" x14ac:dyDescent="0.2">
      <c r="B608" s="171">
        <f t="shared" si="221"/>
        <v>252</v>
      </c>
      <c r="C608" s="130"/>
      <c r="D608" s="131"/>
      <c r="E608" s="131"/>
      <c r="F608" s="131" t="s">
        <v>214</v>
      </c>
      <c r="G608" s="194" t="s">
        <v>261</v>
      </c>
      <c r="H608" s="399">
        <f>12270+7000</f>
        <v>19270</v>
      </c>
      <c r="I608" s="399"/>
      <c r="J608" s="399">
        <f t="shared" si="240"/>
        <v>19270</v>
      </c>
      <c r="K608" s="339"/>
      <c r="L608" s="434"/>
      <c r="M608" s="434"/>
      <c r="N608" s="434"/>
      <c r="O608" s="339"/>
      <c r="P608" s="167">
        <f t="shared" si="232"/>
        <v>19270</v>
      </c>
      <c r="Q608" s="167">
        <f t="shared" si="237"/>
        <v>0</v>
      </c>
      <c r="R608" s="167">
        <f t="shared" si="237"/>
        <v>19270</v>
      </c>
    </row>
    <row r="609" spans="2:18" x14ac:dyDescent="0.2">
      <c r="B609" s="171">
        <f t="shared" si="221"/>
        <v>253</v>
      </c>
      <c r="C609" s="130"/>
      <c r="D609" s="131"/>
      <c r="E609" s="131"/>
      <c r="F609" s="131" t="s">
        <v>215</v>
      </c>
      <c r="G609" s="194" t="s">
        <v>370</v>
      </c>
      <c r="H609" s="430">
        <v>1035</v>
      </c>
      <c r="I609" s="430"/>
      <c r="J609" s="399">
        <f t="shared" si="240"/>
        <v>1035</v>
      </c>
      <c r="K609" s="340"/>
      <c r="L609" s="399"/>
      <c r="M609" s="399"/>
      <c r="N609" s="399"/>
      <c r="O609" s="340"/>
      <c r="P609" s="168">
        <f t="shared" si="232"/>
        <v>1035</v>
      </c>
      <c r="Q609" s="168">
        <f t="shared" si="237"/>
        <v>0</v>
      </c>
      <c r="R609" s="168">
        <f t="shared" si="237"/>
        <v>1035</v>
      </c>
    </row>
    <row r="610" spans="2:18" x14ac:dyDescent="0.2">
      <c r="B610" s="171">
        <f t="shared" si="221"/>
        <v>254</v>
      </c>
      <c r="C610" s="130"/>
      <c r="D610" s="131"/>
      <c r="E610" s="131"/>
      <c r="F610" s="131" t="s">
        <v>216</v>
      </c>
      <c r="G610" s="194" t="s">
        <v>248</v>
      </c>
      <c r="H610" s="399">
        <v>13455</v>
      </c>
      <c r="I610" s="399"/>
      <c r="J610" s="399">
        <f t="shared" si="240"/>
        <v>13455</v>
      </c>
      <c r="K610" s="340"/>
      <c r="L610" s="399"/>
      <c r="M610" s="399"/>
      <c r="N610" s="399"/>
      <c r="O610" s="340"/>
      <c r="P610" s="168">
        <f t="shared" ref="P610:P645" si="241">H610+L610</f>
        <v>13455</v>
      </c>
      <c r="Q610" s="168">
        <f t="shared" ref="Q610:R625" si="242">I610+M610</f>
        <v>0</v>
      </c>
      <c r="R610" s="168">
        <f t="shared" si="242"/>
        <v>13455</v>
      </c>
    </row>
    <row r="611" spans="2:18" x14ac:dyDescent="0.2">
      <c r="B611" s="171">
        <f t="shared" si="221"/>
        <v>255</v>
      </c>
      <c r="C611" s="130"/>
      <c r="D611" s="131"/>
      <c r="E611" s="169"/>
      <c r="F611" s="144" t="s">
        <v>217</v>
      </c>
      <c r="G611" s="199" t="s">
        <v>371</v>
      </c>
      <c r="H611" s="530">
        <f>8490+500</f>
        <v>8990</v>
      </c>
      <c r="I611" s="530"/>
      <c r="J611" s="530">
        <f t="shared" si="240"/>
        <v>8990</v>
      </c>
      <c r="K611" s="341"/>
      <c r="L611" s="530"/>
      <c r="M611" s="530"/>
      <c r="N611" s="530"/>
      <c r="O611" s="341"/>
      <c r="P611" s="531">
        <f t="shared" si="241"/>
        <v>8990</v>
      </c>
      <c r="Q611" s="531">
        <f t="shared" si="242"/>
        <v>0</v>
      </c>
      <c r="R611" s="531">
        <f t="shared" si="242"/>
        <v>8990</v>
      </c>
    </row>
    <row r="612" spans="2:18" ht="14.25" x14ac:dyDescent="0.2">
      <c r="B612" s="171">
        <f t="shared" si="221"/>
        <v>256</v>
      </c>
      <c r="C612" s="130"/>
      <c r="D612" s="131"/>
      <c r="E612" s="522" t="s">
        <v>685</v>
      </c>
      <c r="F612" s="519" t="s">
        <v>686</v>
      </c>
      <c r="G612" s="516"/>
      <c r="H612" s="523">
        <f>H613+H614+H615+H623</f>
        <v>530762</v>
      </c>
      <c r="I612" s="523">
        <f t="shared" ref="I612" si="243">I613+I614+I615+I623</f>
        <v>0</v>
      </c>
      <c r="J612" s="523">
        <f>H612+I612</f>
        <v>530762</v>
      </c>
      <c r="K612" s="339"/>
      <c r="L612" s="861"/>
      <c r="M612" s="861"/>
      <c r="N612" s="861"/>
      <c r="O612" s="339"/>
      <c r="P612" s="521">
        <f t="shared" si="241"/>
        <v>530762</v>
      </c>
      <c r="Q612" s="521">
        <f t="shared" si="242"/>
        <v>0</v>
      </c>
      <c r="R612" s="521">
        <f t="shared" si="242"/>
        <v>530762</v>
      </c>
    </row>
    <row r="613" spans="2:18" x14ac:dyDescent="0.2">
      <c r="B613" s="171">
        <f t="shared" si="221"/>
        <v>257</v>
      </c>
      <c r="C613" s="130"/>
      <c r="D613" s="131"/>
      <c r="E613" s="165"/>
      <c r="F613" s="144" t="s">
        <v>211</v>
      </c>
      <c r="G613" s="199" t="s">
        <v>505</v>
      </c>
      <c r="H613" s="462">
        <f>289990+22123-3550</f>
        <v>308563</v>
      </c>
      <c r="I613" s="462"/>
      <c r="J613" s="462">
        <f>H613+I613</f>
        <v>308563</v>
      </c>
      <c r="K613" s="339"/>
      <c r="L613" s="399"/>
      <c r="M613" s="399"/>
      <c r="N613" s="399"/>
      <c r="O613" s="339"/>
      <c r="P613" s="531">
        <f t="shared" si="241"/>
        <v>308563</v>
      </c>
      <c r="Q613" s="531">
        <f t="shared" si="242"/>
        <v>0</v>
      </c>
      <c r="R613" s="531">
        <f t="shared" si="242"/>
        <v>308563</v>
      </c>
    </row>
    <row r="614" spans="2:18" x14ac:dyDescent="0.2">
      <c r="B614" s="171">
        <f t="shared" si="221"/>
        <v>258</v>
      </c>
      <c r="C614" s="130"/>
      <c r="D614" s="131"/>
      <c r="E614" s="165"/>
      <c r="F614" s="144" t="s">
        <v>212</v>
      </c>
      <c r="G614" s="199" t="s">
        <v>259</v>
      </c>
      <c r="H614" s="462">
        <f>106345+6746</f>
        <v>113091</v>
      </c>
      <c r="I614" s="462"/>
      <c r="J614" s="462">
        <f t="shared" ref="J614:J623" si="244">H614+I614</f>
        <v>113091</v>
      </c>
      <c r="K614" s="339"/>
      <c r="L614" s="399"/>
      <c r="M614" s="399"/>
      <c r="N614" s="399"/>
      <c r="O614" s="339"/>
      <c r="P614" s="531">
        <f t="shared" si="241"/>
        <v>113091</v>
      </c>
      <c r="Q614" s="531">
        <f t="shared" si="242"/>
        <v>0</v>
      </c>
      <c r="R614" s="531">
        <f t="shared" si="242"/>
        <v>113091</v>
      </c>
    </row>
    <row r="615" spans="2:18" x14ac:dyDescent="0.2">
      <c r="B615" s="171">
        <f t="shared" si="221"/>
        <v>259</v>
      </c>
      <c r="C615" s="130"/>
      <c r="D615" s="131"/>
      <c r="E615" s="165"/>
      <c r="F615" s="144" t="s">
        <v>218</v>
      </c>
      <c r="G615" s="199" t="s">
        <v>340</v>
      </c>
      <c r="H615" s="530">
        <f>SUM(H616:H622)</f>
        <v>98068</v>
      </c>
      <c r="I615" s="530"/>
      <c r="J615" s="462">
        <f t="shared" si="244"/>
        <v>98068</v>
      </c>
      <c r="K615" s="339"/>
      <c r="L615" s="399"/>
      <c r="M615" s="399"/>
      <c r="N615" s="399"/>
      <c r="O615" s="339"/>
      <c r="P615" s="531">
        <f t="shared" si="241"/>
        <v>98068</v>
      </c>
      <c r="Q615" s="531">
        <f t="shared" si="242"/>
        <v>0</v>
      </c>
      <c r="R615" s="531">
        <f t="shared" si="242"/>
        <v>98068</v>
      </c>
    </row>
    <row r="616" spans="2:18" x14ac:dyDescent="0.2">
      <c r="B616" s="171">
        <f t="shared" ref="B616:B679" si="245">B615+1</f>
        <v>260</v>
      </c>
      <c r="C616" s="130"/>
      <c r="D616" s="131"/>
      <c r="E616" s="165"/>
      <c r="F616" s="131" t="s">
        <v>213</v>
      </c>
      <c r="G616" s="194" t="s">
        <v>255</v>
      </c>
      <c r="H616" s="430">
        <v>330</v>
      </c>
      <c r="I616" s="430"/>
      <c r="J616" s="430">
        <f t="shared" si="244"/>
        <v>330</v>
      </c>
      <c r="K616" s="339"/>
      <c r="L616" s="399"/>
      <c r="M616" s="399"/>
      <c r="N616" s="399"/>
      <c r="O616" s="339"/>
      <c r="P616" s="168">
        <f t="shared" si="241"/>
        <v>330</v>
      </c>
      <c r="Q616" s="168">
        <f t="shared" si="242"/>
        <v>0</v>
      </c>
      <c r="R616" s="168">
        <f t="shared" si="242"/>
        <v>330</v>
      </c>
    </row>
    <row r="617" spans="2:18" x14ac:dyDescent="0.2">
      <c r="B617" s="171">
        <f t="shared" si="245"/>
        <v>261</v>
      </c>
      <c r="C617" s="130"/>
      <c r="D617" s="131"/>
      <c r="E617" s="165"/>
      <c r="F617" s="131" t="s">
        <v>199</v>
      </c>
      <c r="G617" s="194" t="s">
        <v>318</v>
      </c>
      <c r="H617" s="430">
        <v>31075</v>
      </c>
      <c r="I617" s="430"/>
      <c r="J617" s="430">
        <f t="shared" si="244"/>
        <v>31075</v>
      </c>
      <c r="K617" s="339"/>
      <c r="L617" s="399"/>
      <c r="M617" s="399"/>
      <c r="N617" s="399"/>
      <c r="O617" s="339"/>
      <c r="P617" s="168">
        <f t="shared" si="241"/>
        <v>31075</v>
      </c>
      <c r="Q617" s="168">
        <f t="shared" si="242"/>
        <v>0</v>
      </c>
      <c r="R617" s="168">
        <f t="shared" si="242"/>
        <v>31075</v>
      </c>
    </row>
    <row r="618" spans="2:18" x14ac:dyDescent="0.2">
      <c r="B618" s="171">
        <f t="shared" si="245"/>
        <v>262</v>
      </c>
      <c r="C618" s="130"/>
      <c r="D618" s="131"/>
      <c r="E618" s="165"/>
      <c r="F618" s="131" t="s">
        <v>200</v>
      </c>
      <c r="G618" s="194" t="s">
        <v>247</v>
      </c>
      <c r="H618" s="430">
        <v>16485</v>
      </c>
      <c r="I618" s="430"/>
      <c r="J618" s="430">
        <f t="shared" si="244"/>
        <v>16485</v>
      </c>
      <c r="K618" s="339"/>
      <c r="L618" s="399"/>
      <c r="M618" s="399"/>
      <c r="N618" s="399"/>
      <c r="O618" s="339"/>
      <c r="P618" s="168">
        <f t="shared" si="241"/>
        <v>16485</v>
      </c>
      <c r="Q618" s="168">
        <f t="shared" si="242"/>
        <v>0</v>
      </c>
      <c r="R618" s="168">
        <f t="shared" si="242"/>
        <v>16485</v>
      </c>
    </row>
    <row r="619" spans="2:18" x14ac:dyDescent="0.2">
      <c r="B619" s="171">
        <f t="shared" si="245"/>
        <v>263</v>
      </c>
      <c r="C619" s="130"/>
      <c r="D619" s="131"/>
      <c r="E619" s="165"/>
      <c r="F619" s="131" t="s">
        <v>201</v>
      </c>
      <c r="G619" s="194" t="s">
        <v>260</v>
      </c>
      <c r="H619" s="430">
        <v>140</v>
      </c>
      <c r="I619" s="430"/>
      <c r="J619" s="430">
        <f t="shared" si="244"/>
        <v>140</v>
      </c>
      <c r="K619" s="339"/>
      <c r="L619" s="399"/>
      <c r="M619" s="399"/>
      <c r="N619" s="399"/>
      <c r="O619" s="339"/>
      <c r="P619" s="168">
        <f t="shared" si="241"/>
        <v>140</v>
      </c>
      <c r="Q619" s="168">
        <f t="shared" si="242"/>
        <v>0</v>
      </c>
      <c r="R619" s="168">
        <f t="shared" si="242"/>
        <v>140</v>
      </c>
    </row>
    <row r="620" spans="2:18" x14ac:dyDescent="0.2">
      <c r="B620" s="171">
        <f t="shared" si="245"/>
        <v>264</v>
      </c>
      <c r="C620" s="130"/>
      <c r="D620" s="131"/>
      <c r="E620" s="165"/>
      <c r="F620" s="131" t="s">
        <v>214</v>
      </c>
      <c r="G620" s="194" t="s">
        <v>261</v>
      </c>
      <c r="H620" s="430">
        <f>17630+10148</f>
        <v>27778</v>
      </c>
      <c r="I620" s="430"/>
      <c r="J620" s="430">
        <f t="shared" si="244"/>
        <v>27778</v>
      </c>
      <c r="K620" s="339"/>
      <c r="L620" s="399"/>
      <c r="M620" s="399"/>
      <c r="N620" s="399"/>
      <c r="O620" s="339"/>
      <c r="P620" s="168">
        <f t="shared" si="241"/>
        <v>27778</v>
      </c>
      <c r="Q620" s="168">
        <f t="shared" si="242"/>
        <v>0</v>
      </c>
      <c r="R620" s="168">
        <f t="shared" si="242"/>
        <v>27778</v>
      </c>
    </row>
    <row r="621" spans="2:18" x14ac:dyDescent="0.2">
      <c r="B621" s="171">
        <f t="shared" si="245"/>
        <v>265</v>
      </c>
      <c r="C621" s="130"/>
      <c r="D621" s="131"/>
      <c r="E621" s="165"/>
      <c r="F621" s="131" t="s">
        <v>215</v>
      </c>
      <c r="G621" s="194" t="s">
        <v>634</v>
      </c>
      <c r="H621" s="430">
        <v>1265</v>
      </c>
      <c r="I621" s="430"/>
      <c r="J621" s="430">
        <f t="shared" si="244"/>
        <v>1265</v>
      </c>
      <c r="K621" s="339"/>
      <c r="L621" s="399"/>
      <c r="M621" s="399"/>
      <c r="N621" s="399"/>
      <c r="O621" s="339"/>
      <c r="P621" s="168">
        <f t="shared" si="241"/>
        <v>1265</v>
      </c>
      <c r="Q621" s="168">
        <f t="shared" si="242"/>
        <v>0</v>
      </c>
      <c r="R621" s="168">
        <f t="shared" si="242"/>
        <v>1265</v>
      </c>
    </row>
    <row r="622" spans="2:18" x14ac:dyDescent="0.2">
      <c r="B622" s="171">
        <f t="shared" si="245"/>
        <v>266</v>
      </c>
      <c r="C622" s="130"/>
      <c r="D622" s="131"/>
      <c r="E622" s="165"/>
      <c r="F622" s="131" t="s">
        <v>216</v>
      </c>
      <c r="G622" s="194" t="s">
        <v>248</v>
      </c>
      <c r="H622" s="430">
        <f>17445+3550</f>
        <v>20995</v>
      </c>
      <c r="I622" s="430"/>
      <c r="J622" s="430">
        <f t="shared" si="244"/>
        <v>20995</v>
      </c>
      <c r="K622" s="339"/>
      <c r="L622" s="399"/>
      <c r="M622" s="399"/>
      <c r="N622" s="399"/>
      <c r="O622" s="339"/>
      <c r="P622" s="168">
        <f t="shared" si="241"/>
        <v>20995</v>
      </c>
      <c r="Q622" s="168">
        <f t="shared" si="242"/>
        <v>0</v>
      </c>
      <c r="R622" s="168">
        <f t="shared" si="242"/>
        <v>20995</v>
      </c>
    </row>
    <row r="623" spans="2:18" x14ac:dyDescent="0.2">
      <c r="B623" s="171">
        <f t="shared" si="245"/>
        <v>267</v>
      </c>
      <c r="C623" s="130"/>
      <c r="D623" s="131"/>
      <c r="E623" s="165"/>
      <c r="F623" s="284" t="s">
        <v>217</v>
      </c>
      <c r="G623" s="199" t="s">
        <v>371</v>
      </c>
      <c r="H623" s="462">
        <f>10390+650</f>
        <v>11040</v>
      </c>
      <c r="I623" s="462"/>
      <c r="J623" s="462">
        <f t="shared" si="244"/>
        <v>11040</v>
      </c>
      <c r="K623" s="339"/>
      <c r="L623" s="399"/>
      <c r="M623" s="399"/>
      <c r="N623" s="399"/>
      <c r="O623" s="339"/>
      <c r="P623" s="531">
        <f t="shared" si="241"/>
        <v>11040</v>
      </c>
      <c r="Q623" s="531">
        <f t="shared" si="242"/>
        <v>0</v>
      </c>
      <c r="R623" s="531">
        <f t="shared" si="242"/>
        <v>11040</v>
      </c>
    </row>
    <row r="624" spans="2:18" ht="15" x14ac:dyDescent="0.25">
      <c r="B624" s="171">
        <f t="shared" si="245"/>
        <v>268</v>
      </c>
      <c r="C624" s="130"/>
      <c r="D624" s="261" t="s">
        <v>169</v>
      </c>
      <c r="E624" s="147" t="s">
        <v>429</v>
      </c>
      <c r="F624" s="147" t="s">
        <v>372</v>
      </c>
      <c r="G624" s="236"/>
      <c r="H624" s="425">
        <f>H625+H635</f>
        <v>529350</v>
      </c>
      <c r="I624" s="425">
        <f t="shared" ref="I624" si="246">I625+I635</f>
        <v>0</v>
      </c>
      <c r="J624" s="425">
        <f>H624+I624</f>
        <v>529350</v>
      </c>
      <c r="K624" s="342"/>
      <c r="L624" s="854">
        <f>L625+L635</f>
        <v>40000</v>
      </c>
      <c r="M624" s="854">
        <f t="shared" ref="M624" si="247">M625+M635</f>
        <v>0</v>
      </c>
      <c r="N624" s="854">
        <f t="shared" ref="N624:N647" si="248">L624+M624</f>
        <v>40000</v>
      </c>
      <c r="O624" s="342"/>
      <c r="P624" s="330">
        <f t="shared" si="241"/>
        <v>569350</v>
      </c>
      <c r="Q624" s="330">
        <f t="shared" si="242"/>
        <v>0</v>
      </c>
      <c r="R624" s="330">
        <f t="shared" si="242"/>
        <v>569350</v>
      </c>
    </row>
    <row r="625" spans="2:18" ht="14.25" x14ac:dyDescent="0.2">
      <c r="B625" s="171">
        <f t="shared" si="245"/>
        <v>269</v>
      </c>
      <c r="C625" s="76"/>
      <c r="D625" s="516"/>
      <c r="E625" s="522" t="s">
        <v>428</v>
      </c>
      <c r="F625" s="519" t="s">
        <v>687</v>
      </c>
      <c r="G625" s="518"/>
      <c r="H625" s="520">
        <f>H626+H627+H628+H634</f>
        <v>247960</v>
      </c>
      <c r="I625" s="520">
        <f t="shared" ref="I625" si="249">I626+I627+I628+I634</f>
        <v>0</v>
      </c>
      <c r="J625" s="520">
        <f>H625+I625</f>
        <v>247960</v>
      </c>
      <c r="K625" s="333"/>
      <c r="L625" s="861"/>
      <c r="M625" s="861"/>
      <c r="N625" s="861"/>
      <c r="O625" s="333"/>
      <c r="P625" s="521">
        <f t="shared" si="241"/>
        <v>247960</v>
      </c>
      <c r="Q625" s="521">
        <f t="shared" si="242"/>
        <v>0</v>
      </c>
      <c r="R625" s="521">
        <f t="shared" si="242"/>
        <v>247960</v>
      </c>
    </row>
    <row r="626" spans="2:18" x14ac:dyDescent="0.2">
      <c r="B626" s="171">
        <f t="shared" si="245"/>
        <v>270</v>
      </c>
      <c r="C626" s="130"/>
      <c r="D626" s="131"/>
      <c r="E626" s="131"/>
      <c r="F626" s="144" t="s">
        <v>211</v>
      </c>
      <c r="G626" s="199" t="s">
        <v>505</v>
      </c>
      <c r="H626" s="530">
        <f>141040+6050</f>
        <v>147090</v>
      </c>
      <c r="I626" s="530"/>
      <c r="J626" s="530">
        <f>H626+I626</f>
        <v>147090</v>
      </c>
      <c r="K626" s="339"/>
      <c r="L626" s="434"/>
      <c r="M626" s="434"/>
      <c r="N626" s="434"/>
      <c r="O626" s="339"/>
      <c r="P626" s="166">
        <f t="shared" si="241"/>
        <v>147090</v>
      </c>
      <c r="Q626" s="166">
        <f t="shared" ref="Q626:R641" si="250">I626+M626</f>
        <v>0</v>
      </c>
      <c r="R626" s="166">
        <f t="shared" si="250"/>
        <v>147090</v>
      </c>
    </row>
    <row r="627" spans="2:18" x14ac:dyDescent="0.2">
      <c r="B627" s="171">
        <f t="shared" si="245"/>
        <v>271</v>
      </c>
      <c r="C627" s="130"/>
      <c r="D627" s="131"/>
      <c r="E627" s="131"/>
      <c r="F627" s="144" t="s">
        <v>212</v>
      </c>
      <c r="G627" s="199" t="s">
        <v>259</v>
      </c>
      <c r="H627" s="530">
        <f>50327+1356</f>
        <v>51683</v>
      </c>
      <c r="I627" s="530"/>
      <c r="J627" s="530">
        <f t="shared" ref="J627:J690" si="251">H627+I627</f>
        <v>51683</v>
      </c>
      <c r="K627" s="339"/>
      <c r="L627" s="434"/>
      <c r="M627" s="434"/>
      <c r="N627" s="434"/>
      <c r="O627" s="339"/>
      <c r="P627" s="166">
        <f t="shared" si="241"/>
        <v>51683</v>
      </c>
      <c r="Q627" s="166">
        <f t="shared" si="250"/>
        <v>0</v>
      </c>
      <c r="R627" s="166">
        <f t="shared" si="250"/>
        <v>51683</v>
      </c>
    </row>
    <row r="628" spans="2:18" x14ac:dyDescent="0.2">
      <c r="B628" s="171">
        <f t="shared" si="245"/>
        <v>272</v>
      </c>
      <c r="C628" s="130"/>
      <c r="D628" s="131"/>
      <c r="E628" s="131"/>
      <c r="F628" s="144" t="s">
        <v>218</v>
      </c>
      <c r="G628" s="199" t="s">
        <v>340</v>
      </c>
      <c r="H628" s="530">
        <f>SUM(H629:H633)</f>
        <v>46437</v>
      </c>
      <c r="I628" s="530"/>
      <c r="J628" s="530">
        <f t="shared" si="251"/>
        <v>46437</v>
      </c>
      <c r="K628" s="339"/>
      <c r="L628" s="434"/>
      <c r="M628" s="434"/>
      <c r="N628" s="434"/>
      <c r="O628" s="339"/>
      <c r="P628" s="166">
        <f t="shared" si="241"/>
        <v>46437</v>
      </c>
      <c r="Q628" s="166">
        <f t="shared" si="250"/>
        <v>0</v>
      </c>
      <c r="R628" s="166">
        <f t="shared" si="250"/>
        <v>46437</v>
      </c>
    </row>
    <row r="629" spans="2:18" x14ac:dyDescent="0.2">
      <c r="B629" s="171">
        <f t="shared" si="245"/>
        <v>273</v>
      </c>
      <c r="C629" s="130"/>
      <c r="D629" s="131"/>
      <c r="E629" s="131"/>
      <c r="F629" s="131" t="s">
        <v>213</v>
      </c>
      <c r="G629" s="194" t="s">
        <v>255</v>
      </c>
      <c r="H629" s="399">
        <v>25</v>
      </c>
      <c r="I629" s="399"/>
      <c r="J629" s="399">
        <f t="shared" si="251"/>
        <v>25</v>
      </c>
      <c r="K629" s="339"/>
      <c r="L629" s="434"/>
      <c r="M629" s="434"/>
      <c r="N629" s="434"/>
      <c r="O629" s="339"/>
      <c r="P629" s="167">
        <f t="shared" si="241"/>
        <v>25</v>
      </c>
      <c r="Q629" s="167">
        <f t="shared" si="250"/>
        <v>0</v>
      </c>
      <c r="R629" s="167">
        <f t="shared" si="250"/>
        <v>25</v>
      </c>
    </row>
    <row r="630" spans="2:18" x14ac:dyDescent="0.2">
      <c r="B630" s="171">
        <f t="shared" si="245"/>
        <v>274</v>
      </c>
      <c r="C630" s="130"/>
      <c r="D630" s="131"/>
      <c r="E630" s="131"/>
      <c r="F630" s="131" t="s">
        <v>199</v>
      </c>
      <c r="G630" s="194" t="s">
        <v>318</v>
      </c>
      <c r="H630" s="399">
        <v>21550</v>
      </c>
      <c r="I630" s="399"/>
      <c r="J630" s="399">
        <f t="shared" si="251"/>
        <v>21550</v>
      </c>
      <c r="K630" s="339"/>
      <c r="L630" s="434"/>
      <c r="M630" s="434"/>
      <c r="N630" s="434"/>
      <c r="O630" s="339"/>
      <c r="P630" s="167">
        <f t="shared" si="241"/>
        <v>21550</v>
      </c>
      <c r="Q630" s="167">
        <f t="shared" si="250"/>
        <v>0</v>
      </c>
      <c r="R630" s="167">
        <f t="shared" si="250"/>
        <v>21550</v>
      </c>
    </row>
    <row r="631" spans="2:18" x14ac:dyDescent="0.2">
      <c r="B631" s="171">
        <f t="shared" si="245"/>
        <v>275</v>
      </c>
      <c r="C631" s="130"/>
      <c r="D631" s="131"/>
      <c r="E631" s="131"/>
      <c r="F631" s="131" t="s">
        <v>200</v>
      </c>
      <c r="G631" s="194" t="s">
        <v>247</v>
      </c>
      <c r="H631" s="399">
        <v>9660</v>
      </c>
      <c r="I631" s="399"/>
      <c r="J631" s="399">
        <f t="shared" si="251"/>
        <v>9660</v>
      </c>
      <c r="K631" s="339"/>
      <c r="L631" s="434"/>
      <c r="M631" s="434"/>
      <c r="N631" s="434"/>
      <c r="O631" s="339"/>
      <c r="P631" s="167">
        <f t="shared" si="241"/>
        <v>9660</v>
      </c>
      <c r="Q631" s="167">
        <f t="shared" si="250"/>
        <v>0</v>
      </c>
      <c r="R631" s="167">
        <f t="shared" si="250"/>
        <v>9660</v>
      </c>
    </row>
    <row r="632" spans="2:18" x14ac:dyDescent="0.2">
      <c r="B632" s="171">
        <f t="shared" si="245"/>
        <v>276</v>
      </c>
      <c r="C632" s="130"/>
      <c r="D632" s="131"/>
      <c r="E632" s="131"/>
      <c r="F632" s="131" t="s">
        <v>214</v>
      </c>
      <c r="G632" s="194" t="s">
        <v>261</v>
      </c>
      <c r="H632" s="399">
        <f>1480+5000</f>
        <v>6480</v>
      </c>
      <c r="I632" s="399"/>
      <c r="J632" s="399">
        <f t="shared" si="251"/>
        <v>6480</v>
      </c>
      <c r="K632" s="339"/>
      <c r="L632" s="434"/>
      <c r="M632" s="434"/>
      <c r="N632" s="434"/>
      <c r="O632" s="339"/>
      <c r="P632" s="167">
        <f t="shared" si="241"/>
        <v>6480</v>
      </c>
      <c r="Q632" s="167">
        <f t="shared" si="250"/>
        <v>0</v>
      </c>
      <c r="R632" s="167">
        <f t="shared" si="250"/>
        <v>6480</v>
      </c>
    </row>
    <row r="633" spans="2:18" x14ac:dyDescent="0.2">
      <c r="B633" s="171">
        <f t="shared" si="245"/>
        <v>277</v>
      </c>
      <c r="C633" s="130"/>
      <c r="D633" s="131"/>
      <c r="E633" s="131"/>
      <c r="F633" s="131" t="s">
        <v>216</v>
      </c>
      <c r="G633" s="194" t="s">
        <v>248</v>
      </c>
      <c r="H633" s="399">
        <v>8722</v>
      </c>
      <c r="I633" s="399"/>
      <c r="J633" s="399">
        <f t="shared" si="251"/>
        <v>8722</v>
      </c>
      <c r="K633" s="339"/>
      <c r="L633" s="434"/>
      <c r="M633" s="434"/>
      <c r="N633" s="434"/>
      <c r="O633" s="339"/>
      <c r="P633" s="167">
        <f t="shared" si="241"/>
        <v>8722</v>
      </c>
      <c r="Q633" s="167">
        <f t="shared" si="250"/>
        <v>0</v>
      </c>
      <c r="R633" s="167">
        <f t="shared" si="250"/>
        <v>8722</v>
      </c>
    </row>
    <row r="634" spans="2:18" x14ac:dyDescent="0.2">
      <c r="B634" s="171">
        <f t="shared" si="245"/>
        <v>278</v>
      </c>
      <c r="C634" s="130"/>
      <c r="D634" s="131"/>
      <c r="E634" s="131"/>
      <c r="F634" s="284" t="s">
        <v>217</v>
      </c>
      <c r="G634" s="199" t="s">
        <v>371</v>
      </c>
      <c r="H634" s="530">
        <v>2750</v>
      </c>
      <c r="I634" s="530"/>
      <c r="J634" s="530">
        <f t="shared" si="251"/>
        <v>2750</v>
      </c>
      <c r="K634" s="339"/>
      <c r="L634" s="434"/>
      <c r="M634" s="434"/>
      <c r="N634" s="434"/>
      <c r="O634" s="339"/>
      <c r="P634" s="166">
        <f t="shared" si="241"/>
        <v>2750</v>
      </c>
      <c r="Q634" s="166">
        <f t="shared" si="250"/>
        <v>0</v>
      </c>
      <c r="R634" s="166">
        <f t="shared" si="250"/>
        <v>2750</v>
      </c>
    </row>
    <row r="635" spans="2:18" ht="15" x14ac:dyDescent="0.25">
      <c r="B635" s="171">
        <f t="shared" si="245"/>
        <v>279</v>
      </c>
      <c r="C635" s="130"/>
      <c r="D635" s="131"/>
      <c r="E635" s="522" t="s">
        <v>685</v>
      </c>
      <c r="F635" s="519" t="s">
        <v>686</v>
      </c>
      <c r="G635" s="602"/>
      <c r="H635" s="523">
        <f>H636+H637+H638+H645</f>
        <v>281390</v>
      </c>
      <c r="I635" s="523">
        <f t="shared" ref="I635" si="252">I636+I637+I638+I645</f>
        <v>0</v>
      </c>
      <c r="J635" s="523">
        <f t="shared" si="251"/>
        <v>281390</v>
      </c>
      <c r="K635" s="339"/>
      <c r="L635" s="864">
        <f>L647</f>
        <v>40000</v>
      </c>
      <c r="M635" s="864">
        <f t="shared" ref="M635" si="253">M647</f>
        <v>0</v>
      </c>
      <c r="N635" s="864">
        <f t="shared" si="248"/>
        <v>40000</v>
      </c>
      <c r="O635" s="339"/>
      <c r="P635" s="521">
        <f t="shared" si="241"/>
        <v>321390</v>
      </c>
      <c r="Q635" s="521">
        <f t="shared" si="250"/>
        <v>0</v>
      </c>
      <c r="R635" s="521">
        <f t="shared" si="250"/>
        <v>321390</v>
      </c>
    </row>
    <row r="636" spans="2:18" x14ac:dyDescent="0.2">
      <c r="B636" s="171">
        <f t="shared" si="245"/>
        <v>280</v>
      </c>
      <c r="C636" s="130"/>
      <c r="D636" s="131"/>
      <c r="E636" s="165"/>
      <c r="F636" s="144" t="s">
        <v>211</v>
      </c>
      <c r="G636" s="199" t="s">
        <v>505</v>
      </c>
      <c r="H636" s="462">
        <f>149935+4445+6050</f>
        <v>160430</v>
      </c>
      <c r="I636" s="462"/>
      <c r="J636" s="462">
        <f t="shared" si="251"/>
        <v>160430</v>
      </c>
      <c r="K636" s="339"/>
      <c r="L636" s="399"/>
      <c r="M636" s="399"/>
      <c r="N636" s="399"/>
      <c r="O636" s="339"/>
      <c r="P636" s="531">
        <f t="shared" si="241"/>
        <v>160430</v>
      </c>
      <c r="Q636" s="531">
        <f t="shared" si="250"/>
        <v>0</v>
      </c>
      <c r="R636" s="531">
        <f t="shared" si="250"/>
        <v>160430</v>
      </c>
    </row>
    <row r="637" spans="2:18" x14ac:dyDescent="0.2">
      <c r="B637" s="171">
        <f t="shared" si="245"/>
        <v>281</v>
      </c>
      <c r="C637" s="130"/>
      <c r="D637" s="131"/>
      <c r="E637" s="165"/>
      <c r="F637" s="144" t="s">
        <v>212</v>
      </c>
      <c r="G637" s="199" t="s">
        <v>259</v>
      </c>
      <c r="H637" s="462">
        <f>53438+1555+1357</f>
        <v>56350</v>
      </c>
      <c r="I637" s="462"/>
      <c r="J637" s="462">
        <f t="shared" si="251"/>
        <v>56350</v>
      </c>
      <c r="K637" s="339"/>
      <c r="L637" s="399"/>
      <c r="M637" s="399"/>
      <c r="N637" s="399"/>
      <c r="O637" s="339"/>
      <c r="P637" s="531">
        <f t="shared" si="241"/>
        <v>56350</v>
      </c>
      <c r="Q637" s="531">
        <f t="shared" si="250"/>
        <v>0</v>
      </c>
      <c r="R637" s="531">
        <f t="shared" si="250"/>
        <v>56350</v>
      </c>
    </row>
    <row r="638" spans="2:18" x14ac:dyDescent="0.2">
      <c r="B638" s="171">
        <f t="shared" si="245"/>
        <v>282</v>
      </c>
      <c r="C638" s="130"/>
      <c r="D638" s="131"/>
      <c r="E638" s="165"/>
      <c r="F638" s="144" t="s">
        <v>218</v>
      </c>
      <c r="G638" s="199" t="s">
        <v>340</v>
      </c>
      <c r="H638" s="530">
        <f>SUM(H639:H644)</f>
        <v>61860</v>
      </c>
      <c r="I638" s="530"/>
      <c r="J638" s="530">
        <f t="shared" si="251"/>
        <v>61860</v>
      </c>
      <c r="K638" s="339"/>
      <c r="L638" s="399"/>
      <c r="M638" s="399"/>
      <c r="N638" s="399"/>
      <c r="O638" s="339"/>
      <c r="P638" s="531">
        <f t="shared" si="241"/>
        <v>61860</v>
      </c>
      <c r="Q638" s="531">
        <f t="shared" si="250"/>
        <v>0</v>
      </c>
      <c r="R638" s="531">
        <f t="shared" si="250"/>
        <v>61860</v>
      </c>
    </row>
    <row r="639" spans="2:18" x14ac:dyDescent="0.2">
      <c r="B639" s="171">
        <f t="shared" si="245"/>
        <v>283</v>
      </c>
      <c r="C639" s="130"/>
      <c r="D639" s="131"/>
      <c r="E639" s="165"/>
      <c r="F639" s="131" t="s">
        <v>213</v>
      </c>
      <c r="G639" s="194" t="s">
        <v>255</v>
      </c>
      <c r="H639" s="430">
        <v>25</v>
      </c>
      <c r="I639" s="430"/>
      <c r="J639" s="430">
        <f t="shared" si="251"/>
        <v>25</v>
      </c>
      <c r="K639" s="339"/>
      <c r="L639" s="399"/>
      <c r="M639" s="399"/>
      <c r="N639" s="399"/>
      <c r="O639" s="339"/>
      <c r="P639" s="168">
        <f t="shared" si="241"/>
        <v>25</v>
      </c>
      <c r="Q639" s="168">
        <f t="shared" si="250"/>
        <v>0</v>
      </c>
      <c r="R639" s="168">
        <f t="shared" si="250"/>
        <v>25</v>
      </c>
    </row>
    <row r="640" spans="2:18" x14ac:dyDescent="0.2">
      <c r="B640" s="171">
        <f t="shared" si="245"/>
        <v>284</v>
      </c>
      <c r="C640" s="130"/>
      <c r="D640" s="131"/>
      <c r="E640" s="165"/>
      <c r="F640" s="131" t="s">
        <v>199</v>
      </c>
      <c r="G640" s="194" t="s">
        <v>318</v>
      </c>
      <c r="H640" s="430">
        <v>21550</v>
      </c>
      <c r="I640" s="430"/>
      <c r="J640" s="430">
        <f t="shared" si="251"/>
        <v>21550</v>
      </c>
      <c r="K640" s="339"/>
      <c r="L640" s="399"/>
      <c r="M640" s="399"/>
      <c r="N640" s="399"/>
      <c r="O640" s="339"/>
      <c r="P640" s="168">
        <f t="shared" si="241"/>
        <v>21550</v>
      </c>
      <c r="Q640" s="168">
        <f t="shared" si="250"/>
        <v>0</v>
      </c>
      <c r="R640" s="168">
        <f t="shared" si="250"/>
        <v>21550</v>
      </c>
    </row>
    <row r="641" spans="2:18" x14ac:dyDescent="0.2">
      <c r="B641" s="171">
        <f t="shared" si="245"/>
        <v>285</v>
      </c>
      <c r="C641" s="130"/>
      <c r="D641" s="131"/>
      <c r="E641" s="165"/>
      <c r="F641" s="131" t="s">
        <v>200</v>
      </c>
      <c r="G641" s="194" t="s">
        <v>247</v>
      </c>
      <c r="H641" s="430">
        <v>9660</v>
      </c>
      <c r="I641" s="430"/>
      <c r="J641" s="430">
        <f t="shared" si="251"/>
        <v>9660</v>
      </c>
      <c r="K641" s="339"/>
      <c r="L641" s="399"/>
      <c r="M641" s="399"/>
      <c r="N641" s="399"/>
      <c r="O641" s="339"/>
      <c r="P641" s="168">
        <f t="shared" si="241"/>
        <v>9660</v>
      </c>
      <c r="Q641" s="168">
        <f t="shared" si="250"/>
        <v>0</v>
      </c>
      <c r="R641" s="168">
        <f t="shared" si="250"/>
        <v>9660</v>
      </c>
    </row>
    <row r="642" spans="2:18" x14ac:dyDescent="0.2">
      <c r="B642" s="171">
        <f t="shared" si="245"/>
        <v>286</v>
      </c>
      <c r="C642" s="130"/>
      <c r="D642" s="131"/>
      <c r="E642" s="165"/>
      <c r="F642" s="131" t="s">
        <v>214</v>
      </c>
      <c r="G642" s="194" t="s">
        <v>261</v>
      </c>
      <c r="H642" s="430">
        <f>3880+5000</f>
        <v>8880</v>
      </c>
      <c r="I642" s="430"/>
      <c r="J642" s="430">
        <f t="shared" si="251"/>
        <v>8880</v>
      </c>
      <c r="K642" s="339"/>
      <c r="L642" s="399"/>
      <c r="M642" s="399"/>
      <c r="N642" s="399"/>
      <c r="O642" s="339"/>
      <c r="P642" s="168">
        <f t="shared" si="241"/>
        <v>8880</v>
      </c>
      <c r="Q642" s="168">
        <f t="shared" ref="Q642:R645" si="254">I642+M642</f>
        <v>0</v>
      </c>
      <c r="R642" s="168">
        <f t="shared" si="254"/>
        <v>8880</v>
      </c>
    </row>
    <row r="643" spans="2:18" x14ac:dyDescent="0.2">
      <c r="B643" s="171">
        <f t="shared" si="245"/>
        <v>287</v>
      </c>
      <c r="C643" s="130"/>
      <c r="D643" s="131"/>
      <c r="E643" s="165"/>
      <c r="F643" s="131" t="s">
        <v>216</v>
      </c>
      <c r="G643" s="194" t="s">
        <v>248</v>
      </c>
      <c r="H643" s="430">
        <v>8723</v>
      </c>
      <c r="I643" s="430"/>
      <c r="J643" s="430">
        <f t="shared" si="251"/>
        <v>8723</v>
      </c>
      <c r="K643" s="339"/>
      <c r="L643" s="399"/>
      <c r="M643" s="399"/>
      <c r="N643" s="399"/>
      <c r="O643" s="339"/>
      <c r="P643" s="168">
        <f t="shared" si="241"/>
        <v>8723</v>
      </c>
      <c r="Q643" s="168">
        <f t="shared" si="254"/>
        <v>0</v>
      </c>
      <c r="R643" s="168">
        <f t="shared" si="254"/>
        <v>8723</v>
      </c>
    </row>
    <row r="644" spans="2:18" x14ac:dyDescent="0.2">
      <c r="B644" s="171">
        <f t="shared" si="245"/>
        <v>288</v>
      </c>
      <c r="C644" s="130"/>
      <c r="D644" s="131"/>
      <c r="E644" s="165"/>
      <c r="F644" s="131" t="s">
        <v>218</v>
      </c>
      <c r="G644" s="194" t="s">
        <v>791</v>
      </c>
      <c r="H644" s="430">
        <v>13022</v>
      </c>
      <c r="I644" s="430"/>
      <c r="J644" s="430">
        <f t="shared" si="251"/>
        <v>13022</v>
      </c>
      <c r="K644" s="339"/>
      <c r="L644" s="399"/>
      <c r="M644" s="399"/>
      <c r="N644" s="399"/>
      <c r="O644" s="339"/>
      <c r="P644" s="168">
        <f t="shared" si="241"/>
        <v>13022</v>
      </c>
      <c r="Q644" s="168">
        <f t="shared" si="254"/>
        <v>0</v>
      </c>
      <c r="R644" s="168">
        <f t="shared" si="254"/>
        <v>13022</v>
      </c>
    </row>
    <row r="645" spans="2:18" x14ac:dyDescent="0.2">
      <c r="B645" s="171">
        <f t="shared" si="245"/>
        <v>289</v>
      </c>
      <c r="C645" s="130"/>
      <c r="D645" s="131"/>
      <c r="E645" s="165"/>
      <c r="F645" s="284" t="s">
        <v>217</v>
      </c>
      <c r="G645" s="199" t="s">
        <v>371</v>
      </c>
      <c r="H645" s="462">
        <v>2750</v>
      </c>
      <c r="I645" s="462"/>
      <c r="J645" s="462">
        <f t="shared" si="251"/>
        <v>2750</v>
      </c>
      <c r="K645" s="339"/>
      <c r="L645" s="399"/>
      <c r="M645" s="399"/>
      <c r="N645" s="399"/>
      <c r="O645" s="339"/>
      <c r="P645" s="531">
        <f t="shared" si="241"/>
        <v>2750</v>
      </c>
      <c r="Q645" s="531">
        <f t="shared" si="254"/>
        <v>0</v>
      </c>
      <c r="R645" s="531">
        <f t="shared" si="254"/>
        <v>2750</v>
      </c>
    </row>
    <row r="646" spans="2:18" x14ac:dyDescent="0.2">
      <c r="B646" s="171">
        <f t="shared" si="245"/>
        <v>290</v>
      </c>
      <c r="C646" s="130"/>
      <c r="D646" s="131"/>
      <c r="E646" s="165"/>
      <c r="F646" s="284"/>
      <c r="G646" s="199"/>
      <c r="H646" s="462"/>
      <c r="I646" s="462"/>
      <c r="J646" s="462">
        <f t="shared" si="251"/>
        <v>0</v>
      </c>
      <c r="K646" s="339"/>
      <c r="L646" s="434"/>
      <c r="M646" s="434"/>
      <c r="N646" s="434"/>
      <c r="O646" s="339"/>
      <c r="P646" s="166"/>
      <c r="Q646" s="166"/>
      <c r="R646" s="166"/>
    </row>
    <row r="647" spans="2:18" x14ac:dyDescent="0.2">
      <c r="B647" s="171">
        <f t="shared" si="245"/>
        <v>291</v>
      </c>
      <c r="C647" s="130"/>
      <c r="D647" s="131"/>
      <c r="E647" s="165"/>
      <c r="F647" s="284" t="s">
        <v>321</v>
      </c>
      <c r="G647" s="199" t="s">
        <v>792</v>
      </c>
      <c r="H647" s="462"/>
      <c r="I647" s="462"/>
      <c r="J647" s="462">
        <f t="shared" si="251"/>
        <v>0</v>
      </c>
      <c r="K647" s="339"/>
      <c r="L647" s="434">
        <v>40000</v>
      </c>
      <c r="M647" s="434"/>
      <c r="N647" s="434">
        <f t="shared" si="248"/>
        <v>40000</v>
      </c>
      <c r="O647" s="339"/>
      <c r="P647" s="166">
        <f>L647</f>
        <v>40000</v>
      </c>
      <c r="Q647" s="166">
        <f t="shared" ref="Q647:R647" si="255">M647</f>
        <v>0</v>
      </c>
      <c r="R647" s="166">
        <f t="shared" si="255"/>
        <v>40000</v>
      </c>
    </row>
    <row r="648" spans="2:18" ht="15" x14ac:dyDescent="0.25">
      <c r="B648" s="171">
        <f t="shared" si="245"/>
        <v>292</v>
      </c>
      <c r="C648" s="130"/>
      <c r="D648" s="261" t="s">
        <v>173</v>
      </c>
      <c r="E648" s="147" t="s">
        <v>429</v>
      </c>
      <c r="F648" s="355" t="s">
        <v>373</v>
      </c>
      <c r="G648" s="236"/>
      <c r="H648" s="425">
        <f>H649+H659</f>
        <v>393992</v>
      </c>
      <c r="I648" s="425">
        <f t="shared" ref="I648" si="256">I649+I659</f>
        <v>0</v>
      </c>
      <c r="J648" s="425">
        <f t="shared" si="251"/>
        <v>393992</v>
      </c>
      <c r="K648" s="342"/>
      <c r="L648" s="854"/>
      <c r="M648" s="854"/>
      <c r="N648" s="854"/>
      <c r="O648" s="342"/>
      <c r="P648" s="330">
        <f t="shared" ref="P648:P679" si="257">H648+L648</f>
        <v>393992</v>
      </c>
      <c r="Q648" s="330">
        <f t="shared" ref="Q648:R663" si="258">I648+M648</f>
        <v>0</v>
      </c>
      <c r="R648" s="330">
        <f t="shared" si="258"/>
        <v>393992</v>
      </c>
    </row>
    <row r="649" spans="2:18" ht="14.25" x14ac:dyDescent="0.2">
      <c r="B649" s="171">
        <f t="shared" si="245"/>
        <v>293</v>
      </c>
      <c r="C649" s="76"/>
      <c r="D649" s="516"/>
      <c r="E649" s="522" t="s">
        <v>428</v>
      </c>
      <c r="F649" s="519" t="s">
        <v>687</v>
      </c>
      <c r="G649" s="518"/>
      <c r="H649" s="520">
        <f>H650+H651+H652+H658</f>
        <v>141998</v>
      </c>
      <c r="I649" s="520">
        <f t="shared" ref="I649" si="259">I650+I651+I652+I658</f>
        <v>0</v>
      </c>
      <c r="J649" s="520">
        <f t="shared" si="251"/>
        <v>141998</v>
      </c>
      <c r="K649" s="333"/>
      <c r="L649" s="861"/>
      <c r="M649" s="861"/>
      <c r="N649" s="861"/>
      <c r="O649" s="333"/>
      <c r="P649" s="521">
        <f t="shared" si="257"/>
        <v>141998</v>
      </c>
      <c r="Q649" s="521">
        <f t="shared" si="258"/>
        <v>0</v>
      </c>
      <c r="R649" s="521">
        <f t="shared" si="258"/>
        <v>141998</v>
      </c>
    </row>
    <row r="650" spans="2:18" x14ac:dyDescent="0.2">
      <c r="B650" s="171">
        <f t="shared" si="245"/>
        <v>294</v>
      </c>
      <c r="C650" s="130"/>
      <c r="D650" s="131"/>
      <c r="E650" s="131"/>
      <c r="F650" s="144" t="s">
        <v>211</v>
      </c>
      <c r="G650" s="199" t="s">
        <v>505</v>
      </c>
      <c r="H650" s="530">
        <f>76640+13970</f>
        <v>90610</v>
      </c>
      <c r="I650" s="530"/>
      <c r="J650" s="530">
        <f t="shared" si="251"/>
        <v>90610</v>
      </c>
      <c r="K650" s="339"/>
      <c r="L650" s="434"/>
      <c r="M650" s="434"/>
      <c r="N650" s="434"/>
      <c r="O650" s="339"/>
      <c r="P650" s="166">
        <f t="shared" si="257"/>
        <v>90610</v>
      </c>
      <c r="Q650" s="166">
        <f t="shared" si="258"/>
        <v>0</v>
      </c>
      <c r="R650" s="166">
        <f t="shared" si="258"/>
        <v>90610</v>
      </c>
    </row>
    <row r="651" spans="2:18" x14ac:dyDescent="0.2">
      <c r="B651" s="171">
        <f t="shared" si="245"/>
        <v>295</v>
      </c>
      <c r="C651" s="130"/>
      <c r="D651" s="131"/>
      <c r="E651" s="131"/>
      <c r="F651" s="144" t="s">
        <v>212</v>
      </c>
      <c r="G651" s="199" t="s">
        <v>259</v>
      </c>
      <c r="H651" s="530">
        <f>24542+7126</f>
        <v>31668</v>
      </c>
      <c r="I651" s="530"/>
      <c r="J651" s="530">
        <f t="shared" si="251"/>
        <v>31668</v>
      </c>
      <c r="K651" s="339"/>
      <c r="L651" s="434"/>
      <c r="M651" s="434"/>
      <c r="N651" s="434"/>
      <c r="O651" s="339"/>
      <c r="P651" s="166">
        <f t="shared" si="257"/>
        <v>31668</v>
      </c>
      <c r="Q651" s="166">
        <f t="shared" si="258"/>
        <v>0</v>
      </c>
      <c r="R651" s="166">
        <f t="shared" si="258"/>
        <v>31668</v>
      </c>
    </row>
    <row r="652" spans="2:18" x14ac:dyDescent="0.2">
      <c r="B652" s="171">
        <f t="shared" si="245"/>
        <v>296</v>
      </c>
      <c r="C652" s="130"/>
      <c r="D652" s="131"/>
      <c r="E652" s="131"/>
      <c r="F652" s="144" t="s">
        <v>218</v>
      </c>
      <c r="G652" s="199" t="s">
        <v>340</v>
      </c>
      <c r="H652" s="530">
        <f>SUM(H653:H657)</f>
        <v>19620</v>
      </c>
      <c r="I652" s="530"/>
      <c r="J652" s="530">
        <f t="shared" si="251"/>
        <v>19620</v>
      </c>
      <c r="K652" s="339"/>
      <c r="L652" s="434"/>
      <c r="M652" s="434"/>
      <c r="N652" s="434"/>
      <c r="O652" s="339"/>
      <c r="P652" s="166">
        <f t="shared" si="257"/>
        <v>19620</v>
      </c>
      <c r="Q652" s="166">
        <f t="shared" si="258"/>
        <v>0</v>
      </c>
      <c r="R652" s="166">
        <f t="shared" si="258"/>
        <v>19620</v>
      </c>
    </row>
    <row r="653" spans="2:18" x14ac:dyDescent="0.2">
      <c r="B653" s="171">
        <f t="shared" si="245"/>
        <v>297</v>
      </c>
      <c r="C653" s="130"/>
      <c r="D653" s="131"/>
      <c r="E653" s="131"/>
      <c r="F653" s="131" t="s">
        <v>213</v>
      </c>
      <c r="G653" s="194" t="s">
        <v>255</v>
      </c>
      <c r="H653" s="399">
        <v>100</v>
      </c>
      <c r="I653" s="399"/>
      <c r="J653" s="399">
        <f t="shared" si="251"/>
        <v>100</v>
      </c>
      <c r="K653" s="339"/>
      <c r="L653" s="434"/>
      <c r="M653" s="434"/>
      <c r="N653" s="434"/>
      <c r="O653" s="339"/>
      <c r="P653" s="167">
        <f t="shared" si="257"/>
        <v>100</v>
      </c>
      <c r="Q653" s="167">
        <f t="shared" si="258"/>
        <v>0</v>
      </c>
      <c r="R653" s="167">
        <f t="shared" si="258"/>
        <v>100</v>
      </c>
    </row>
    <row r="654" spans="2:18" x14ac:dyDescent="0.2">
      <c r="B654" s="171">
        <f t="shared" si="245"/>
        <v>298</v>
      </c>
      <c r="C654" s="130"/>
      <c r="D654" s="131"/>
      <c r="E654" s="131"/>
      <c r="F654" s="131" t="s">
        <v>199</v>
      </c>
      <c r="G654" s="194" t="s">
        <v>318</v>
      </c>
      <c r="H654" s="399">
        <v>8860</v>
      </c>
      <c r="I654" s="399"/>
      <c r="J654" s="399">
        <f t="shared" si="251"/>
        <v>8860</v>
      </c>
      <c r="K654" s="339"/>
      <c r="L654" s="434"/>
      <c r="M654" s="434"/>
      <c r="N654" s="434"/>
      <c r="O654" s="339"/>
      <c r="P654" s="167">
        <f t="shared" si="257"/>
        <v>8860</v>
      </c>
      <c r="Q654" s="167">
        <f t="shared" si="258"/>
        <v>0</v>
      </c>
      <c r="R654" s="167">
        <f t="shared" si="258"/>
        <v>8860</v>
      </c>
    </row>
    <row r="655" spans="2:18" x14ac:dyDescent="0.2">
      <c r="B655" s="171">
        <f t="shared" si="245"/>
        <v>299</v>
      </c>
      <c r="C655" s="130"/>
      <c r="D655" s="131"/>
      <c r="E655" s="131"/>
      <c r="F655" s="131" t="s">
        <v>200</v>
      </c>
      <c r="G655" s="194" t="s">
        <v>247</v>
      </c>
      <c r="H655" s="399">
        <f>3590+1390</f>
        <v>4980</v>
      </c>
      <c r="I655" s="399"/>
      <c r="J655" s="399">
        <f t="shared" si="251"/>
        <v>4980</v>
      </c>
      <c r="K655" s="339"/>
      <c r="L655" s="434"/>
      <c r="M655" s="434"/>
      <c r="N655" s="434"/>
      <c r="O655" s="343"/>
      <c r="P655" s="168">
        <f t="shared" si="257"/>
        <v>4980</v>
      </c>
      <c r="Q655" s="168">
        <f t="shared" si="258"/>
        <v>0</v>
      </c>
      <c r="R655" s="168">
        <f t="shared" si="258"/>
        <v>4980</v>
      </c>
    </row>
    <row r="656" spans="2:18" x14ac:dyDescent="0.2">
      <c r="B656" s="171">
        <f t="shared" si="245"/>
        <v>300</v>
      </c>
      <c r="C656" s="130"/>
      <c r="D656" s="131"/>
      <c r="E656" s="131"/>
      <c r="F656" s="131" t="s">
        <v>214</v>
      </c>
      <c r="G656" s="194" t="s">
        <v>261</v>
      </c>
      <c r="H656" s="430">
        <f>500+1390</f>
        <v>1890</v>
      </c>
      <c r="I656" s="430"/>
      <c r="J656" s="430">
        <f t="shared" si="251"/>
        <v>1890</v>
      </c>
      <c r="K656" s="340"/>
      <c r="L656" s="399"/>
      <c r="M656" s="399"/>
      <c r="N656" s="399"/>
      <c r="O656" s="339"/>
      <c r="P656" s="267">
        <f t="shared" si="257"/>
        <v>1890</v>
      </c>
      <c r="Q656" s="267">
        <f t="shared" si="258"/>
        <v>0</v>
      </c>
      <c r="R656" s="267">
        <f t="shared" si="258"/>
        <v>1890</v>
      </c>
    </row>
    <row r="657" spans="2:18" x14ac:dyDescent="0.2">
      <c r="B657" s="171">
        <f t="shared" si="245"/>
        <v>301</v>
      </c>
      <c r="C657" s="130"/>
      <c r="D657" s="131"/>
      <c r="E657" s="131"/>
      <c r="F657" s="131" t="s">
        <v>216</v>
      </c>
      <c r="G657" s="194" t="s">
        <v>248</v>
      </c>
      <c r="H657" s="399">
        <v>3790</v>
      </c>
      <c r="I657" s="399"/>
      <c r="J657" s="399">
        <f t="shared" si="251"/>
        <v>3790</v>
      </c>
      <c r="K657" s="339"/>
      <c r="L657" s="434"/>
      <c r="M657" s="434"/>
      <c r="N657" s="434"/>
      <c r="O657" s="339"/>
      <c r="P657" s="167">
        <f t="shared" si="257"/>
        <v>3790</v>
      </c>
      <c r="Q657" s="167">
        <f t="shared" si="258"/>
        <v>0</v>
      </c>
      <c r="R657" s="167">
        <f t="shared" si="258"/>
        <v>3790</v>
      </c>
    </row>
    <row r="658" spans="2:18" x14ac:dyDescent="0.2">
      <c r="B658" s="171">
        <f t="shared" si="245"/>
        <v>302</v>
      </c>
      <c r="C658" s="130"/>
      <c r="D658" s="131"/>
      <c r="E658" s="169"/>
      <c r="F658" s="144" t="s">
        <v>217</v>
      </c>
      <c r="G658" s="199" t="s">
        <v>371</v>
      </c>
      <c r="H658" s="433">
        <v>100</v>
      </c>
      <c r="I658" s="433"/>
      <c r="J658" s="433">
        <f t="shared" si="251"/>
        <v>100</v>
      </c>
      <c r="K658" s="339"/>
      <c r="L658" s="434"/>
      <c r="M658" s="434"/>
      <c r="N658" s="434"/>
      <c r="O658" s="339"/>
      <c r="P658" s="166">
        <f t="shared" si="257"/>
        <v>100</v>
      </c>
      <c r="Q658" s="166">
        <f t="shared" si="258"/>
        <v>0</v>
      </c>
      <c r="R658" s="166">
        <f t="shared" si="258"/>
        <v>100</v>
      </c>
    </row>
    <row r="659" spans="2:18" ht="14.25" x14ac:dyDescent="0.2">
      <c r="B659" s="171">
        <f t="shared" si="245"/>
        <v>303</v>
      </c>
      <c r="C659" s="130"/>
      <c r="D659" s="131"/>
      <c r="E659" s="522" t="s">
        <v>685</v>
      </c>
      <c r="F659" s="519" t="s">
        <v>686</v>
      </c>
      <c r="G659" s="602"/>
      <c r="H659" s="523">
        <f>H660+H661+H662+H670</f>
        <v>251994</v>
      </c>
      <c r="I659" s="523">
        <f t="shared" ref="I659" si="260">I660+I661+I662+I670</f>
        <v>0</v>
      </c>
      <c r="J659" s="523">
        <f t="shared" si="251"/>
        <v>251994</v>
      </c>
      <c r="K659" s="339"/>
      <c r="L659" s="861"/>
      <c r="M659" s="861"/>
      <c r="N659" s="861"/>
      <c r="O659" s="339"/>
      <c r="P659" s="521">
        <f t="shared" si="257"/>
        <v>251994</v>
      </c>
      <c r="Q659" s="521">
        <f t="shared" si="258"/>
        <v>0</v>
      </c>
      <c r="R659" s="521">
        <f t="shared" si="258"/>
        <v>251994</v>
      </c>
    </row>
    <row r="660" spans="2:18" x14ac:dyDescent="0.2">
      <c r="B660" s="171">
        <f t="shared" si="245"/>
        <v>304</v>
      </c>
      <c r="C660" s="130"/>
      <c r="D660" s="131"/>
      <c r="E660" s="165"/>
      <c r="F660" s="144" t="s">
        <v>211</v>
      </c>
      <c r="G660" s="199" t="s">
        <v>505</v>
      </c>
      <c r="H660" s="462">
        <f>105480+11184</f>
        <v>116664</v>
      </c>
      <c r="I660" s="462"/>
      <c r="J660" s="462">
        <f t="shared" si="251"/>
        <v>116664</v>
      </c>
      <c r="K660" s="339"/>
      <c r="L660" s="399"/>
      <c r="M660" s="399"/>
      <c r="N660" s="399"/>
      <c r="O660" s="339"/>
      <c r="P660" s="531">
        <f t="shared" si="257"/>
        <v>116664</v>
      </c>
      <c r="Q660" s="531">
        <f t="shared" si="258"/>
        <v>0</v>
      </c>
      <c r="R660" s="531">
        <f t="shared" si="258"/>
        <v>116664</v>
      </c>
    </row>
    <row r="661" spans="2:18" x14ac:dyDescent="0.2">
      <c r="B661" s="171">
        <f t="shared" si="245"/>
        <v>305</v>
      </c>
      <c r="C661" s="130"/>
      <c r="D661" s="131"/>
      <c r="E661" s="165"/>
      <c r="F661" s="144" t="s">
        <v>212</v>
      </c>
      <c r="G661" s="199" t="s">
        <v>259</v>
      </c>
      <c r="H661" s="462">
        <f>39108+1669</f>
        <v>40777</v>
      </c>
      <c r="I661" s="462"/>
      <c r="J661" s="462">
        <f t="shared" si="251"/>
        <v>40777</v>
      </c>
      <c r="K661" s="339"/>
      <c r="L661" s="399"/>
      <c r="M661" s="399"/>
      <c r="N661" s="399"/>
      <c r="O661" s="339"/>
      <c r="P661" s="531">
        <f t="shared" si="257"/>
        <v>40777</v>
      </c>
      <c r="Q661" s="531">
        <f t="shared" si="258"/>
        <v>0</v>
      </c>
      <c r="R661" s="531">
        <f t="shared" si="258"/>
        <v>40777</v>
      </c>
    </row>
    <row r="662" spans="2:18" x14ac:dyDescent="0.2">
      <c r="B662" s="171">
        <f t="shared" si="245"/>
        <v>306</v>
      </c>
      <c r="C662" s="130"/>
      <c r="D662" s="131"/>
      <c r="E662" s="165"/>
      <c r="F662" s="144" t="s">
        <v>218</v>
      </c>
      <c r="G662" s="199" t="s">
        <v>340</v>
      </c>
      <c r="H662" s="530">
        <f>SUM(H663:H669)</f>
        <v>92853</v>
      </c>
      <c r="I662" s="530"/>
      <c r="J662" s="530">
        <f t="shared" si="251"/>
        <v>92853</v>
      </c>
      <c r="K662" s="339"/>
      <c r="L662" s="399"/>
      <c r="M662" s="399"/>
      <c r="N662" s="399"/>
      <c r="O662" s="339"/>
      <c r="P662" s="531">
        <f t="shared" si="257"/>
        <v>92853</v>
      </c>
      <c r="Q662" s="531">
        <f t="shared" si="258"/>
        <v>0</v>
      </c>
      <c r="R662" s="531">
        <f t="shared" si="258"/>
        <v>92853</v>
      </c>
    </row>
    <row r="663" spans="2:18" x14ac:dyDescent="0.2">
      <c r="B663" s="171">
        <f t="shared" si="245"/>
        <v>307</v>
      </c>
      <c r="C663" s="130"/>
      <c r="D663" s="131"/>
      <c r="E663" s="165"/>
      <c r="F663" s="131" t="s">
        <v>213</v>
      </c>
      <c r="G663" s="194" t="s">
        <v>255</v>
      </c>
      <c r="H663" s="430">
        <v>150</v>
      </c>
      <c r="I663" s="430"/>
      <c r="J663" s="430">
        <f t="shared" si="251"/>
        <v>150</v>
      </c>
      <c r="K663" s="339"/>
      <c r="L663" s="399"/>
      <c r="M663" s="399"/>
      <c r="N663" s="399"/>
      <c r="O663" s="339"/>
      <c r="P663" s="168">
        <f t="shared" si="257"/>
        <v>150</v>
      </c>
      <c r="Q663" s="168">
        <f t="shared" si="258"/>
        <v>0</v>
      </c>
      <c r="R663" s="168">
        <f t="shared" si="258"/>
        <v>150</v>
      </c>
    </row>
    <row r="664" spans="2:18" x14ac:dyDescent="0.2">
      <c r="B664" s="171">
        <f t="shared" si="245"/>
        <v>308</v>
      </c>
      <c r="C664" s="130"/>
      <c r="D664" s="131"/>
      <c r="E664" s="165"/>
      <c r="F664" s="131" t="s">
        <v>199</v>
      </c>
      <c r="G664" s="194" t="s">
        <v>318</v>
      </c>
      <c r="H664" s="430">
        <f>76985-12000</f>
        <v>64985</v>
      </c>
      <c r="I664" s="430"/>
      <c r="J664" s="430">
        <f t="shared" si="251"/>
        <v>64985</v>
      </c>
      <c r="K664" s="339"/>
      <c r="L664" s="399"/>
      <c r="M664" s="399"/>
      <c r="N664" s="399"/>
      <c r="O664" s="339"/>
      <c r="P664" s="168">
        <f t="shared" si="257"/>
        <v>64985</v>
      </c>
      <c r="Q664" s="168">
        <f t="shared" ref="Q664:R679" si="261">I664+M664</f>
        <v>0</v>
      </c>
      <c r="R664" s="168">
        <f t="shared" si="261"/>
        <v>64985</v>
      </c>
    </row>
    <row r="665" spans="2:18" x14ac:dyDescent="0.2">
      <c r="B665" s="171">
        <f t="shared" si="245"/>
        <v>309</v>
      </c>
      <c r="C665" s="130"/>
      <c r="D665" s="131"/>
      <c r="E665" s="165"/>
      <c r="F665" s="131" t="s">
        <v>200</v>
      </c>
      <c r="G665" s="194" t="s">
        <v>247</v>
      </c>
      <c r="H665" s="430">
        <f>4350+1200+12000</f>
        <v>17550</v>
      </c>
      <c r="I665" s="430"/>
      <c r="J665" s="430">
        <f t="shared" si="251"/>
        <v>17550</v>
      </c>
      <c r="K665" s="339"/>
      <c r="L665" s="399"/>
      <c r="M665" s="399"/>
      <c r="N665" s="399"/>
      <c r="O665" s="339"/>
      <c r="P665" s="168">
        <f t="shared" si="257"/>
        <v>17550</v>
      </c>
      <c r="Q665" s="168">
        <f t="shared" si="261"/>
        <v>0</v>
      </c>
      <c r="R665" s="168">
        <f t="shared" si="261"/>
        <v>17550</v>
      </c>
    </row>
    <row r="666" spans="2:18" x14ac:dyDescent="0.2">
      <c r="B666" s="171">
        <f t="shared" si="245"/>
        <v>310</v>
      </c>
      <c r="C666" s="130"/>
      <c r="D666" s="131"/>
      <c r="E666" s="165"/>
      <c r="F666" s="131" t="s">
        <v>214</v>
      </c>
      <c r="G666" s="194" t="s">
        <v>261</v>
      </c>
      <c r="H666" s="430">
        <f>550+1300</f>
        <v>1850</v>
      </c>
      <c r="I666" s="430"/>
      <c r="J666" s="430">
        <f t="shared" si="251"/>
        <v>1850</v>
      </c>
      <c r="K666" s="339"/>
      <c r="L666" s="399"/>
      <c r="M666" s="399"/>
      <c r="N666" s="399"/>
      <c r="O666" s="339"/>
      <c r="P666" s="168">
        <f t="shared" si="257"/>
        <v>1850</v>
      </c>
      <c r="Q666" s="168">
        <f t="shared" si="261"/>
        <v>0</v>
      </c>
      <c r="R666" s="168">
        <f t="shared" si="261"/>
        <v>1850</v>
      </c>
    </row>
    <row r="667" spans="2:18" x14ac:dyDescent="0.2">
      <c r="B667" s="171">
        <f t="shared" si="245"/>
        <v>311</v>
      </c>
      <c r="C667" s="130"/>
      <c r="D667" s="131"/>
      <c r="E667" s="165"/>
      <c r="F667" s="131" t="s">
        <v>215</v>
      </c>
      <c r="G667" s="194" t="s">
        <v>634</v>
      </c>
      <c r="H667" s="430">
        <v>1650</v>
      </c>
      <c r="I667" s="430"/>
      <c r="J667" s="430">
        <f t="shared" si="251"/>
        <v>1650</v>
      </c>
      <c r="K667" s="339"/>
      <c r="L667" s="399"/>
      <c r="M667" s="399"/>
      <c r="N667" s="399"/>
      <c r="O667" s="339"/>
      <c r="P667" s="168">
        <f t="shared" si="257"/>
        <v>1650</v>
      </c>
      <c r="Q667" s="168">
        <f t="shared" si="261"/>
        <v>0</v>
      </c>
      <c r="R667" s="168">
        <f t="shared" si="261"/>
        <v>1650</v>
      </c>
    </row>
    <row r="668" spans="2:18" x14ac:dyDescent="0.2">
      <c r="B668" s="171">
        <f t="shared" si="245"/>
        <v>312</v>
      </c>
      <c r="C668" s="130"/>
      <c r="D668" s="131"/>
      <c r="E668" s="165"/>
      <c r="F668" s="131" t="s">
        <v>216</v>
      </c>
      <c r="G668" s="194" t="s">
        <v>248</v>
      </c>
      <c r="H668" s="430">
        <f>5360+897</f>
        <v>6257</v>
      </c>
      <c r="I668" s="430"/>
      <c r="J668" s="430">
        <f t="shared" si="251"/>
        <v>6257</v>
      </c>
      <c r="K668" s="339"/>
      <c r="L668" s="399"/>
      <c r="M668" s="399"/>
      <c r="N668" s="399"/>
      <c r="O668" s="339"/>
      <c r="P668" s="168">
        <f t="shared" si="257"/>
        <v>6257</v>
      </c>
      <c r="Q668" s="168">
        <f t="shared" si="261"/>
        <v>0</v>
      </c>
      <c r="R668" s="168">
        <f t="shared" si="261"/>
        <v>6257</v>
      </c>
    </row>
    <row r="669" spans="2:18" x14ac:dyDescent="0.2">
      <c r="B669" s="171">
        <f t="shared" si="245"/>
        <v>313</v>
      </c>
      <c r="C669" s="130"/>
      <c r="D669" s="131"/>
      <c r="E669" s="165"/>
      <c r="F669" s="131" t="s">
        <v>218</v>
      </c>
      <c r="G669" s="194" t="s">
        <v>791</v>
      </c>
      <c r="H669" s="430">
        <v>411</v>
      </c>
      <c r="I669" s="430"/>
      <c r="J669" s="430">
        <f t="shared" si="251"/>
        <v>411</v>
      </c>
      <c r="K669" s="339"/>
      <c r="L669" s="399"/>
      <c r="M669" s="399"/>
      <c r="N669" s="399"/>
      <c r="O669" s="339"/>
      <c r="P669" s="168">
        <f t="shared" si="257"/>
        <v>411</v>
      </c>
      <c r="Q669" s="168">
        <f t="shared" si="261"/>
        <v>0</v>
      </c>
      <c r="R669" s="168">
        <f t="shared" si="261"/>
        <v>411</v>
      </c>
    </row>
    <row r="670" spans="2:18" x14ac:dyDescent="0.2">
      <c r="B670" s="171">
        <f t="shared" si="245"/>
        <v>314</v>
      </c>
      <c r="C670" s="130"/>
      <c r="D670" s="131"/>
      <c r="E670" s="165"/>
      <c r="F670" s="284" t="s">
        <v>217</v>
      </c>
      <c r="G670" s="199" t="s">
        <v>371</v>
      </c>
      <c r="H670" s="462">
        <v>1700</v>
      </c>
      <c r="I670" s="462"/>
      <c r="J670" s="462">
        <f t="shared" si="251"/>
        <v>1700</v>
      </c>
      <c r="K670" s="339"/>
      <c r="L670" s="399"/>
      <c r="M670" s="399"/>
      <c r="N670" s="399"/>
      <c r="O670" s="339"/>
      <c r="P670" s="531">
        <f t="shared" si="257"/>
        <v>1700</v>
      </c>
      <c r="Q670" s="531">
        <f t="shared" si="261"/>
        <v>0</v>
      </c>
      <c r="R670" s="531">
        <f t="shared" si="261"/>
        <v>1700</v>
      </c>
    </row>
    <row r="671" spans="2:18" ht="15" x14ac:dyDescent="0.25">
      <c r="B671" s="171">
        <f t="shared" si="245"/>
        <v>315</v>
      </c>
      <c r="C671" s="130"/>
      <c r="D671" s="261" t="s">
        <v>347</v>
      </c>
      <c r="E671" s="147" t="s">
        <v>429</v>
      </c>
      <c r="F671" s="147" t="s">
        <v>420</v>
      </c>
      <c r="G671" s="236"/>
      <c r="H671" s="425">
        <f>H672+H682</f>
        <v>689984</v>
      </c>
      <c r="I671" s="425">
        <f t="shared" ref="I671" si="262">I672+I682</f>
        <v>0</v>
      </c>
      <c r="J671" s="425">
        <f t="shared" si="251"/>
        <v>689984</v>
      </c>
      <c r="K671" s="342"/>
      <c r="L671" s="856"/>
      <c r="M671" s="856"/>
      <c r="N671" s="856"/>
      <c r="O671" s="342"/>
      <c r="P671" s="330">
        <f t="shared" si="257"/>
        <v>689984</v>
      </c>
      <c r="Q671" s="330">
        <f t="shared" si="261"/>
        <v>0</v>
      </c>
      <c r="R671" s="330">
        <f t="shared" si="261"/>
        <v>689984</v>
      </c>
    </row>
    <row r="672" spans="2:18" ht="14.25" x14ac:dyDescent="0.2">
      <c r="B672" s="171">
        <f t="shared" si="245"/>
        <v>316</v>
      </c>
      <c r="C672" s="76"/>
      <c r="D672" s="516"/>
      <c r="E672" s="522" t="s">
        <v>428</v>
      </c>
      <c r="F672" s="519" t="s">
        <v>687</v>
      </c>
      <c r="G672" s="518"/>
      <c r="H672" s="520">
        <f>H673+H674+H675+H681</f>
        <v>315962</v>
      </c>
      <c r="I672" s="520">
        <f t="shared" ref="I672" si="263">I673+I674+I675+I681</f>
        <v>0</v>
      </c>
      <c r="J672" s="520">
        <f t="shared" si="251"/>
        <v>315962</v>
      </c>
      <c r="K672" s="333"/>
      <c r="L672" s="861"/>
      <c r="M672" s="861"/>
      <c r="N672" s="861"/>
      <c r="O672" s="333"/>
      <c r="P672" s="521">
        <f t="shared" si="257"/>
        <v>315962</v>
      </c>
      <c r="Q672" s="521">
        <f t="shared" si="261"/>
        <v>0</v>
      </c>
      <c r="R672" s="521">
        <f t="shared" si="261"/>
        <v>315962</v>
      </c>
    </row>
    <row r="673" spans="2:18" x14ac:dyDescent="0.2">
      <c r="B673" s="171">
        <f t="shared" si="245"/>
        <v>317</v>
      </c>
      <c r="C673" s="130"/>
      <c r="D673" s="131"/>
      <c r="E673" s="131"/>
      <c r="F673" s="144" t="s">
        <v>211</v>
      </c>
      <c r="G673" s="199" t="s">
        <v>505</v>
      </c>
      <c r="H673" s="530">
        <f>173418+15342</f>
        <v>188760</v>
      </c>
      <c r="I673" s="530"/>
      <c r="J673" s="530">
        <f t="shared" si="251"/>
        <v>188760</v>
      </c>
      <c r="K673" s="339"/>
      <c r="L673" s="434"/>
      <c r="M673" s="434"/>
      <c r="N673" s="434"/>
      <c r="O673" s="339"/>
      <c r="P673" s="166">
        <f t="shared" si="257"/>
        <v>188760</v>
      </c>
      <c r="Q673" s="166">
        <f t="shared" si="261"/>
        <v>0</v>
      </c>
      <c r="R673" s="166">
        <f t="shared" si="261"/>
        <v>188760</v>
      </c>
    </row>
    <row r="674" spans="2:18" x14ac:dyDescent="0.2">
      <c r="B674" s="171">
        <f t="shared" si="245"/>
        <v>318</v>
      </c>
      <c r="C674" s="130"/>
      <c r="D674" s="131"/>
      <c r="E674" s="131"/>
      <c r="F674" s="144" t="s">
        <v>212</v>
      </c>
      <c r="G674" s="199" t="s">
        <v>259</v>
      </c>
      <c r="H674" s="530">
        <f>58156+5361</f>
        <v>63517</v>
      </c>
      <c r="I674" s="530"/>
      <c r="J674" s="530">
        <f t="shared" si="251"/>
        <v>63517</v>
      </c>
      <c r="K674" s="339"/>
      <c r="L674" s="434"/>
      <c r="M674" s="434"/>
      <c r="N674" s="434"/>
      <c r="O674" s="339"/>
      <c r="P674" s="166">
        <f t="shared" si="257"/>
        <v>63517</v>
      </c>
      <c r="Q674" s="166">
        <f t="shared" si="261"/>
        <v>0</v>
      </c>
      <c r="R674" s="166">
        <f t="shared" si="261"/>
        <v>63517</v>
      </c>
    </row>
    <row r="675" spans="2:18" x14ac:dyDescent="0.2">
      <c r="B675" s="171">
        <f t="shared" si="245"/>
        <v>319</v>
      </c>
      <c r="C675" s="130"/>
      <c r="D675" s="131"/>
      <c r="E675" s="131"/>
      <c r="F675" s="144" t="s">
        <v>218</v>
      </c>
      <c r="G675" s="199" t="s">
        <v>340</v>
      </c>
      <c r="H675" s="530">
        <f>SUM(H676:H680)</f>
        <v>60872</v>
      </c>
      <c r="I675" s="530"/>
      <c r="J675" s="530">
        <f t="shared" si="251"/>
        <v>60872</v>
      </c>
      <c r="K675" s="339"/>
      <c r="L675" s="434"/>
      <c r="M675" s="434"/>
      <c r="N675" s="434"/>
      <c r="O675" s="339"/>
      <c r="P675" s="166">
        <f t="shared" si="257"/>
        <v>60872</v>
      </c>
      <c r="Q675" s="166">
        <f t="shared" si="261"/>
        <v>0</v>
      </c>
      <c r="R675" s="166">
        <f t="shared" si="261"/>
        <v>60872</v>
      </c>
    </row>
    <row r="676" spans="2:18" x14ac:dyDescent="0.2">
      <c r="B676" s="171">
        <f t="shared" si="245"/>
        <v>320</v>
      </c>
      <c r="C676" s="130"/>
      <c r="D676" s="131"/>
      <c r="E676" s="131"/>
      <c r="F676" s="131" t="s">
        <v>213</v>
      </c>
      <c r="G676" s="194" t="s">
        <v>255</v>
      </c>
      <c r="H676" s="399">
        <v>220</v>
      </c>
      <c r="I676" s="399"/>
      <c r="J676" s="399">
        <f t="shared" si="251"/>
        <v>220</v>
      </c>
      <c r="K676" s="339"/>
      <c r="L676" s="434"/>
      <c r="M676" s="434"/>
      <c r="N676" s="434"/>
      <c r="O676" s="339"/>
      <c r="P676" s="167">
        <f t="shared" si="257"/>
        <v>220</v>
      </c>
      <c r="Q676" s="167">
        <f t="shared" si="261"/>
        <v>0</v>
      </c>
      <c r="R676" s="167">
        <f t="shared" si="261"/>
        <v>220</v>
      </c>
    </row>
    <row r="677" spans="2:18" x14ac:dyDescent="0.2">
      <c r="B677" s="171">
        <f t="shared" si="245"/>
        <v>321</v>
      </c>
      <c r="C677" s="130"/>
      <c r="D677" s="131"/>
      <c r="E677" s="131"/>
      <c r="F677" s="131" t="s">
        <v>199</v>
      </c>
      <c r="G677" s="194" t="s">
        <v>318</v>
      </c>
      <c r="H677" s="399">
        <f>34320+1550</f>
        <v>35870</v>
      </c>
      <c r="I677" s="399"/>
      <c r="J677" s="399">
        <f t="shared" si="251"/>
        <v>35870</v>
      </c>
      <c r="K677" s="339"/>
      <c r="L677" s="434"/>
      <c r="M677" s="434"/>
      <c r="N677" s="434"/>
      <c r="O677" s="339"/>
      <c r="P677" s="167">
        <f t="shared" si="257"/>
        <v>35870</v>
      </c>
      <c r="Q677" s="167">
        <f t="shared" si="261"/>
        <v>0</v>
      </c>
      <c r="R677" s="167">
        <f t="shared" si="261"/>
        <v>35870</v>
      </c>
    </row>
    <row r="678" spans="2:18" x14ac:dyDescent="0.2">
      <c r="B678" s="171">
        <f t="shared" si="245"/>
        <v>322</v>
      </c>
      <c r="C678" s="130"/>
      <c r="D678" s="131"/>
      <c r="E678" s="131"/>
      <c r="F678" s="131" t="s">
        <v>200</v>
      </c>
      <c r="G678" s="194" t="s">
        <v>247</v>
      </c>
      <c r="H678" s="399">
        <v>9366</v>
      </c>
      <c r="I678" s="399"/>
      <c r="J678" s="399">
        <f t="shared" si="251"/>
        <v>9366</v>
      </c>
      <c r="K678" s="339"/>
      <c r="L678" s="434"/>
      <c r="M678" s="434"/>
      <c r="N678" s="434"/>
      <c r="O678" s="339"/>
      <c r="P678" s="167">
        <f t="shared" si="257"/>
        <v>9366</v>
      </c>
      <c r="Q678" s="167">
        <f t="shared" si="261"/>
        <v>0</v>
      </c>
      <c r="R678" s="167">
        <f t="shared" si="261"/>
        <v>9366</v>
      </c>
    </row>
    <row r="679" spans="2:18" x14ac:dyDescent="0.2">
      <c r="B679" s="171">
        <f t="shared" si="245"/>
        <v>323</v>
      </c>
      <c r="C679" s="130"/>
      <c r="D679" s="131"/>
      <c r="E679" s="131"/>
      <c r="F679" s="131" t="s">
        <v>214</v>
      </c>
      <c r="G679" s="194" t="s">
        <v>261</v>
      </c>
      <c r="H679" s="399">
        <f>2310+3178</f>
        <v>5488</v>
      </c>
      <c r="I679" s="399"/>
      <c r="J679" s="399">
        <f t="shared" si="251"/>
        <v>5488</v>
      </c>
      <c r="K679" s="339"/>
      <c r="L679" s="434"/>
      <c r="M679" s="434"/>
      <c r="N679" s="434"/>
      <c r="O679" s="339"/>
      <c r="P679" s="167">
        <f t="shared" si="257"/>
        <v>5488</v>
      </c>
      <c r="Q679" s="167">
        <f t="shared" si="261"/>
        <v>0</v>
      </c>
      <c r="R679" s="167">
        <f t="shared" si="261"/>
        <v>5488</v>
      </c>
    </row>
    <row r="680" spans="2:18" x14ac:dyDescent="0.2">
      <c r="B680" s="171">
        <f t="shared" ref="B680:B745" si="264">B679+1</f>
        <v>324</v>
      </c>
      <c r="C680" s="130"/>
      <c r="D680" s="131"/>
      <c r="E680" s="131"/>
      <c r="F680" s="131" t="s">
        <v>216</v>
      </c>
      <c r="G680" s="194" t="s">
        <v>248</v>
      </c>
      <c r="H680" s="399">
        <f>7403+2525</f>
        <v>9928</v>
      </c>
      <c r="I680" s="399"/>
      <c r="J680" s="399">
        <f t="shared" si="251"/>
        <v>9928</v>
      </c>
      <c r="K680" s="339"/>
      <c r="L680" s="434"/>
      <c r="M680" s="434"/>
      <c r="N680" s="434"/>
      <c r="O680" s="339"/>
      <c r="P680" s="167">
        <f t="shared" ref="P680:P713" si="265">H680+L680</f>
        <v>9928</v>
      </c>
      <c r="Q680" s="167">
        <f t="shared" ref="Q680:R695" si="266">I680+M680</f>
        <v>0</v>
      </c>
      <c r="R680" s="167">
        <f t="shared" si="266"/>
        <v>9928</v>
      </c>
    </row>
    <row r="681" spans="2:18" x14ac:dyDescent="0.2">
      <c r="B681" s="171">
        <f t="shared" si="264"/>
        <v>325</v>
      </c>
      <c r="C681" s="130"/>
      <c r="D681" s="131"/>
      <c r="E681" s="131"/>
      <c r="F681" s="144" t="s">
        <v>217</v>
      </c>
      <c r="G681" s="199" t="s">
        <v>371</v>
      </c>
      <c r="H681" s="530">
        <v>2813</v>
      </c>
      <c r="I681" s="530"/>
      <c r="J681" s="530">
        <f t="shared" si="251"/>
        <v>2813</v>
      </c>
      <c r="K681" s="339"/>
      <c r="L681" s="434"/>
      <c r="M681" s="434"/>
      <c r="N681" s="434"/>
      <c r="O681" s="339"/>
      <c r="P681" s="166">
        <f t="shared" si="265"/>
        <v>2813</v>
      </c>
      <c r="Q681" s="166">
        <f t="shared" si="266"/>
        <v>0</v>
      </c>
      <c r="R681" s="166">
        <f t="shared" si="266"/>
        <v>2813</v>
      </c>
    </row>
    <row r="682" spans="2:18" ht="14.25" x14ac:dyDescent="0.2">
      <c r="B682" s="171">
        <f t="shared" si="264"/>
        <v>326</v>
      </c>
      <c r="C682" s="130"/>
      <c r="D682" s="131"/>
      <c r="E682" s="522" t="s">
        <v>685</v>
      </c>
      <c r="F682" s="519" t="s">
        <v>686</v>
      </c>
      <c r="G682" s="602"/>
      <c r="H682" s="523">
        <f>H683+H684+H685+H692</f>
        <v>374022</v>
      </c>
      <c r="I682" s="523">
        <f t="shared" ref="I682" si="267">I683+I684+I685+I692</f>
        <v>0</v>
      </c>
      <c r="J682" s="523">
        <f t="shared" si="251"/>
        <v>374022</v>
      </c>
      <c r="K682" s="339"/>
      <c r="L682" s="861"/>
      <c r="M682" s="861"/>
      <c r="N682" s="861"/>
      <c r="O682" s="339"/>
      <c r="P682" s="521">
        <f t="shared" si="265"/>
        <v>374022</v>
      </c>
      <c r="Q682" s="521">
        <f t="shared" si="266"/>
        <v>0</v>
      </c>
      <c r="R682" s="521">
        <f t="shared" si="266"/>
        <v>374022</v>
      </c>
    </row>
    <row r="683" spans="2:18" x14ac:dyDescent="0.2">
      <c r="B683" s="171">
        <f t="shared" si="264"/>
        <v>327</v>
      </c>
      <c r="C683" s="130"/>
      <c r="D683" s="131"/>
      <c r="E683" s="165"/>
      <c r="F683" s="144" t="s">
        <v>211</v>
      </c>
      <c r="G683" s="199" t="s">
        <v>505</v>
      </c>
      <c r="H683" s="462">
        <f>215502+18744</f>
        <v>234246</v>
      </c>
      <c r="I683" s="462"/>
      <c r="J683" s="462">
        <f t="shared" si="251"/>
        <v>234246</v>
      </c>
      <c r="K683" s="339"/>
      <c r="L683" s="399"/>
      <c r="M683" s="399"/>
      <c r="N683" s="399"/>
      <c r="O683" s="339"/>
      <c r="P683" s="531">
        <f t="shared" si="265"/>
        <v>234246</v>
      </c>
      <c r="Q683" s="531">
        <f t="shared" si="266"/>
        <v>0</v>
      </c>
      <c r="R683" s="531">
        <f t="shared" si="266"/>
        <v>234246</v>
      </c>
    </row>
    <row r="684" spans="2:18" x14ac:dyDescent="0.2">
      <c r="B684" s="171">
        <f t="shared" si="264"/>
        <v>328</v>
      </c>
      <c r="C684" s="130"/>
      <c r="D684" s="131"/>
      <c r="E684" s="165"/>
      <c r="F684" s="144" t="s">
        <v>212</v>
      </c>
      <c r="G684" s="199" t="s">
        <v>259</v>
      </c>
      <c r="H684" s="462">
        <f>72329+6553</f>
        <v>78882</v>
      </c>
      <c r="I684" s="462"/>
      <c r="J684" s="462">
        <f t="shared" si="251"/>
        <v>78882</v>
      </c>
      <c r="K684" s="339"/>
      <c r="L684" s="399"/>
      <c r="M684" s="399"/>
      <c r="N684" s="399"/>
      <c r="O684" s="339"/>
      <c r="P684" s="531">
        <f t="shared" si="265"/>
        <v>78882</v>
      </c>
      <c r="Q684" s="531">
        <f t="shared" si="266"/>
        <v>0</v>
      </c>
      <c r="R684" s="531">
        <f t="shared" si="266"/>
        <v>78882</v>
      </c>
    </row>
    <row r="685" spans="2:18" x14ac:dyDescent="0.2">
      <c r="B685" s="171">
        <f t="shared" si="264"/>
        <v>329</v>
      </c>
      <c r="C685" s="130"/>
      <c r="D685" s="131"/>
      <c r="E685" s="165"/>
      <c r="F685" s="144" t="s">
        <v>218</v>
      </c>
      <c r="G685" s="199" t="s">
        <v>340</v>
      </c>
      <c r="H685" s="530">
        <f>SUM(H686:H691)</f>
        <v>57457</v>
      </c>
      <c r="I685" s="530"/>
      <c r="J685" s="530">
        <f t="shared" si="251"/>
        <v>57457</v>
      </c>
      <c r="K685" s="339"/>
      <c r="L685" s="399"/>
      <c r="M685" s="399"/>
      <c r="N685" s="399"/>
      <c r="O685" s="339"/>
      <c r="P685" s="531">
        <f t="shared" si="265"/>
        <v>57457</v>
      </c>
      <c r="Q685" s="531">
        <f t="shared" si="266"/>
        <v>0</v>
      </c>
      <c r="R685" s="531">
        <f t="shared" si="266"/>
        <v>57457</v>
      </c>
    </row>
    <row r="686" spans="2:18" x14ac:dyDescent="0.2">
      <c r="B686" s="171">
        <f t="shared" si="264"/>
        <v>330</v>
      </c>
      <c r="C686" s="130"/>
      <c r="D686" s="131"/>
      <c r="E686" s="165"/>
      <c r="F686" s="131" t="s">
        <v>213</v>
      </c>
      <c r="G686" s="194" t="s">
        <v>255</v>
      </c>
      <c r="H686" s="430">
        <v>180</v>
      </c>
      <c r="I686" s="430"/>
      <c r="J686" s="430">
        <f t="shared" si="251"/>
        <v>180</v>
      </c>
      <c r="K686" s="339"/>
      <c r="L686" s="399"/>
      <c r="M686" s="399"/>
      <c r="N686" s="399"/>
      <c r="O686" s="339"/>
      <c r="P686" s="168">
        <f t="shared" si="265"/>
        <v>180</v>
      </c>
      <c r="Q686" s="168">
        <f t="shared" si="266"/>
        <v>0</v>
      </c>
      <c r="R686" s="168">
        <f t="shared" si="266"/>
        <v>180</v>
      </c>
    </row>
    <row r="687" spans="2:18" x14ac:dyDescent="0.2">
      <c r="B687" s="171">
        <f t="shared" si="264"/>
        <v>331</v>
      </c>
      <c r="C687" s="130"/>
      <c r="D687" s="131"/>
      <c r="E687" s="165"/>
      <c r="F687" s="131" t="s">
        <v>199</v>
      </c>
      <c r="G687" s="194" t="s">
        <v>318</v>
      </c>
      <c r="H687" s="430">
        <f>28080+2177</f>
        <v>30257</v>
      </c>
      <c r="I687" s="430"/>
      <c r="J687" s="430">
        <f t="shared" si="251"/>
        <v>30257</v>
      </c>
      <c r="K687" s="339"/>
      <c r="L687" s="399"/>
      <c r="M687" s="399"/>
      <c r="N687" s="399"/>
      <c r="O687" s="339"/>
      <c r="P687" s="168">
        <f t="shared" si="265"/>
        <v>30257</v>
      </c>
      <c r="Q687" s="168">
        <f t="shared" si="266"/>
        <v>0</v>
      </c>
      <c r="R687" s="168">
        <f t="shared" si="266"/>
        <v>30257</v>
      </c>
    </row>
    <row r="688" spans="2:18" x14ac:dyDescent="0.2">
      <c r="B688" s="171">
        <f t="shared" si="264"/>
        <v>332</v>
      </c>
      <c r="C688" s="130"/>
      <c r="D688" s="131"/>
      <c r="E688" s="165"/>
      <c r="F688" s="131" t="s">
        <v>200</v>
      </c>
      <c r="G688" s="194" t="s">
        <v>247</v>
      </c>
      <c r="H688" s="430">
        <v>7664</v>
      </c>
      <c r="I688" s="430"/>
      <c r="J688" s="430">
        <f t="shared" si="251"/>
        <v>7664</v>
      </c>
      <c r="K688" s="339"/>
      <c r="L688" s="399"/>
      <c r="M688" s="399"/>
      <c r="N688" s="399"/>
      <c r="O688" s="339"/>
      <c r="P688" s="168">
        <f t="shared" si="265"/>
        <v>7664</v>
      </c>
      <c r="Q688" s="168">
        <f t="shared" si="266"/>
        <v>0</v>
      </c>
      <c r="R688" s="168">
        <f t="shared" si="266"/>
        <v>7664</v>
      </c>
    </row>
    <row r="689" spans="2:18" x14ac:dyDescent="0.2">
      <c r="B689" s="171">
        <f t="shared" si="264"/>
        <v>333</v>
      </c>
      <c r="C689" s="130"/>
      <c r="D689" s="131"/>
      <c r="E689" s="165"/>
      <c r="F689" s="131" t="s">
        <v>214</v>
      </c>
      <c r="G689" s="194" t="s">
        <v>261</v>
      </c>
      <c r="H689" s="430">
        <f>2490+1822</f>
        <v>4312</v>
      </c>
      <c r="I689" s="430"/>
      <c r="J689" s="430">
        <f t="shared" si="251"/>
        <v>4312</v>
      </c>
      <c r="K689" s="339"/>
      <c r="L689" s="399"/>
      <c r="M689" s="399"/>
      <c r="N689" s="399"/>
      <c r="O689" s="339"/>
      <c r="P689" s="168">
        <f t="shared" si="265"/>
        <v>4312</v>
      </c>
      <c r="Q689" s="168">
        <f t="shared" si="266"/>
        <v>0</v>
      </c>
      <c r="R689" s="168">
        <f t="shared" si="266"/>
        <v>4312</v>
      </c>
    </row>
    <row r="690" spans="2:18" x14ac:dyDescent="0.2">
      <c r="B690" s="171">
        <f t="shared" si="264"/>
        <v>334</v>
      </c>
      <c r="C690" s="130"/>
      <c r="D690" s="131"/>
      <c r="E690" s="165"/>
      <c r="F690" s="131" t="s">
        <v>216</v>
      </c>
      <c r="G690" s="194" t="s">
        <v>248</v>
      </c>
      <c r="H690" s="430">
        <f>7552+1937</f>
        <v>9489</v>
      </c>
      <c r="I690" s="430"/>
      <c r="J690" s="430">
        <f t="shared" si="251"/>
        <v>9489</v>
      </c>
      <c r="K690" s="339"/>
      <c r="L690" s="399"/>
      <c r="M690" s="399"/>
      <c r="N690" s="399"/>
      <c r="O690" s="339"/>
      <c r="P690" s="168">
        <f t="shared" si="265"/>
        <v>9489</v>
      </c>
      <c r="Q690" s="168">
        <f t="shared" si="266"/>
        <v>0</v>
      </c>
      <c r="R690" s="168">
        <f t="shared" si="266"/>
        <v>9489</v>
      </c>
    </row>
    <row r="691" spans="2:18" x14ac:dyDescent="0.2">
      <c r="B691" s="171">
        <f t="shared" si="264"/>
        <v>335</v>
      </c>
      <c r="C691" s="130"/>
      <c r="D691" s="131"/>
      <c r="E691" s="165"/>
      <c r="F691" s="131" t="s">
        <v>218</v>
      </c>
      <c r="G691" s="194" t="s">
        <v>791</v>
      </c>
      <c r="H691" s="430">
        <v>5555</v>
      </c>
      <c r="I691" s="430"/>
      <c r="J691" s="430">
        <f t="shared" ref="J691:J756" si="268">H691+I691</f>
        <v>5555</v>
      </c>
      <c r="K691" s="339"/>
      <c r="L691" s="399"/>
      <c r="M691" s="399"/>
      <c r="N691" s="399"/>
      <c r="O691" s="339"/>
      <c r="P691" s="168">
        <f t="shared" si="265"/>
        <v>5555</v>
      </c>
      <c r="Q691" s="168">
        <f t="shared" si="266"/>
        <v>0</v>
      </c>
      <c r="R691" s="168">
        <f t="shared" si="266"/>
        <v>5555</v>
      </c>
    </row>
    <row r="692" spans="2:18" x14ac:dyDescent="0.2">
      <c r="B692" s="171">
        <f t="shared" si="264"/>
        <v>336</v>
      </c>
      <c r="C692" s="130"/>
      <c r="D692" s="131"/>
      <c r="E692" s="165"/>
      <c r="F692" s="284" t="s">
        <v>217</v>
      </c>
      <c r="G692" s="199" t="s">
        <v>371</v>
      </c>
      <c r="H692" s="462">
        <v>3437</v>
      </c>
      <c r="I692" s="462"/>
      <c r="J692" s="462">
        <f t="shared" si="268"/>
        <v>3437</v>
      </c>
      <c r="K692" s="339"/>
      <c r="L692" s="399"/>
      <c r="M692" s="399"/>
      <c r="N692" s="399"/>
      <c r="O692" s="339"/>
      <c r="P692" s="531">
        <f t="shared" si="265"/>
        <v>3437</v>
      </c>
      <c r="Q692" s="531">
        <f t="shared" si="266"/>
        <v>0</v>
      </c>
      <c r="R692" s="531">
        <f t="shared" si="266"/>
        <v>3437</v>
      </c>
    </row>
    <row r="693" spans="2:18" ht="15" x14ac:dyDescent="0.25">
      <c r="B693" s="171">
        <f t="shared" si="264"/>
        <v>337</v>
      </c>
      <c r="C693" s="130"/>
      <c r="D693" s="261" t="s">
        <v>349</v>
      </c>
      <c r="E693" s="147" t="s">
        <v>429</v>
      </c>
      <c r="F693" s="147" t="s">
        <v>374</v>
      </c>
      <c r="G693" s="236"/>
      <c r="H693" s="425">
        <f>H694+H704</f>
        <v>373408</v>
      </c>
      <c r="I693" s="425">
        <f t="shared" ref="I693" si="269">I694+I704</f>
        <v>-1103</v>
      </c>
      <c r="J693" s="425">
        <f t="shared" si="268"/>
        <v>372305</v>
      </c>
      <c r="K693" s="342"/>
      <c r="L693" s="854"/>
      <c r="M693" s="854"/>
      <c r="N693" s="854"/>
      <c r="O693" s="342"/>
      <c r="P693" s="330">
        <f t="shared" si="265"/>
        <v>373408</v>
      </c>
      <c r="Q693" s="330">
        <f t="shared" si="266"/>
        <v>-1103</v>
      </c>
      <c r="R693" s="330">
        <f t="shared" si="266"/>
        <v>372305</v>
      </c>
    </row>
    <row r="694" spans="2:18" ht="14.25" x14ac:dyDescent="0.2">
      <c r="B694" s="171">
        <f t="shared" si="264"/>
        <v>338</v>
      </c>
      <c r="C694" s="76"/>
      <c r="D694" s="516"/>
      <c r="E694" s="522" t="s">
        <v>428</v>
      </c>
      <c r="F694" s="519" t="s">
        <v>687</v>
      </c>
      <c r="G694" s="518"/>
      <c r="H694" s="520">
        <f>H695+H696+H697+H703</f>
        <v>141048</v>
      </c>
      <c r="I694" s="520">
        <f t="shared" ref="I694" si="270">I695+I696+I697+I703</f>
        <v>0</v>
      </c>
      <c r="J694" s="520">
        <f t="shared" si="268"/>
        <v>141048</v>
      </c>
      <c r="K694" s="333"/>
      <c r="L694" s="861"/>
      <c r="M694" s="861"/>
      <c r="N694" s="861"/>
      <c r="O694" s="333"/>
      <c r="P694" s="521">
        <f t="shared" si="265"/>
        <v>141048</v>
      </c>
      <c r="Q694" s="521">
        <f t="shared" si="266"/>
        <v>0</v>
      </c>
      <c r="R694" s="521">
        <f t="shared" si="266"/>
        <v>141048</v>
      </c>
    </row>
    <row r="695" spans="2:18" x14ac:dyDescent="0.2">
      <c r="B695" s="171">
        <f t="shared" si="264"/>
        <v>339</v>
      </c>
      <c r="C695" s="130"/>
      <c r="D695" s="131"/>
      <c r="E695" s="131"/>
      <c r="F695" s="144" t="s">
        <v>211</v>
      </c>
      <c r="G695" s="199" t="s">
        <v>505</v>
      </c>
      <c r="H695" s="530">
        <f>83784+713</f>
        <v>84497</v>
      </c>
      <c r="I695" s="530"/>
      <c r="J695" s="530">
        <f t="shared" si="268"/>
        <v>84497</v>
      </c>
      <c r="K695" s="339"/>
      <c r="L695" s="434"/>
      <c r="M695" s="434"/>
      <c r="N695" s="434"/>
      <c r="O695" s="339"/>
      <c r="P695" s="166">
        <f t="shared" si="265"/>
        <v>84497</v>
      </c>
      <c r="Q695" s="166">
        <f t="shared" si="266"/>
        <v>0</v>
      </c>
      <c r="R695" s="166">
        <f t="shared" si="266"/>
        <v>84497</v>
      </c>
    </row>
    <row r="696" spans="2:18" x14ac:dyDescent="0.2">
      <c r="B696" s="171">
        <f t="shared" si="264"/>
        <v>340</v>
      </c>
      <c r="C696" s="130"/>
      <c r="D696" s="131"/>
      <c r="E696" s="131"/>
      <c r="F696" s="144" t="s">
        <v>212</v>
      </c>
      <c r="G696" s="199" t="s">
        <v>259</v>
      </c>
      <c r="H696" s="530">
        <f>29278+248</f>
        <v>29526</v>
      </c>
      <c r="I696" s="530"/>
      <c r="J696" s="530">
        <f t="shared" si="268"/>
        <v>29526</v>
      </c>
      <c r="K696" s="339"/>
      <c r="L696" s="434"/>
      <c r="M696" s="434"/>
      <c r="N696" s="434"/>
      <c r="O696" s="339"/>
      <c r="P696" s="166">
        <f t="shared" si="265"/>
        <v>29526</v>
      </c>
      <c r="Q696" s="166">
        <f t="shared" ref="Q696:R711" si="271">I696+M696</f>
        <v>0</v>
      </c>
      <c r="R696" s="166">
        <f t="shared" si="271"/>
        <v>29526</v>
      </c>
    </row>
    <row r="697" spans="2:18" x14ac:dyDescent="0.2">
      <c r="B697" s="171">
        <f t="shared" si="264"/>
        <v>341</v>
      </c>
      <c r="C697" s="130"/>
      <c r="D697" s="131"/>
      <c r="E697" s="131"/>
      <c r="F697" s="144" t="s">
        <v>218</v>
      </c>
      <c r="G697" s="199" t="s">
        <v>340</v>
      </c>
      <c r="H697" s="530">
        <f>SUM(H698:H702)</f>
        <v>26865</v>
      </c>
      <c r="I697" s="530"/>
      <c r="J697" s="530">
        <f t="shared" si="268"/>
        <v>26865</v>
      </c>
      <c r="K697" s="339"/>
      <c r="L697" s="434"/>
      <c r="M697" s="434"/>
      <c r="N697" s="434"/>
      <c r="O697" s="339"/>
      <c r="P697" s="166">
        <f t="shared" si="265"/>
        <v>26865</v>
      </c>
      <c r="Q697" s="166">
        <f t="shared" si="271"/>
        <v>0</v>
      </c>
      <c r="R697" s="166">
        <f t="shared" si="271"/>
        <v>26865</v>
      </c>
    </row>
    <row r="698" spans="2:18" x14ac:dyDescent="0.2">
      <c r="B698" s="171">
        <f t="shared" si="264"/>
        <v>342</v>
      </c>
      <c r="C698" s="130"/>
      <c r="D698" s="131"/>
      <c r="E698" s="131"/>
      <c r="F698" s="131" t="s">
        <v>213</v>
      </c>
      <c r="G698" s="194" t="s">
        <v>255</v>
      </c>
      <c r="H698" s="399">
        <v>15</v>
      </c>
      <c r="I698" s="399"/>
      <c r="J698" s="399">
        <f t="shared" si="268"/>
        <v>15</v>
      </c>
      <c r="K698" s="339"/>
      <c r="L698" s="434"/>
      <c r="M698" s="434"/>
      <c r="N698" s="434"/>
      <c r="O698" s="339"/>
      <c r="P698" s="167">
        <f t="shared" si="265"/>
        <v>15</v>
      </c>
      <c r="Q698" s="167">
        <f t="shared" si="271"/>
        <v>0</v>
      </c>
      <c r="R698" s="167">
        <f t="shared" si="271"/>
        <v>15</v>
      </c>
    </row>
    <row r="699" spans="2:18" x14ac:dyDescent="0.2">
      <c r="B699" s="171">
        <f t="shared" si="264"/>
        <v>343</v>
      </c>
      <c r="C699" s="130"/>
      <c r="D699" s="131"/>
      <c r="E699" s="131"/>
      <c r="F699" s="131" t="s">
        <v>199</v>
      </c>
      <c r="G699" s="194" t="s">
        <v>318</v>
      </c>
      <c r="H699" s="399">
        <f>22480-2876</f>
        <v>19604</v>
      </c>
      <c r="I699" s="399"/>
      <c r="J699" s="399">
        <f t="shared" si="268"/>
        <v>19604</v>
      </c>
      <c r="K699" s="339"/>
      <c r="L699" s="434"/>
      <c r="M699" s="434"/>
      <c r="N699" s="434"/>
      <c r="O699" s="339"/>
      <c r="P699" s="167">
        <f t="shared" si="265"/>
        <v>19604</v>
      </c>
      <c r="Q699" s="167">
        <f t="shared" si="271"/>
        <v>0</v>
      </c>
      <c r="R699" s="167">
        <f t="shared" si="271"/>
        <v>19604</v>
      </c>
    </row>
    <row r="700" spans="2:18" x14ac:dyDescent="0.2">
      <c r="B700" s="171">
        <f t="shared" si="264"/>
        <v>344</v>
      </c>
      <c r="C700" s="130"/>
      <c r="D700" s="131"/>
      <c r="E700" s="131"/>
      <c r="F700" s="131" t="s">
        <v>200</v>
      </c>
      <c r="G700" s="194" t="s">
        <v>247</v>
      </c>
      <c r="H700" s="399">
        <f>2130</f>
        <v>2130</v>
      </c>
      <c r="I700" s="399"/>
      <c r="J700" s="399">
        <f t="shared" si="268"/>
        <v>2130</v>
      </c>
      <c r="K700" s="339"/>
      <c r="L700" s="434"/>
      <c r="M700" s="434"/>
      <c r="N700" s="434"/>
      <c r="O700" s="339"/>
      <c r="P700" s="167">
        <f t="shared" si="265"/>
        <v>2130</v>
      </c>
      <c r="Q700" s="167">
        <f t="shared" si="271"/>
        <v>0</v>
      </c>
      <c r="R700" s="167">
        <f t="shared" si="271"/>
        <v>2130</v>
      </c>
    </row>
    <row r="701" spans="2:18" x14ac:dyDescent="0.2">
      <c r="B701" s="171">
        <f t="shared" si="264"/>
        <v>345</v>
      </c>
      <c r="C701" s="130"/>
      <c r="D701" s="131"/>
      <c r="E701" s="131"/>
      <c r="F701" s="131" t="s">
        <v>214</v>
      </c>
      <c r="G701" s="194" t="s">
        <v>261</v>
      </c>
      <c r="H701" s="430">
        <v>555</v>
      </c>
      <c r="I701" s="430"/>
      <c r="J701" s="430">
        <f t="shared" si="268"/>
        <v>555</v>
      </c>
      <c r="K701" s="344"/>
      <c r="L701" s="434"/>
      <c r="M701" s="434"/>
      <c r="N701" s="434"/>
      <c r="O701" s="344"/>
      <c r="P701" s="167">
        <f t="shared" si="265"/>
        <v>555</v>
      </c>
      <c r="Q701" s="167">
        <f t="shared" si="271"/>
        <v>0</v>
      </c>
      <c r="R701" s="167">
        <f t="shared" si="271"/>
        <v>555</v>
      </c>
    </row>
    <row r="702" spans="2:18" x14ac:dyDescent="0.2">
      <c r="B702" s="171">
        <f t="shared" si="264"/>
        <v>346</v>
      </c>
      <c r="C702" s="130"/>
      <c r="D702" s="131"/>
      <c r="E702" s="131"/>
      <c r="F702" s="131" t="s">
        <v>216</v>
      </c>
      <c r="G702" s="194" t="s">
        <v>248</v>
      </c>
      <c r="H702" s="399">
        <v>4561</v>
      </c>
      <c r="I702" s="399"/>
      <c r="J702" s="399">
        <f t="shared" si="268"/>
        <v>4561</v>
      </c>
      <c r="K702" s="339"/>
      <c r="L702" s="434"/>
      <c r="M702" s="434"/>
      <c r="N702" s="434"/>
      <c r="O702" s="339"/>
      <c r="P702" s="167">
        <f t="shared" si="265"/>
        <v>4561</v>
      </c>
      <c r="Q702" s="167">
        <f t="shared" si="271"/>
        <v>0</v>
      </c>
      <c r="R702" s="167">
        <f t="shared" si="271"/>
        <v>4561</v>
      </c>
    </row>
    <row r="703" spans="2:18" x14ac:dyDescent="0.2">
      <c r="B703" s="171">
        <f t="shared" si="264"/>
        <v>347</v>
      </c>
      <c r="C703" s="135"/>
      <c r="D703" s="135"/>
      <c r="E703" s="290"/>
      <c r="F703" s="284" t="s">
        <v>217</v>
      </c>
      <c r="G703" s="199" t="s">
        <v>371</v>
      </c>
      <c r="H703" s="530">
        <f>40+120</f>
        <v>160</v>
      </c>
      <c r="I703" s="530"/>
      <c r="J703" s="530">
        <f t="shared" si="268"/>
        <v>160</v>
      </c>
      <c r="K703" s="340"/>
      <c r="L703" s="399"/>
      <c r="M703" s="399"/>
      <c r="N703" s="399"/>
      <c r="O703" s="340"/>
      <c r="P703" s="531">
        <f t="shared" si="265"/>
        <v>160</v>
      </c>
      <c r="Q703" s="531">
        <f t="shared" si="271"/>
        <v>0</v>
      </c>
      <c r="R703" s="531">
        <f t="shared" si="271"/>
        <v>160</v>
      </c>
    </row>
    <row r="704" spans="2:18" ht="14.25" x14ac:dyDescent="0.2">
      <c r="B704" s="171">
        <f t="shared" si="264"/>
        <v>348</v>
      </c>
      <c r="C704" s="130"/>
      <c r="D704" s="131"/>
      <c r="E704" s="522" t="s">
        <v>685</v>
      </c>
      <c r="F704" s="519" t="s">
        <v>686</v>
      </c>
      <c r="G704" s="602"/>
      <c r="H704" s="523">
        <f>H705+H706+H707+H713</f>
        <v>232360</v>
      </c>
      <c r="I704" s="523">
        <f t="shared" ref="I704" si="272">I705+I706+I707+I713</f>
        <v>-1103</v>
      </c>
      <c r="J704" s="523">
        <f t="shared" si="268"/>
        <v>231257</v>
      </c>
      <c r="K704" s="339"/>
      <c r="L704" s="861"/>
      <c r="M704" s="861"/>
      <c r="N704" s="861"/>
      <c r="O704" s="339"/>
      <c r="P704" s="521">
        <f t="shared" si="265"/>
        <v>232360</v>
      </c>
      <c r="Q704" s="521">
        <f t="shared" si="271"/>
        <v>-1103</v>
      </c>
      <c r="R704" s="521">
        <f t="shared" si="271"/>
        <v>231257</v>
      </c>
    </row>
    <row r="705" spans="2:18" x14ac:dyDescent="0.2">
      <c r="B705" s="171">
        <f t="shared" si="264"/>
        <v>349</v>
      </c>
      <c r="C705" s="130"/>
      <c r="D705" s="131"/>
      <c r="E705" s="165"/>
      <c r="F705" s="144" t="s">
        <v>211</v>
      </c>
      <c r="G705" s="199" t="s">
        <v>505</v>
      </c>
      <c r="H705" s="462">
        <f>124326+4445+1425</f>
        <v>130196</v>
      </c>
      <c r="I705" s="462">
        <v>610</v>
      </c>
      <c r="J705" s="462">
        <f t="shared" si="268"/>
        <v>130806</v>
      </c>
      <c r="K705" s="339"/>
      <c r="L705" s="399"/>
      <c r="M705" s="399"/>
      <c r="N705" s="399"/>
      <c r="O705" s="339"/>
      <c r="P705" s="531">
        <f t="shared" si="265"/>
        <v>130196</v>
      </c>
      <c r="Q705" s="531">
        <f t="shared" si="271"/>
        <v>610</v>
      </c>
      <c r="R705" s="531">
        <f t="shared" si="271"/>
        <v>130806</v>
      </c>
    </row>
    <row r="706" spans="2:18" x14ac:dyDescent="0.2">
      <c r="B706" s="171">
        <f t="shared" si="264"/>
        <v>350</v>
      </c>
      <c r="C706" s="130"/>
      <c r="D706" s="131"/>
      <c r="E706" s="165"/>
      <c r="F706" s="144" t="s">
        <v>212</v>
      </c>
      <c r="G706" s="199" t="s">
        <v>259</v>
      </c>
      <c r="H706" s="462">
        <f>43457+1555+498</f>
        <v>45510</v>
      </c>
      <c r="I706" s="462">
        <v>-310</v>
      </c>
      <c r="J706" s="462">
        <f t="shared" si="268"/>
        <v>45200</v>
      </c>
      <c r="K706" s="339"/>
      <c r="L706" s="399"/>
      <c r="M706" s="399"/>
      <c r="N706" s="399"/>
      <c r="O706" s="339"/>
      <c r="P706" s="531">
        <f t="shared" si="265"/>
        <v>45510</v>
      </c>
      <c r="Q706" s="531">
        <f t="shared" si="271"/>
        <v>-310</v>
      </c>
      <c r="R706" s="531">
        <f t="shared" si="271"/>
        <v>45200</v>
      </c>
    </row>
    <row r="707" spans="2:18" x14ac:dyDescent="0.2">
      <c r="B707" s="171">
        <f t="shared" si="264"/>
        <v>351</v>
      </c>
      <c r="C707" s="130"/>
      <c r="D707" s="131"/>
      <c r="E707" s="165"/>
      <c r="F707" s="144" t="s">
        <v>218</v>
      </c>
      <c r="G707" s="199" t="s">
        <v>340</v>
      </c>
      <c r="H707" s="530">
        <f>SUM(H708:H712)</f>
        <v>56414</v>
      </c>
      <c r="I707" s="530">
        <f>I708+I709+I710+I711+I712</f>
        <v>-1403</v>
      </c>
      <c r="J707" s="530">
        <f t="shared" si="268"/>
        <v>55011</v>
      </c>
      <c r="K707" s="339"/>
      <c r="L707" s="399"/>
      <c r="M707" s="399"/>
      <c r="N707" s="399"/>
      <c r="O707" s="339"/>
      <c r="P707" s="531">
        <f t="shared" si="265"/>
        <v>56414</v>
      </c>
      <c r="Q707" s="531">
        <f t="shared" si="271"/>
        <v>-1403</v>
      </c>
      <c r="R707" s="531">
        <f t="shared" si="271"/>
        <v>55011</v>
      </c>
    </row>
    <row r="708" spans="2:18" x14ac:dyDescent="0.2">
      <c r="B708" s="171">
        <f t="shared" si="264"/>
        <v>352</v>
      </c>
      <c r="C708" s="130"/>
      <c r="D708" s="131"/>
      <c r="E708" s="165"/>
      <c r="F708" s="131" t="s">
        <v>213</v>
      </c>
      <c r="G708" s="194" t="s">
        <v>255</v>
      </c>
      <c r="H708" s="430">
        <v>15</v>
      </c>
      <c r="I708" s="430"/>
      <c r="J708" s="430">
        <f t="shared" si="268"/>
        <v>15</v>
      </c>
      <c r="K708" s="339"/>
      <c r="L708" s="399"/>
      <c r="M708" s="399"/>
      <c r="N708" s="399"/>
      <c r="O708" s="339"/>
      <c r="P708" s="168">
        <f t="shared" si="265"/>
        <v>15</v>
      </c>
      <c r="Q708" s="168">
        <f t="shared" si="271"/>
        <v>0</v>
      </c>
      <c r="R708" s="168">
        <f t="shared" si="271"/>
        <v>15</v>
      </c>
    </row>
    <row r="709" spans="2:18" x14ac:dyDescent="0.2">
      <c r="B709" s="171">
        <f t="shared" si="264"/>
        <v>353</v>
      </c>
      <c r="C709" s="130"/>
      <c r="D709" s="131"/>
      <c r="E709" s="165"/>
      <c r="F709" s="131" t="s">
        <v>199</v>
      </c>
      <c r="G709" s="194" t="s">
        <v>318</v>
      </c>
      <c r="H709" s="430">
        <f>29000-4314</f>
        <v>24686</v>
      </c>
      <c r="I709" s="430"/>
      <c r="J709" s="430">
        <f t="shared" si="268"/>
        <v>24686</v>
      </c>
      <c r="K709" s="339"/>
      <c r="L709" s="399"/>
      <c r="M709" s="399"/>
      <c r="N709" s="399"/>
      <c r="O709" s="339"/>
      <c r="P709" s="168">
        <f t="shared" si="265"/>
        <v>24686</v>
      </c>
      <c r="Q709" s="168">
        <f t="shared" si="271"/>
        <v>0</v>
      </c>
      <c r="R709" s="168">
        <f t="shared" si="271"/>
        <v>24686</v>
      </c>
    </row>
    <row r="710" spans="2:18" x14ac:dyDescent="0.2">
      <c r="B710" s="171">
        <f t="shared" si="264"/>
        <v>354</v>
      </c>
      <c r="C710" s="130"/>
      <c r="D710" s="131"/>
      <c r="E710" s="165"/>
      <c r="F710" s="131" t="s">
        <v>200</v>
      </c>
      <c r="G710" s="194" t="s">
        <v>247</v>
      </c>
      <c r="H710" s="430">
        <f>1780+85+54</f>
        <v>1919</v>
      </c>
      <c r="I710" s="430">
        <v>97</v>
      </c>
      <c r="J710" s="430">
        <f t="shared" si="268"/>
        <v>2016</v>
      </c>
      <c r="K710" s="339"/>
      <c r="L710" s="399"/>
      <c r="M710" s="399"/>
      <c r="N710" s="399"/>
      <c r="O710" s="339"/>
      <c r="P710" s="168">
        <f t="shared" si="265"/>
        <v>1919</v>
      </c>
      <c r="Q710" s="168">
        <f t="shared" si="271"/>
        <v>97</v>
      </c>
      <c r="R710" s="168">
        <f t="shared" si="271"/>
        <v>2016</v>
      </c>
    </row>
    <row r="711" spans="2:18" x14ac:dyDescent="0.2">
      <c r="B711" s="171">
        <f t="shared" si="264"/>
        <v>355</v>
      </c>
      <c r="C711" s="130"/>
      <c r="D711" s="131"/>
      <c r="E711" s="165"/>
      <c r="F711" s="131" t="s">
        <v>214</v>
      </c>
      <c r="G711" s="194" t="s">
        <v>261</v>
      </c>
      <c r="H711" s="430">
        <v>23755</v>
      </c>
      <c r="I711" s="430">
        <v>-1500</v>
      </c>
      <c r="J711" s="430">
        <f t="shared" si="268"/>
        <v>22255</v>
      </c>
      <c r="K711" s="339"/>
      <c r="L711" s="399"/>
      <c r="M711" s="399"/>
      <c r="N711" s="399"/>
      <c r="O711" s="339"/>
      <c r="P711" s="168">
        <f t="shared" si="265"/>
        <v>23755</v>
      </c>
      <c r="Q711" s="168">
        <f t="shared" si="271"/>
        <v>-1500</v>
      </c>
      <c r="R711" s="168">
        <f t="shared" si="271"/>
        <v>22255</v>
      </c>
    </row>
    <row r="712" spans="2:18" x14ac:dyDescent="0.2">
      <c r="B712" s="171">
        <f t="shared" si="264"/>
        <v>356</v>
      </c>
      <c r="C712" s="130"/>
      <c r="D712" s="131"/>
      <c r="E712" s="165"/>
      <c r="F712" s="131" t="s">
        <v>216</v>
      </c>
      <c r="G712" s="194" t="s">
        <v>248</v>
      </c>
      <c r="H712" s="430">
        <v>6039</v>
      </c>
      <c r="I712" s="430"/>
      <c r="J712" s="430">
        <f t="shared" si="268"/>
        <v>6039</v>
      </c>
      <c r="K712" s="339"/>
      <c r="L712" s="399"/>
      <c r="M712" s="399"/>
      <c r="N712" s="399"/>
      <c r="O712" s="339"/>
      <c r="P712" s="168">
        <f t="shared" si="265"/>
        <v>6039</v>
      </c>
      <c r="Q712" s="168">
        <f t="shared" ref="Q712:R713" si="273">I712+M712</f>
        <v>0</v>
      </c>
      <c r="R712" s="168">
        <f t="shared" si="273"/>
        <v>6039</v>
      </c>
    </row>
    <row r="713" spans="2:18" x14ac:dyDescent="0.2">
      <c r="B713" s="171">
        <f t="shared" si="264"/>
        <v>357</v>
      </c>
      <c r="C713" s="130"/>
      <c r="D713" s="131"/>
      <c r="E713" s="165"/>
      <c r="F713" s="284" t="s">
        <v>217</v>
      </c>
      <c r="G713" s="199" t="s">
        <v>371</v>
      </c>
      <c r="H713" s="462">
        <f>60+180</f>
        <v>240</v>
      </c>
      <c r="I713" s="462"/>
      <c r="J713" s="462">
        <f t="shared" si="268"/>
        <v>240</v>
      </c>
      <c r="K713" s="339"/>
      <c r="L713" s="399"/>
      <c r="M713" s="399"/>
      <c r="N713" s="399"/>
      <c r="O713" s="339"/>
      <c r="P713" s="531">
        <f t="shared" si="265"/>
        <v>240</v>
      </c>
      <c r="Q713" s="531">
        <f t="shared" si="273"/>
        <v>0</v>
      </c>
      <c r="R713" s="531">
        <f t="shared" si="273"/>
        <v>240</v>
      </c>
    </row>
    <row r="714" spans="2:18" x14ac:dyDescent="0.2">
      <c r="B714" s="171">
        <f t="shared" si="264"/>
        <v>358</v>
      </c>
      <c r="C714" s="130"/>
      <c r="D714" s="182"/>
      <c r="E714" s="146"/>
      <c r="F714" s="144"/>
      <c r="G714" s="199"/>
      <c r="H714" s="462"/>
      <c r="I714" s="462"/>
      <c r="J714" s="462"/>
      <c r="K714" s="339"/>
      <c r="L714" s="430"/>
      <c r="M714" s="430"/>
      <c r="N714" s="430"/>
      <c r="O714" s="339"/>
      <c r="P714" s="531"/>
      <c r="Q714" s="531"/>
      <c r="R714" s="531"/>
    </row>
    <row r="715" spans="2:18" x14ac:dyDescent="0.2">
      <c r="B715" s="171">
        <f t="shared" si="264"/>
        <v>359</v>
      </c>
      <c r="C715" s="130"/>
      <c r="D715" s="182"/>
      <c r="E715" s="146"/>
      <c r="F715" s="144" t="s">
        <v>866</v>
      </c>
      <c r="G715" s="199" t="s">
        <v>865</v>
      </c>
      <c r="H715" s="430">
        <v>0</v>
      </c>
      <c r="I715" s="430">
        <v>3080</v>
      </c>
      <c r="J715" s="430">
        <f>I715+H715</f>
        <v>3080</v>
      </c>
      <c r="K715" s="339"/>
      <c r="L715" s="430"/>
      <c r="M715" s="430"/>
      <c r="N715" s="430"/>
      <c r="O715" s="339"/>
      <c r="P715" s="168">
        <f t="shared" ref="P715" si="274">H715+L715</f>
        <v>0</v>
      </c>
      <c r="Q715" s="168">
        <f t="shared" ref="Q715" si="275">I715+M715</f>
        <v>3080</v>
      </c>
      <c r="R715" s="168">
        <f t="shared" ref="R715" si="276">J715+N715</f>
        <v>3080</v>
      </c>
    </row>
    <row r="716" spans="2:18" x14ac:dyDescent="0.2">
      <c r="B716" s="171">
        <f t="shared" si="264"/>
        <v>360</v>
      </c>
      <c r="C716" s="130"/>
      <c r="D716" s="130"/>
      <c r="E716" s="146"/>
      <c r="F716" s="131"/>
      <c r="G716" s="194"/>
      <c r="H716" s="432"/>
      <c r="I716" s="432"/>
      <c r="J716" s="432">
        <f t="shared" si="268"/>
        <v>0</v>
      </c>
      <c r="K716" s="132"/>
      <c r="L716" s="382"/>
      <c r="M716" s="382"/>
      <c r="N716" s="382"/>
      <c r="O716" s="132"/>
      <c r="P716" s="213"/>
      <c r="Q716" s="213"/>
      <c r="R716" s="213"/>
    </row>
    <row r="717" spans="2:18" ht="15.75" x14ac:dyDescent="0.25">
      <c r="B717" s="171">
        <f t="shared" si="264"/>
        <v>361</v>
      </c>
      <c r="C717" s="23">
        <v>3</v>
      </c>
      <c r="D717" s="127" t="s">
        <v>142</v>
      </c>
      <c r="E717" s="24"/>
      <c r="F717" s="24"/>
      <c r="G717" s="193"/>
      <c r="H717" s="413">
        <f>H718+H725+H733+H741+H749+H757+H764+H772+H780+H789+H790+H791+H792+H794+H805+H816+H817</f>
        <v>1819944</v>
      </c>
      <c r="I717" s="413">
        <f t="shared" ref="I717" si="277">I718+I725+I733+I741+I749+I757+I764+I772+I780+I789+I790+I791+I792+I794+I805+I816+I817</f>
        <v>2680</v>
      </c>
      <c r="J717" s="413">
        <f t="shared" si="268"/>
        <v>1822624</v>
      </c>
      <c r="K717" s="88"/>
      <c r="L717" s="379">
        <v>0</v>
      </c>
      <c r="M717" s="379">
        <v>0</v>
      </c>
      <c r="N717" s="379"/>
      <c r="O717" s="88"/>
      <c r="P717" s="373">
        <f t="shared" ref="P717:P748" si="278">H717+L717</f>
        <v>1819944</v>
      </c>
      <c r="Q717" s="373">
        <f t="shared" ref="Q717:R732" si="279">I717+M717</f>
        <v>2680</v>
      </c>
      <c r="R717" s="373">
        <f t="shared" si="279"/>
        <v>1822624</v>
      </c>
    </row>
    <row r="718" spans="2:18" ht="15" x14ac:dyDescent="0.25">
      <c r="B718" s="171">
        <f t="shared" si="264"/>
        <v>362</v>
      </c>
      <c r="C718" s="143"/>
      <c r="D718" s="152" t="s">
        <v>4</v>
      </c>
      <c r="E718" s="175" t="s">
        <v>427</v>
      </c>
      <c r="F718" s="147" t="s">
        <v>250</v>
      </c>
      <c r="G718" s="236"/>
      <c r="H718" s="425">
        <f>SUM(H719:H721)</f>
        <v>11109</v>
      </c>
      <c r="I718" s="425">
        <f t="shared" ref="I718" si="280">SUM(I719:I721)</f>
        <v>0</v>
      </c>
      <c r="J718" s="425">
        <f t="shared" si="268"/>
        <v>11109</v>
      </c>
      <c r="K718" s="331"/>
      <c r="L718" s="853"/>
      <c r="M718" s="853"/>
      <c r="N718" s="853"/>
      <c r="O718" s="331"/>
      <c r="P718" s="332">
        <f t="shared" si="278"/>
        <v>11109</v>
      </c>
      <c r="Q718" s="332">
        <f t="shared" si="279"/>
        <v>0</v>
      </c>
      <c r="R718" s="332">
        <f t="shared" si="279"/>
        <v>11109</v>
      </c>
    </row>
    <row r="719" spans="2:18" x14ac:dyDescent="0.2">
      <c r="B719" s="171">
        <f t="shared" si="264"/>
        <v>363</v>
      </c>
      <c r="C719" s="143"/>
      <c r="D719" s="144"/>
      <c r="E719" s="144"/>
      <c r="F719" s="144" t="s">
        <v>211</v>
      </c>
      <c r="G719" s="199" t="s">
        <v>505</v>
      </c>
      <c r="H719" s="530">
        <f>6800+340+300</f>
        <v>7440</v>
      </c>
      <c r="I719" s="530"/>
      <c r="J719" s="530">
        <f t="shared" si="268"/>
        <v>7440</v>
      </c>
      <c r="K719" s="336"/>
      <c r="L719" s="402"/>
      <c r="M719" s="402"/>
      <c r="N719" s="402"/>
      <c r="O719" s="336"/>
      <c r="P719" s="166">
        <f t="shared" si="278"/>
        <v>7440</v>
      </c>
      <c r="Q719" s="166">
        <f t="shared" si="279"/>
        <v>0</v>
      </c>
      <c r="R719" s="166">
        <f t="shared" si="279"/>
        <v>7440</v>
      </c>
    </row>
    <row r="720" spans="2:18" x14ac:dyDescent="0.2">
      <c r="B720" s="171">
        <f t="shared" si="264"/>
        <v>364</v>
      </c>
      <c r="C720" s="143"/>
      <c r="D720" s="144"/>
      <c r="E720" s="144"/>
      <c r="F720" s="144" t="s">
        <v>212</v>
      </c>
      <c r="G720" s="199" t="s">
        <v>259</v>
      </c>
      <c r="H720" s="530">
        <f>2380+119+70</f>
        <v>2569</v>
      </c>
      <c r="I720" s="530"/>
      <c r="J720" s="530">
        <f t="shared" si="268"/>
        <v>2569</v>
      </c>
      <c r="K720" s="336"/>
      <c r="L720" s="402"/>
      <c r="M720" s="402"/>
      <c r="N720" s="402"/>
      <c r="O720" s="336"/>
      <c r="P720" s="166">
        <f t="shared" si="278"/>
        <v>2569</v>
      </c>
      <c r="Q720" s="166">
        <f t="shared" si="279"/>
        <v>0</v>
      </c>
      <c r="R720" s="166">
        <f t="shared" si="279"/>
        <v>2569</v>
      </c>
    </row>
    <row r="721" spans="2:18" x14ac:dyDescent="0.2">
      <c r="B721" s="171">
        <f t="shared" si="264"/>
        <v>365</v>
      </c>
      <c r="C721" s="143"/>
      <c r="D721" s="144"/>
      <c r="E721" s="144"/>
      <c r="F721" s="144" t="s">
        <v>218</v>
      </c>
      <c r="G721" s="199" t="s">
        <v>340</v>
      </c>
      <c r="H721" s="530">
        <f>SUM(H722:H724)</f>
        <v>1100</v>
      </c>
      <c r="I721" s="530"/>
      <c r="J721" s="530">
        <f t="shared" si="268"/>
        <v>1100</v>
      </c>
      <c r="K721" s="336"/>
      <c r="L721" s="402"/>
      <c r="M721" s="402"/>
      <c r="N721" s="402"/>
      <c r="O721" s="336"/>
      <c r="P721" s="166">
        <f t="shared" si="278"/>
        <v>1100</v>
      </c>
      <c r="Q721" s="166">
        <f t="shared" si="279"/>
        <v>0</v>
      </c>
      <c r="R721" s="166">
        <f t="shared" si="279"/>
        <v>1100</v>
      </c>
    </row>
    <row r="722" spans="2:18" x14ac:dyDescent="0.2">
      <c r="B722" s="171">
        <f t="shared" si="264"/>
        <v>366</v>
      </c>
      <c r="C722" s="143"/>
      <c r="D722" s="144"/>
      <c r="E722" s="144"/>
      <c r="F722" s="131" t="s">
        <v>199</v>
      </c>
      <c r="G722" s="194" t="s">
        <v>246</v>
      </c>
      <c r="H722" s="399">
        <v>550</v>
      </c>
      <c r="I722" s="399"/>
      <c r="J722" s="399">
        <f t="shared" si="268"/>
        <v>550</v>
      </c>
      <c r="K722" s="336"/>
      <c r="L722" s="402"/>
      <c r="M722" s="402"/>
      <c r="N722" s="402"/>
      <c r="O722" s="336"/>
      <c r="P722" s="167">
        <f t="shared" si="278"/>
        <v>550</v>
      </c>
      <c r="Q722" s="167">
        <f t="shared" si="279"/>
        <v>0</v>
      </c>
      <c r="R722" s="167">
        <f t="shared" si="279"/>
        <v>550</v>
      </c>
    </row>
    <row r="723" spans="2:18" x14ac:dyDescent="0.2">
      <c r="B723" s="171">
        <f t="shared" si="264"/>
        <v>367</v>
      </c>
      <c r="C723" s="143"/>
      <c r="D723" s="144"/>
      <c r="E723" s="144"/>
      <c r="F723" s="131" t="s">
        <v>200</v>
      </c>
      <c r="G723" s="194" t="s">
        <v>247</v>
      </c>
      <c r="H723" s="399">
        <v>400</v>
      </c>
      <c r="I723" s="399"/>
      <c r="J723" s="399">
        <f t="shared" si="268"/>
        <v>400</v>
      </c>
      <c r="K723" s="336"/>
      <c r="L723" s="402"/>
      <c r="M723" s="402"/>
      <c r="N723" s="402"/>
      <c r="O723" s="336"/>
      <c r="P723" s="167">
        <f t="shared" si="278"/>
        <v>400</v>
      </c>
      <c r="Q723" s="167">
        <f t="shared" si="279"/>
        <v>0</v>
      </c>
      <c r="R723" s="167">
        <f t="shared" si="279"/>
        <v>400</v>
      </c>
    </row>
    <row r="724" spans="2:18" x14ac:dyDescent="0.2">
      <c r="B724" s="171">
        <f t="shared" si="264"/>
        <v>368</v>
      </c>
      <c r="C724" s="143"/>
      <c r="D724" s="144"/>
      <c r="E724" s="144"/>
      <c r="F724" s="131" t="s">
        <v>216</v>
      </c>
      <c r="G724" s="194" t="s">
        <v>248</v>
      </c>
      <c r="H724" s="399">
        <v>150</v>
      </c>
      <c r="I724" s="399"/>
      <c r="J724" s="399">
        <f t="shared" si="268"/>
        <v>150</v>
      </c>
      <c r="K724" s="336"/>
      <c r="L724" s="402"/>
      <c r="M724" s="402"/>
      <c r="N724" s="402"/>
      <c r="O724" s="336"/>
      <c r="P724" s="167">
        <f t="shared" si="278"/>
        <v>150</v>
      </c>
      <c r="Q724" s="167">
        <f t="shared" si="279"/>
        <v>0</v>
      </c>
      <c r="R724" s="167">
        <f t="shared" si="279"/>
        <v>150</v>
      </c>
    </row>
    <row r="725" spans="2:18" ht="15" x14ac:dyDescent="0.25">
      <c r="B725" s="171">
        <f t="shared" si="264"/>
        <v>369</v>
      </c>
      <c r="C725" s="130"/>
      <c r="D725" s="262">
        <v>2</v>
      </c>
      <c r="E725" s="175" t="s">
        <v>427</v>
      </c>
      <c r="F725" s="147" t="s">
        <v>383</v>
      </c>
      <c r="G725" s="236"/>
      <c r="H725" s="425">
        <f>H726+H727+H728+H732</f>
        <v>95943</v>
      </c>
      <c r="I725" s="425">
        <f t="shared" ref="I725" si="281">I726+I727+I728+I732</f>
        <v>0</v>
      </c>
      <c r="J725" s="425">
        <f t="shared" si="268"/>
        <v>95943</v>
      </c>
      <c r="K725" s="342"/>
      <c r="L725" s="855"/>
      <c r="M725" s="855"/>
      <c r="N725" s="855"/>
      <c r="O725" s="342"/>
      <c r="P725" s="345">
        <f t="shared" si="278"/>
        <v>95943</v>
      </c>
      <c r="Q725" s="345">
        <f t="shared" si="279"/>
        <v>0</v>
      </c>
      <c r="R725" s="345">
        <f t="shared" si="279"/>
        <v>95943</v>
      </c>
    </row>
    <row r="726" spans="2:18" x14ac:dyDescent="0.2">
      <c r="B726" s="171">
        <f t="shared" si="264"/>
        <v>370</v>
      </c>
      <c r="C726" s="130"/>
      <c r="D726" s="130"/>
      <c r="E726" s="134"/>
      <c r="F726" s="144" t="s">
        <v>211</v>
      </c>
      <c r="G726" s="199" t="s">
        <v>505</v>
      </c>
      <c r="H726" s="530">
        <f>57000+2850+2382</f>
        <v>62232</v>
      </c>
      <c r="I726" s="530"/>
      <c r="J726" s="530">
        <f t="shared" si="268"/>
        <v>62232</v>
      </c>
      <c r="K726" s="339"/>
      <c r="L726" s="399"/>
      <c r="M726" s="399"/>
      <c r="N726" s="399"/>
      <c r="O726" s="339"/>
      <c r="P726" s="531">
        <f t="shared" si="278"/>
        <v>62232</v>
      </c>
      <c r="Q726" s="531">
        <f t="shared" si="279"/>
        <v>0</v>
      </c>
      <c r="R726" s="531">
        <f t="shared" si="279"/>
        <v>62232</v>
      </c>
    </row>
    <row r="727" spans="2:18" x14ac:dyDescent="0.2">
      <c r="B727" s="171">
        <f t="shared" si="264"/>
        <v>371</v>
      </c>
      <c r="C727" s="130"/>
      <c r="D727" s="130"/>
      <c r="E727" s="134"/>
      <c r="F727" s="144" t="s">
        <v>212</v>
      </c>
      <c r="G727" s="199" t="s">
        <v>259</v>
      </c>
      <c r="H727" s="530">
        <f>19930+997+834</f>
        <v>21761</v>
      </c>
      <c r="I727" s="530"/>
      <c r="J727" s="530">
        <f t="shared" si="268"/>
        <v>21761</v>
      </c>
      <c r="K727" s="339"/>
      <c r="L727" s="399"/>
      <c r="M727" s="399"/>
      <c r="N727" s="399"/>
      <c r="O727" s="339"/>
      <c r="P727" s="531">
        <f t="shared" si="278"/>
        <v>21761</v>
      </c>
      <c r="Q727" s="531">
        <f t="shared" si="279"/>
        <v>0</v>
      </c>
      <c r="R727" s="531">
        <f t="shared" si="279"/>
        <v>21761</v>
      </c>
    </row>
    <row r="728" spans="2:18" x14ac:dyDescent="0.2">
      <c r="B728" s="171">
        <f t="shared" si="264"/>
        <v>372</v>
      </c>
      <c r="C728" s="130"/>
      <c r="D728" s="130"/>
      <c r="E728" s="134"/>
      <c r="F728" s="144" t="s">
        <v>218</v>
      </c>
      <c r="G728" s="199" t="s">
        <v>340</v>
      </c>
      <c r="H728" s="530">
        <f>SUM(H729:H731)</f>
        <v>10300</v>
      </c>
      <c r="I728" s="530"/>
      <c r="J728" s="530">
        <f t="shared" si="268"/>
        <v>10300</v>
      </c>
      <c r="K728" s="339"/>
      <c r="L728" s="399"/>
      <c r="M728" s="399"/>
      <c r="N728" s="399"/>
      <c r="O728" s="339"/>
      <c r="P728" s="531">
        <f t="shared" si="278"/>
        <v>10300</v>
      </c>
      <c r="Q728" s="531">
        <f t="shared" si="279"/>
        <v>0</v>
      </c>
      <c r="R728" s="531">
        <f t="shared" si="279"/>
        <v>10300</v>
      </c>
    </row>
    <row r="729" spans="2:18" x14ac:dyDescent="0.2">
      <c r="B729" s="171">
        <f t="shared" si="264"/>
        <v>373</v>
      </c>
      <c r="C729" s="130"/>
      <c r="D729" s="130"/>
      <c r="E729" s="134"/>
      <c r="F729" s="131" t="s">
        <v>199</v>
      </c>
      <c r="G729" s="194" t="s">
        <v>318</v>
      </c>
      <c r="H729" s="399">
        <v>3560</v>
      </c>
      <c r="I729" s="399"/>
      <c r="J729" s="399">
        <f t="shared" si="268"/>
        <v>3560</v>
      </c>
      <c r="K729" s="339"/>
      <c r="L729" s="399"/>
      <c r="M729" s="399"/>
      <c r="N729" s="399"/>
      <c r="O729" s="339"/>
      <c r="P729" s="168">
        <f t="shared" si="278"/>
        <v>3560</v>
      </c>
      <c r="Q729" s="168">
        <f t="shared" si="279"/>
        <v>0</v>
      </c>
      <c r="R729" s="168">
        <f t="shared" si="279"/>
        <v>3560</v>
      </c>
    </row>
    <row r="730" spans="2:18" x14ac:dyDescent="0.2">
      <c r="B730" s="171">
        <f t="shared" si="264"/>
        <v>374</v>
      </c>
      <c r="C730" s="130"/>
      <c r="D730" s="130"/>
      <c r="E730" s="134"/>
      <c r="F730" s="131" t="s">
        <v>200</v>
      </c>
      <c r="G730" s="194" t="s">
        <v>247</v>
      </c>
      <c r="H730" s="399">
        <v>3900</v>
      </c>
      <c r="I730" s="399"/>
      <c r="J730" s="399">
        <f t="shared" si="268"/>
        <v>3900</v>
      </c>
      <c r="K730" s="339"/>
      <c r="L730" s="399"/>
      <c r="M730" s="399"/>
      <c r="N730" s="399"/>
      <c r="O730" s="339"/>
      <c r="P730" s="168">
        <f t="shared" si="278"/>
        <v>3900</v>
      </c>
      <c r="Q730" s="168">
        <f t="shared" si="279"/>
        <v>0</v>
      </c>
      <c r="R730" s="168">
        <f t="shared" si="279"/>
        <v>3900</v>
      </c>
    </row>
    <row r="731" spans="2:18" x14ac:dyDescent="0.2">
      <c r="B731" s="171">
        <f t="shared" si="264"/>
        <v>375</v>
      </c>
      <c r="C731" s="130"/>
      <c r="D731" s="130"/>
      <c r="E731" s="134"/>
      <c r="F731" s="131" t="s">
        <v>216</v>
      </c>
      <c r="G731" s="194" t="s">
        <v>248</v>
      </c>
      <c r="H731" s="399">
        <v>2840</v>
      </c>
      <c r="I731" s="399"/>
      <c r="J731" s="399">
        <f t="shared" si="268"/>
        <v>2840</v>
      </c>
      <c r="K731" s="339"/>
      <c r="L731" s="399"/>
      <c r="M731" s="399"/>
      <c r="N731" s="399"/>
      <c r="O731" s="339"/>
      <c r="P731" s="168">
        <f t="shared" si="278"/>
        <v>2840</v>
      </c>
      <c r="Q731" s="168">
        <f t="shared" si="279"/>
        <v>0</v>
      </c>
      <c r="R731" s="168">
        <f t="shared" si="279"/>
        <v>2840</v>
      </c>
    </row>
    <row r="732" spans="2:18" x14ac:dyDescent="0.2">
      <c r="B732" s="171">
        <f t="shared" si="264"/>
        <v>376</v>
      </c>
      <c r="C732" s="130"/>
      <c r="D732" s="130"/>
      <c r="E732" s="134"/>
      <c r="F732" s="144" t="s">
        <v>217</v>
      </c>
      <c r="G732" s="199" t="s">
        <v>504</v>
      </c>
      <c r="H732" s="530">
        <v>1650</v>
      </c>
      <c r="I732" s="530"/>
      <c r="J732" s="530">
        <f t="shared" si="268"/>
        <v>1650</v>
      </c>
      <c r="K732" s="339"/>
      <c r="L732" s="399"/>
      <c r="M732" s="399"/>
      <c r="N732" s="399"/>
      <c r="O732" s="339"/>
      <c r="P732" s="531">
        <f t="shared" si="278"/>
        <v>1650</v>
      </c>
      <c r="Q732" s="531">
        <f t="shared" si="279"/>
        <v>0</v>
      </c>
      <c r="R732" s="531">
        <f t="shared" si="279"/>
        <v>1650</v>
      </c>
    </row>
    <row r="733" spans="2:18" ht="15" x14ac:dyDescent="0.25">
      <c r="B733" s="171">
        <f t="shared" si="264"/>
        <v>377</v>
      </c>
      <c r="C733" s="130"/>
      <c r="D733" s="262">
        <v>3</v>
      </c>
      <c r="E733" s="175" t="s">
        <v>427</v>
      </c>
      <c r="F733" s="147" t="s">
        <v>385</v>
      </c>
      <c r="G733" s="236"/>
      <c r="H733" s="425">
        <f>H734+H735+H736+H740</f>
        <v>145431</v>
      </c>
      <c r="I733" s="425">
        <f t="shared" ref="I733" si="282">I734+I735+I736+I740</f>
        <v>0</v>
      </c>
      <c r="J733" s="425">
        <f t="shared" si="268"/>
        <v>145431</v>
      </c>
      <c r="K733" s="342"/>
      <c r="L733" s="855"/>
      <c r="M733" s="855"/>
      <c r="N733" s="855"/>
      <c r="O733" s="342"/>
      <c r="P733" s="345">
        <f t="shared" si="278"/>
        <v>145431</v>
      </c>
      <c r="Q733" s="345">
        <f t="shared" ref="Q733:R748" si="283">I733+M733</f>
        <v>0</v>
      </c>
      <c r="R733" s="345">
        <f t="shared" si="283"/>
        <v>145431</v>
      </c>
    </row>
    <row r="734" spans="2:18" x14ac:dyDescent="0.2">
      <c r="B734" s="171">
        <f t="shared" si="264"/>
        <v>378</v>
      </c>
      <c r="C734" s="130"/>
      <c r="D734" s="130"/>
      <c r="E734" s="134"/>
      <c r="F734" s="144" t="s">
        <v>211</v>
      </c>
      <c r="G734" s="199" t="s">
        <v>505</v>
      </c>
      <c r="H734" s="530">
        <f>94600+4730</f>
        <v>99330</v>
      </c>
      <c r="I734" s="530"/>
      <c r="J734" s="530">
        <f t="shared" si="268"/>
        <v>99330</v>
      </c>
      <c r="K734" s="339"/>
      <c r="L734" s="399"/>
      <c r="M734" s="399"/>
      <c r="N734" s="399"/>
      <c r="O734" s="339"/>
      <c r="P734" s="531">
        <f t="shared" si="278"/>
        <v>99330</v>
      </c>
      <c r="Q734" s="531">
        <f t="shared" si="283"/>
        <v>0</v>
      </c>
      <c r="R734" s="531">
        <f t="shared" si="283"/>
        <v>99330</v>
      </c>
    </row>
    <row r="735" spans="2:18" x14ac:dyDescent="0.2">
      <c r="B735" s="171">
        <f t="shared" si="264"/>
        <v>379</v>
      </c>
      <c r="C735" s="130"/>
      <c r="D735" s="130"/>
      <c r="E735" s="134"/>
      <c r="F735" s="144" t="s">
        <v>212</v>
      </c>
      <c r="G735" s="199" t="s">
        <v>259</v>
      </c>
      <c r="H735" s="530">
        <f>33310+1666</f>
        <v>34976</v>
      </c>
      <c r="I735" s="530"/>
      <c r="J735" s="530">
        <f t="shared" si="268"/>
        <v>34976</v>
      </c>
      <c r="K735" s="339"/>
      <c r="L735" s="399"/>
      <c r="M735" s="399"/>
      <c r="N735" s="399"/>
      <c r="O735" s="339"/>
      <c r="P735" s="531">
        <f t="shared" si="278"/>
        <v>34976</v>
      </c>
      <c r="Q735" s="531">
        <f t="shared" si="283"/>
        <v>0</v>
      </c>
      <c r="R735" s="531">
        <f t="shared" si="283"/>
        <v>34976</v>
      </c>
    </row>
    <row r="736" spans="2:18" x14ac:dyDescent="0.2">
      <c r="B736" s="171">
        <f t="shared" si="264"/>
        <v>380</v>
      </c>
      <c r="C736" s="130"/>
      <c r="D736" s="130"/>
      <c r="E736" s="134"/>
      <c r="F736" s="144" t="s">
        <v>218</v>
      </c>
      <c r="G736" s="199" t="s">
        <v>340</v>
      </c>
      <c r="H736" s="530">
        <f>SUM(H737:H739)</f>
        <v>10325</v>
      </c>
      <c r="I736" s="530"/>
      <c r="J736" s="530">
        <f t="shared" si="268"/>
        <v>10325</v>
      </c>
      <c r="K736" s="339"/>
      <c r="L736" s="399"/>
      <c r="M736" s="399"/>
      <c r="N736" s="399"/>
      <c r="O736" s="339"/>
      <c r="P736" s="531">
        <f t="shared" si="278"/>
        <v>10325</v>
      </c>
      <c r="Q736" s="531">
        <f t="shared" si="283"/>
        <v>0</v>
      </c>
      <c r="R736" s="531">
        <f t="shared" si="283"/>
        <v>10325</v>
      </c>
    </row>
    <row r="737" spans="2:18" x14ac:dyDescent="0.2">
      <c r="B737" s="171">
        <f t="shared" si="264"/>
        <v>381</v>
      </c>
      <c r="C737" s="130"/>
      <c r="D737" s="130"/>
      <c r="E737" s="134"/>
      <c r="F737" s="131" t="s">
        <v>199</v>
      </c>
      <c r="G737" s="194" t="s">
        <v>318</v>
      </c>
      <c r="H737" s="399">
        <v>6500</v>
      </c>
      <c r="I737" s="399"/>
      <c r="J737" s="399">
        <f t="shared" si="268"/>
        <v>6500</v>
      </c>
      <c r="K737" s="339"/>
      <c r="L737" s="399"/>
      <c r="M737" s="399"/>
      <c r="N737" s="399"/>
      <c r="O737" s="339"/>
      <c r="P737" s="168">
        <f t="shared" si="278"/>
        <v>6500</v>
      </c>
      <c r="Q737" s="168">
        <f t="shared" si="283"/>
        <v>0</v>
      </c>
      <c r="R737" s="168">
        <f t="shared" si="283"/>
        <v>6500</v>
      </c>
    </row>
    <row r="738" spans="2:18" x14ac:dyDescent="0.2">
      <c r="B738" s="171">
        <f t="shared" si="264"/>
        <v>382</v>
      </c>
      <c r="C738" s="130"/>
      <c r="D738" s="130"/>
      <c r="E738" s="134"/>
      <c r="F738" s="131" t="s">
        <v>200</v>
      </c>
      <c r="G738" s="194" t="s">
        <v>247</v>
      </c>
      <c r="H738" s="399">
        <v>400</v>
      </c>
      <c r="I738" s="399"/>
      <c r="J738" s="399">
        <f t="shared" si="268"/>
        <v>400</v>
      </c>
      <c r="K738" s="339"/>
      <c r="L738" s="399"/>
      <c r="M738" s="399"/>
      <c r="N738" s="399"/>
      <c r="O738" s="339"/>
      <c r="P738" s="168">
        <f t="shared" si="278"/>
        <v>400</v>
      </c>
      <c r="Q738" s="168">
        <f t="shared" si="283"/>
        <v>0</v>
      </c>
      <c r="R738" s="168">
        <f t="shared" si="283"/>
        <v>400</v>
      </c>
    </row>
    <row r="739" spans="2:18" x14ac:dyDescent="0.2">
      <c r="B739" s="171">
        <f t="shared" si="264"/>
        <v>383</v>
      </c>
      <c r="C739" s="130"/>
      <c r="D739" s="130"/>
      <c r="E739" s="134"/>
      <c r="F739" s="131" t="s">
        <v>216</v>
      </c>
      <c r="G739" s="194" t="s">
        <v>248</v>
      </c>
      <c r="H739" s="399">
        <v>3425</v>
      </c>
      <c r="I739" s="399"/>
      <c r="J739" s="399">
        <f t="shared" si="268"/>
        <v>3425</v>
      </c>
      <c r="K739" s="339"/>
      <c r="L739" s="399"/>
      <c r="M739" s="399"/>
      <c r="N739" s="399"/>
      <c r="O739" s="339"/>
      <c r="P739" s="168">
        <f t="shared" si="278"/>
        <v>3425</v>
      </c>
      <c r="Q739" s="168">
        <f t="shared" si="283"/>
        <v>0</v>
      </c>
      <c r="R739" s="168">
        <f t="shared" si="283"/>
        <v>3425</v>
      </c>
    </row>
    <row r="740" spans="2:18" x14ac:dyDescent="0.2">
      <c r="B740" s="171">
        <f t="shared" si="264"/>
        <v>384</v>
      </c>
      <c r="C740" s="130"/>
      <c r="D740" s="130"/>
      <c r="E740" s="134"/>
      <c r="F740" s="144" t="s">
        <v>217</v>
      </c>
      <c r="G740" s="199" t="s">
        <v>504</v>
      </c>
      <c r="H740" s="530">
        <v>800</v>
      </c>
      <c r="I740" s="530"/>
      <c r="J740" s="530">
        <f t="shared" si="268"/>
        <v>800</v>
      </c>
      <c r="K740" s="339"/>
      <c r="L740" s="399"/>
      <c r="M740" s="399"/>
      <c r="N740" s="399"/>
      <c r="O740" s="339"/>
      <c r="P740" s="531">
        <f t="shared" si="278"/>
        <v>800</v>
      </c>
      <c r="Q740" s="531">
        <f t="shared" si="283"/>
        <v>0</v>
      </c>
      <c r="R740" s="531">
        <f t="shared" si="283"/>
        <v>800</v>
      </c>
    </row>
    <row r="741" spans="2:18" ht="15" x14ac:dyDescent="0.25">
      <c r="B741" s="171">
        <f t="shared" si="264"/>
        <v>385</v>
      </c>
      <c r="C741" s="130"/>
      <c r="D741" s="262">
        <v>4</v>
      </c>
      <c r="E741" s="175" t="s">
        <v>427</v>
      </c>
      <c r="F741" s="265" t="s">
        <v>386</v>
      </c>
      <c r="G741" s="266"/>
      <c r="H741" s="427">
        <f>H742+H743+H748+H744</f>
        <v>94831</v>
      </c>
      <c r="I741" s="427">
        <f>I742+I743+I748+I744</f>
        <v>1000</v>
      </c>
      <c r="J741" s="427">
        <f t="shared" si="268"/>
        <v>95831</v>
      </c>
      <c r="K741" s="342"/>
      <c r="L741" s="865"/>
      <c r="M741" s="865"/>
      <c r="N741" s="865"/>
      <c r="O741" s="342"/>
      <c r="P741" s="346">
        <f t="shared" si="278"/>
        <v>94831</v>
      </c>
      <c r="Q741" s="346">
        <f t="shared" si="283"/>
        <v>1000</v>
      </c>
      <c r="R741" s="346">
        <f t="shared" si="283"/>
        <v>95831</v>
      </c>
    </row>
    <row r="742" spans="2:18" x14ac:dyDescent="0.2">
      <c r="B742" s="171">
        <f t="shared" si="264"/>
        <v>386</v>
      </c>
      <c r="C742" s="130"/>
      <c r="D742" s="130"/>
      <c r="E742" s="134"/>
      <c r="F742" s="144" t="s">
        <v>211</v>
      </c>
      <c r="G742" s="199" t="s">
        <v>505</v>
      </c>
      <c r="H742" s="530">
        <f>61330+3067</f>
        <v>64397</v>
      </c>
      <c r="I742" s="530">
        <v>2936</v>
      </c>
      <c r="J742" s="530">
        <f t="shared" si="268"/>
        <v>67333</v>
      </c>
      <c r="K742" s="339"/>
      <c r="L742" s="399"/>
      <c r="M742" s="399"/>
      <c r="N742" s="399"/>
      <c r="O742" s="339"/>
      <c r="P742" s="531">
        <f t="shared" si="278"/>
        <v>64397</v>
      </c>
      <c r="Q742" s="531">
        <f t="shared" si="283"/>
        <v>2936</v>
      </c>
      <c r="R742" s="531">
        <f t="shared" si="283"/>
        <v>67333</v>
      </c>
    </row>
    <row r="743" spans="2:18" x14ac:dyDescent="0.2">
      <c r="B743" s="171">
        <f t="shared" si="264"/>
        <v>387</v>
      </c>
      <c r="C743" s="130"/>
      <c r="D743" s="130"/>
      <c r="E743" s="134"/>
      <c r="F743" s="144" t="s">
        <v>212</v>
      </c>
      <c r="G743" s="199" t="s">
        <v>259</v>
      </c>
      <c r="H743" s="530">
        <f>21585+1079</f>
        <v>22664</v>
      </c>
      <c r="I743" s="530">
        <v>1034</v>
      </c>
      <c r="J743" s="530">
        <f t="shared" si="268"/>
        <v>23698</v>
      </c>
      <c r="K743" s="339"/>
      <c r="L743" s="399"/>
      <c r="M743" s="399"/>
      <c r="N743" s="399"/>
      <c r="O743" s="339"/>
      <c r="P743" s="531">
        <f t="shared" si="278"/>
        <v>22664</v>
      </c>
      <c r="Q743" s="531">
        <f t="shared" si="283"/>
        <v>1034</v>
      </c>
      <c r="R743" s="531">
        <f t="shared" si="283"/>
        <v>23698</v>
      </c>
    </row>
    <row r="744" spans="2:18" x14ac:dyDescent="0.2">
      <c r="B744" s="171">
        <f t="shared" si="264"/>
        <v>388</v>
      </c>
      <c r="C744" s="130"/>
      <c r="D744" s="130"/>
      <c r="E744" s="134"/>
      <c r="F744" s="144" t="s">
        <v>218</v>
      </c>
      <c r="G744" s="199" t="s">
        <v>340</v>
      </c>
      <c r="H744" s="530">
        <f>SUM(H745:H747)</f>
        <v>5500</v>
      </c>
      <c r="I744" s="530">
        <f>SUM(I745:I747)</f>
        <v>-1700</v>
      </c>
      <c r="J744" s="530">
        <f t="shared" si="268"/>
        <v>3800</v>
      </c>
      <c r="K744" s="339"/>
      <c r="L744" s="399"/>
      <c r="M744" s="399"/>
      <c r="N744" s="399"/>
      <c r="O744" s="339"/>
      <c r="P744" s="531">
        <f t="shared" si="278"/>
        <v>5500</v>
      </c>
      <c r="Q744" s="531">
        <f t="shared" si="283"/>
        <v>-1700</v>
      </c>
      <c r="R744" s="531">
        <f t="shared" si="283"/>
        <v>3800</v>
      </c>
    </row>
    <row r="745" spans="2:18" x14ac:dyDescent="0.2">
      <c r="B745" s="171">
        <f t="shared" si="264"/>
        <v>389</v>
      </c>
      <c r="C745" s="130"/>
      <c r="D745" s="130"/>
      <c r="E745" s="134"/>
      <c r="F745" s="131" t="s">
        <v>199</v>
      </c>
      <c r="G745" s="194" t="s">
        <v>318</v>
      </c>
      <c r="H745" s="399">
        <v>1000</v>
      </c>
      <c r="I745" s="399"/>
      <c r="J745" s="399">
        <f t="shared" si="268"/>
        <v>1000</v>
      </c>
      <c r="K745" s="339"/>
      <c r="L745" s="399"/>
      <c r="M745" s="399"/>
      <c r="N745" s="399"/>
      <c r="O745" s="339"/>
      <c r="P745" s="168">
        <f t="shared" si="278"/>
        <v>1000</v>
      </c>
      <c r="Q745" s="168">
        <f t="shared" si="283"/>
        <v>0</v>
      </c>
      <c r="R745" s="168">
        <f t="shared" si="283"/>
        <v>1000</v>
      </c>
    </row>
    <row r="746" spans="2:18" x14ac:dyDescent="0.2">
      <c r="B746" s="171">
        <f t="shared" ref="B746:B809" si="284">B745+1</f>
        <v>390</v>
      </c>
      <c r="C746" s="130"/>
      <c r="D746" s="130"/>
      <c r="E746" s="134"/>
      <c r="F746" s="131" t="s">
        <v>200</v>
      </c>
      <c r="G746" s="194" t="s">
        <v>247</v>
      </c>
      <c r="H746" s="399">
        <v>2000</v>
      </c>
      <c r="I746" s="399">
        <v>-1000</v>
      </c>
      <c r="J746" s="399">
        <f t="shared" si="268"/>
        <v>1000</v>
      </c>
      <c r="K746" s="339"/>
      <c r="L746" s="399"/>
      <c r="M746" s="399"/>
      <c r="N746" s="399"/>
      <c r="O746" s="339"/>
      <c r="P746" s="168">
        <f t="shared" si="278"/>
        <v>2000</v>
      </c>
      <c r="Q746" s="168">
        <f t="shared" si="283"/>
        <v>-1000</v>
      </c>
      <c r="R746" s="168">
        <f t="shared" si="283"/>
        <v>1000</v>
      </c>
    </row>
    <row r="747" spans="2:18" x14ac:dyDescent="0.2">
      <c r="B747" s="171">
        <f t="shared" si="284"/>
        <v>391</v>
      </c>
      <c r="C747" s="130"/>
      <c r="D747" s="130"/>
      <c r="E747" s="134"/>
      <c r="F747" s="131" t="s">
        <v>216</v>
      </c>
      <c r="G747" s="194" t="s">
        <v>248</v>
      </c>
      <c r="H747" s="399">
        <v>2500</v>
      </c>
      <c r="I747" s="399">
        <v>-700</v>
      </c>
      <c r="J747" s="399">
        <f t="shared" si="268"/>
        <v>1800</v>
      </c>
      <c r="K747" s="339"/>
      <c r="L747" s="399"/>
      <c r="M747" s="399"/>
      <c r="N747" s="399"/>
      <c r="O747" s="339"/>
      <c r="P747" s="168">
        <f t="shared" si="278"/>
        <v>2500</v>
      </c>
      <c r="Q747" s="168">
        <f t="shared" si="283"/>
        <v>-700</v>
      </c>
      <c r="R747" s="168">
        <f t="shared" si="283"/>
        <v>1800</v>
      </c>
    </row>
    <row r="748" spans="2:18" x14ac:dyDescent="0.2">
      <c r="B748" s="171">
        <f t="shared" si="284"/>
        <v>392</v>
      </c>
      <c r="C748" s="130"/>
      <c r="D748" s="130"/>
      <c r="E748" s="134"/>
      <c r="F748" s="144" t="s">
        <v>217</v>
      </c>
      <c r="G748" s="199" t="s">
        <v>504</v>
      </c>
      <c r="H748" s="530">
        <v>2270</v>
      </c>
      <c r="I748" s="530">
        <v>-1270</v>
      </c>
      <c r="J748" s="530">
        <f t="shared" si="268"/>
        <v>1000</v>
      </c>
      <c r="K748" s="339"/>
      <c r="L748" s="399"/>
      <c r="M748" s="399"/>
      <c r="N748" s="399"/>
      <c r="O748" s="339"/>
      <c r="P748" s="531">
        <f t="shared" si="278"/>
        <v>2270</v>
      </c>
      <c r="Q748" s="531">
        <f t="shared" si="283"/>
        <v>-1270</v>
      </c>
      <c r="R748" s="531">
        <f t="shared" si="283"/>
        <v>1000</v>
      </c>
    </row>
    <row r="749" spans="2:18" ht="15" x14ac:dyDescent="0.25">
      <c r="B749" s="171">
        <f t="shared" si="284"/>
        <v>393</v>
      </c>
      <c r="C749" s="130"/>
      <c r="D749" s="262">
        <v>5</v>
      </c>
      <c r="E749" s="175" t="s">
        <v>427</v>
      </c>
      <c r="F749" s="147" t="s">
        <v>387</v>
      </c>
      <c r="G749" s="236"/>
      <c r="H749" s="425">
        <f>H750+H751+H752+H756</f>
        <v>64376</v>
      </c>
      <c r="I749" s="425">
        <f t="shared" ref="I749" si="285">I750+I751+I752+I756</f>
        <v>0</v>
      </c>
      <c r="J749" s="425">
        <f t="shared" si="268"/>
        <v>64376</v>
      </c>
      <c r="K749" s="342"/>
      <c r="L749" s="855"/>
      <c r="M749" s="855"/>
      <c r="N749" s="855"/>
      <c r="O749" s="342"/>
      <c r="P749" s="345">
        <f t="shared" ref="P749:P780" si="286">H749+L749</f>
        <v>64376</v>
      </c>
      <c r="Q749" s="345">
        <f t="shared" ref="Q749:R764" si="287">I749+M749</f>
        <v>0</v>
      </c>
      <c r="R749" s="345">
        <f t="shared" si="287"/>
        <v>64376</v>
      </c>
    </row>
    <row r="750" spans="2:18" x14ac:dyDescent="0.2">
      <c r="B750" s="171">
        <f t="shared" si="284"/>
        <v>394</v>
      </c>
      <c r="C750" s="130"/>
      <c r="D750" s="130"/>
      <c r="E750" s="134"/>
      <c r="F750" s="144" t="s">
        <v>211</v>
      </c>
      <c r="G750" s="199" t="s">
        <v>505</v>
      </c>
      <c r="H750" s="530">
        <f>40530+2027+2382</f>
        <v>44939</v>
      </c>
      <c r="I750" s="530"/>
      <c r="J750" s="530">
        <f t="shared" si="268"/>
        <v>44939</v>
      </c>
      <c r="K750" s="339"/>
      <c r="L750" s="399"/>
      <c r="M750" s="399"/>
      <c r="N750" s="399"/>
      <c r="O750" s="339"/>
      <c r="P750" s="531">
        <f t="shared" si="286"/>
        <v>44939</v>
      </c>
      <c r="Q750" s="531">
        <f t="shared" si="287"/>
        <v>0</v>
      </c>
      <c r="R750" s="531">
        <f t="shared" si="287"/>
        <v>44939</v>
      </c>
    </row>
    <row r="751" spans="2:18" x14ac:dyDescent="0.2">
      <c r="B751" s="171">
        <f t="shared" si="284"/>
        <v>395</v>
      </c>
      <c r="C751" s="130"/>
      <c r="D751" s="130"/>
      <c r="E751" s="134"/>
      <c r="F751" s="144" t="s">
        <v>212</v>
      </c>
      <c r="G751" s="199" t="s">
        <v>259</v>
      </c>
      <c r="H751" s="530">
        <f>12955+648+834</f>
        <v>14437</v>
      </c>
      <c r="I751" s="530"/>
      <c r="J751" s="530">
        <f t="shared" si="268"/>
        <v>14437</v>
      </c>
      <c r="K751" s="339"/>
      <c r="L751" s="399"/>
      <c r="M751" s="399"/>
      <c r="N751" s="399"/>
      <c r="O751" s="339"/>
      <c r="P751" s="531">
        <f t="shared" si="286"/>
        <v>14437</v>
      </c>
      <c r="Q751" s="531">
        <f t="shared" si="287"/>
        <v>0</v>
      </c>
      <c r="R751" s="531">
        <f t="shared" si="287"/>
        <v>14437</v>
      </c>
    </row>
    <row r="752" spans="2:18" x14ac:dyDescent="0.2">
      <c r="B752" s="171">
        <f t="shared" si="284"/>
        <v>396</v>
      </c>
      <c r="C752" s="130"/>
      <c r="D752" s="130"/>
      <c r="E752" s="134"/>
      <c r="F752" s="144" t="s">
        <v>218</v>
      </c>
      <c r="G752" s="199" t="s">
        <v>340</v>
      </c>
      <c r="H752" s="530">
        <f>SUM(H753:H755)</f>
        <v>2000</v>
      </c>
      <c r="I752" s="530"/>
      <c r="J752" s="530">
        <f t="shared" si="268"/>
        <v>2000</v>
      </c>
      <c r="K752" s="339"/>
      <c r="L752" s="399"/>
      <c r="M752" s="399"/>
      <c r="N752" s="399"/>
      <c r="O752" s="339"/>
      <c r="P752" s="531">
        <f t="shared" si="286"/>
        <v>2000</v>
      </c>
      <c r="Q752" s="531">
        <f t="shared" si="287"/>
        <v>0</v>
      </c>
      <c r="R752" s="531">
        <f t="shared" si="287"/>
        <v>2000</v>
      </c>
    </row>
    <row r="753" spans="2:18" x14ac:dyDescent="0.2">
      <c r="B753" s="171">
        <f t="shared" si="284"/>
        <v>397</v>
      </c>
      <c r="C753" s="130"/>
      <c r="D753" s="130"/>
      <c r="E753" s="134"/>
      <c r="F753" s="131" t="s">
        <v>199</v>
      </c>
      <c r="G753" s="194" t="s">
        <v>318</v>
      </c>
      <c r="H753" s="399">
        <v>300</v>
      </c>
      <c r="I753" s="399"/>
      <c r="J753" s="399">
        <f t="shared" si="268"/>
        <v>300</v>
      </c>
      <c r="K753" s="339"/>
      <c r="L753" s="399"/>
      <c r="M753" s="399"/>
      <c r="N753" s="399"/>
      <c r="O753" s="339"/>
      <c r="P753" s="168">
        <f t="shared" si="286"/>
        <v>300</v>
      </c>
      <c r="Q753" s="168">
        <f t="shared" si="287"/>
        <v>0</v>
      </c>
      <c r="R753" s="168">
        <f t="shared" si="287"/>
        <v>300</v>
      </c>
    </row>
    <row r="754" spans="2:18" x14ac:dyDescent="0.2">
      <c r="B754" s="171">
        <f t="shared" si="284"/>
        <v>398</v>
      </c>
      <c r="C754" s="130"/>
      <c r="D754" s="130"/>
      <c r="E754" s="134"/>
      <c r="F754" s="131" t="s">
        <v>200</v>
      </c>
      <c r="G754" s="194" t="s">
        <v>247</v>
      </c>
      <c r="H754" s="399">
        <v>1200</v>
      </c>
      <c r="I754" s="399"/>
      <c r="J754" s="399">
        <f t="shared" si="268"/>
        <v>1200</v>
      </c>
      <c r="K754" s="339"/>
      <c r="L754" s="399"/>
      <c r="M754" s="399"/>
      <c r="N754" s="399"/>
      <c r="O754" s="339"/>
      <c r="P754" s="168">
        <f t="shared" si="286"/>
        <v>1200</v>
      </c>
      <c r="Q754" s="168">
        <f t="shared" si="287"/>
        <v>0</v>
      </c>
      <c r="R754" s="168">
        <f t="shared" si="287"/>
        <v>1200</v>
      </c>
    </row>
    <row r="755" spans="2:18" x14ac:dyDescent="0.2">
      <c r="B755" s="171">
        <f t="shared" si="284"/>
        <v>399</v>
      </c>
      <c r="C755" s="130"/>
      <c r="D755" s="130"/>
      <c r="E755" s="134"/>
      <c r="F755" s="131" t="s">
        <v>216</v>
      </c>
      <c r="G755" s="194" t="s">
        <v>248</v>
      </c>
      <c r="H755" s="399">
        <v>500</v>
      </c>
      <c r="I755" s="399"/>
      <c r="J755" s="399">
        <f t="shared" si="268"/>
        <v>500</v>
      </c>
      <c r="K755" s="339"/>
      <c r="L755" s="399"/>
      <c r="M755" s="399"/>
      <c r="N755" s="399"/>
      <c r="O755" s="339"/>
      <c r="P755" s="168">
        <f t="shared" si="286"/>
        <v>500</v>
      </c>
      <c r="Q755" s="168">
        <f t="shared" si="287"/>
        <v>0</v>
      </c>
      <c r="R755" s="168">
        <f t="shared" si="287"/>
        <v>500</v>
      </c>
    </row>
    <row r="756" spans="2:18" x14ac:dyDescent="0.2">
      <c r="B756" s="171">
        <f t="shared" si="284"/>
        <v>400</v>
      </c>
      <c r="C756" s="130"/>
      <c r="D756" s="130"/>
      <c r="E756" s="134"/>
      <c r="F756" s="144" t="s">
        <v>217</v>
      </c>
      <c r="G756" s="199" t="s">
        <v>504</v>
      </c>
      <c r="H756" s="530">
        <v>3000</v>
      </c>
      <c r="I756" s="530"/>
      <c r="J756" s="530">
        <f t="shared" si="268"/>
        <v>3000</v>
      </c>
      <c r="K756" s="339"/>
      <c r="L756" s="399"/>
      <c r="M756" s="399"/>
      <c r="N756" s="399"/>
      <c r="O756" s="339"/>
      <c r="P756" s="531">
        <f t="shared" si="286"/>
        <v>3000</v>
      </c>
      <c r="Q756" s="531">
        <f t="shared" si="287"/>
        <v>0</v>
      </c>
      <c r="R756" s="531">
        <f t="shared" si="287"/>
        <v>3000</v>
      </c>
    </row>
    <row r="757" spans="2:18" ht="15" x14ac:dyDescent="0.25">
      <c r="B757" s="171">
        <f t="shared" si="284"/>
        <v>401</v>
      </c>
      <c r="C757" s="130"/>
      <c r="D757" s="262">
        <v>6</v>
      </c>
      <c r="E757" s="175" t="s">
        <v>427</v>
      </c>
      <c r="F757" s="147" t="s">
        <v>388</v>
      </c>
      <c r="G757" s="236"/>
      <c r="H757" s="425">
        <f>H758+H759+H760</f>
        <v>46296</v>
      </c>
      <c r="I757" s="425">
        <f t="shared" ref="I757" si="288">I758+I759+I760</f>
        <v>0</v>
      </c>
      <c r="J757" s="425">
        <f t="shared" ref="J757:J820" si="289">H757+I757</f>
        <v>46296</v>
      </c>
      <c r="K757" s="342"/>
      <c r="L757" s="855"/>
      <c r="M757" s="855"/>
      <c r="N757" s="855"/>
      <c r="O757" s="342"/>
      <c r="P757" s="345">
        <f t="shared" si="286"/>
        <v>46296</v>
      </c>
      <c r="Q757" s="345">
        <f t="shared" si="287"/>
        <v>0</v>
      </c>
      <c r="R757" s="345">
        <f t="shared" si="287"/>
        <v>46296</v>
      </c>
    </row>
    <row r="758" spans="2:18" x14ac:dyDescent="0.2">
      <c r="B758" s="171">
        <f t="shared" si="284"/>
        <v>402</v>
      </c>
      <c r="C758" s="130"/>
      <c r="D758" s="130"/>
      <c r="E758" s="134"/>
      <c r="F758" s="144" t="s">
        <v>211</v>
      </c>
      <c r="G758" s="199" t="s">
        <v>505</v>
      </c>
      <c r="H758" s="530">
        <f>30845+1542</f>
        <v>32387</v>
      </c>
      <c r="I758" s="530"/>
      <c r="J758" s="530">
        <f t="shared" si="289"/>
        <v>32387</v>
      </c>
      <c r="K758" s="339"/>
      <c r="L758" s="399"/>
      <c r="M758" s="399"/>
      <c r="N758" s="399"/>
      <c r="O758" s="339"/>
      <c r="P758" s="531">
        <f t="shared" si="286"/>
        <v>32387</v>
      </c>
      <c r="Q758" s="531">
        <f t="shared" si="287"/>
        <v>0</v>
      </c>
      <c r="R758" s="531">
        <f t="shared" si="287"/>
        <v>32387</v>
      </c>
    </row>
    <row r="759" spans="2:18" x14ac:dyDescent="0.2">
      <c r="B759" s="171">
        <f t="shared" si="284"/>
        <v>403</v>
      </c>
      <c r="C759" s="130"/>
      <c r="D759" s="130"/>
      <c r="E759" s="134"/>
      <c r="F759" s="144" t="s">
        <v>212</v>
      </c>
      <c r="G759" s="199" t="s">
        <v>259</v>
      </c>
      <c r="H759" s="530">
        <f>10780+539</f>
        <v>11319</v>
      </c>
      <c r="I759" s="530"/>
      <c r="J759" s="530">
        <f t="shared" si="289"/>
        <v>11319</v>
      </c>
      <c r="K759" s="339"/>
      <c r="L759" s="399"/>
      <c r="M759" s="399"/>
      <c r="N759" s="399"/>
      <c r="O759" s="339"/>
      <c r="P759" s="531">
        <f t="shared" si="286"/>
        <v>11319</v>
      </c>
      <c r="Q759" s="531">
        <f t="shared" si="287"/>
        <v>0</v>
      </c>
      <c r="R759" s="531">
        <f t="shared" si="287"/>
        <v>11319</v>
      </c>
    </row>
    <row r="760" spans="2:18" x14ac:dyDescent="0.2">
      <c r="B760" s="171">
        <f t="shared" si="284"/>
        <v>404</v>
      </c>
      <c r="C760" s="130"/>
      <c r="D760" s="130"/>
      <c r="E760" s="134"/>
      <c r="F760" s="144" t="s">
        <v>218</v>
      </c>
      <c r="G760" s="199" t="s">
        <v>340</v>
      </c>
      <c r="H760" s="530">
        <f>SUM(H761:H763)</f>
        <v>2590</v>
      </c>
      <c r="I760" s="530"/>
      <c r="J760" s="530">
        <f t="shared" si="289"/>
        <v>2590</v>
      </c>
      <c r="K760" s="339"/>
      <c r="L760" s="399"/>
      <c r="M760" s="399"/>
      <c r="N760" s="399"/>
      <c r="O760" s="339"/>
      <c r="P760" s="531">
        <f t="shared" si="286"/>
        <v>2590</v>
      </c>
      <c r="Q760" s="531">
        <f t="shared" si="287"/>
        <v>0</v>
      </c>
      <c r="R760" s="531">
        <f t="shared" si="287"/>
        <v>2590</v>
      </c>
    </row>
    <row r="761" spans="2:18" x14ac:dyDescent="0.2">
      <c r="B761" s="171">
        <f t="shared" si="284"/>
        <v>405</v>
      </c>
      <c r="C761" s="130"/>
      <c r="D761" s="130"/>
      <c r="E761" s="134"/>
      <c r="F761" s="131" t="s">
        <v>199</v>
      </c>
      <c r="G761" s="194" t="s">
        <v>318</v>
      </c>
      <c r="H761" s="399">
        <f>1700-500</f>
        <v>1200</v>
      </c>
      <c r="I761" s="399"/>
      <c r="J761" s="399">
        <f t="shared" si="289"/>
        <v>1200</v>
      </c>
      <c r="K761" s="339"/>
      <c r="L761" s="399"/>
      <c r="M761" s="399"/>
      <c r="N761" s="399"/>
      <c r="O761" s="339"/>
      <c r="P761" s="168">
        <f t="shared" si="286"/>
        <v>1200</v>
      </c>
      <c r="Q761" s="168">
        <f t="shared" si="287"/>
        <v>0</v>
      </c>
      <c r="R761" s="168">
        <f t="shared" si="287"/>
        <v>1200</v>
      </c>
    </row>
    <row r="762" spans="2:18" x14ac:dyDescent="0.2">
      <c r="B762" s="171">
        <f t="shared" si="284"/>
        <v>406</v>
      </c>
      <c r="C762" s="130"/>
      <c r="D762" s="130"/>
      <c r="E762" s="134"/>
      <c r="F762" s="131" t="s">
        <v>200</v>
      </c>
      <c r="G762" s="194" t="s">
        <v>247</v>
      </c>
      <c r="H762" s="399">
        <f>100+500</f>
        <v>600</v>
      </c>
      <c r="I762" s="399"/>
      <c r="J762" s="399">
        <f t="shared" si="289"/>
        <v>600</v>
      </c>
      <c r="K762" s="339"/>
      <c r="L762" s="399"/>
      <c r="M762" s="399"/>
      <c r="N762" s="399"/>
      <c r="O762" s="339"/>
      <c r="P762" s="168">
        <f t="shared" si="286"/>
        <v>600</v>
      </c>
      <c r="Q762" s="168">
        <f t="shared" si="287"/>
        <v>0</v>
      </c>
      <c r="R762" s="168">
        <f t="shared" si="287"/>
        <v>600</v>
      </c>
    </row>
    <row r="763" spans="2:18" x14ac:dyDescent="0.2">
      <c r="B763" s="171">
        <f t="shared" si="284"/>
        <v>407</v>
      </c>
      <c r="C763" s="130"/>
      <c r="D763" s="130"/>
      <c r="E763" s="134"/>
      <c r="F763" s="131" t="s">
        <v>216</v>
      </c>
      <c r="G763" s="194" t="s">
        <v>248</v>
      </c>
      <c r="H763" s="399">
        <v>790</v>
      </c>
      <c r="I763" s="399"/>
      <c r="J763" s="399">
        <f t="shared" si="289"/>
        <v>790</v>
      </c>
      <c r="K763" s="339"/>
      <c r="L763" s="399"/>
      <c r="M763" s="399"/>
      <c r="N763" s="399"/>
      <c r="O763" s="339"/>
      <c r="P763" s="168">
        <f t="shared" si="286"/>
        <v>790</v>
      </c>
      <c r="Q763" s="168">
        <f t="shared" si="287"/>
        <v>0</v>
      </c>
      <c r="R763" s="168">
        <f t="shared" si="287"/>
        <v>790</v>
      </c>
    </row>
    <row r="764" spans="2:18" ht="15" x14ac:dyDescent="0.25">
      <c r="B764" s="171">
        <f t="shared" si="284"/>
        <v>408</v>
      </c>
      <c r="C764" s="130"/>
      <c r="D764" s="262">
        <v>7</v>
      </c>
      <c r="E764" s="175" t="s">
        <v>427</v>
      </c>
      <c r="F764" s="147" t="s">
        <v>389</v>
      </c>
      <c r="G764" s="236"/>
      <c r="H764" s="425">
        <f>H765+H766+H767+H771</f>
        <v>36058</v>
      </c>
      <c r="I764" s="425">
        <f t="shared" ref="I764" si="290">I765+I766+I767+I771</f>
        <v>0</v>
      </c>
      <c r="J764" s="425">
        <f t="shared" si="289"/>
        <v>36058</v>
      </c>
      <c r="K764" s="342"/>
      <c r="L764" s="855"/>
      <c r="M764" s="855"/>
      <c r="N764" s="855"/>
      <c r="O764" s="342"/>
      <c r="P764" s="345">
        <f t="shared" si="286"/>
        <v>36058</v>
      </c>
      <c r="Q764" s="345">
        <f t="shared" si="287"/>
        <v>0</v>
      </c>
      <c r="R764" s="345">
        <f t="shared" si="287"/>
        <v>36058</v>
      </c>
    </row>
    <row r="765" spans="2:18" x14ac:dyDescent="0.2">
      <c r="B765" s="171">
        <f t="shared" si="284"/>
        <v>409</v>
      </c>
      <c r="C765" s="130"/>
      <c r="D765" s="130"/>
      <c r="E765" s="134"/>
      <c r="F765" s="144" t="s">
        <v>211</v>
      </c>
      <c r="G765" s="199" t="s">
        <v>505</v>
      </c>
      <c r="H765" s="530">
        <f>22570+1129</f>
        <v>23699</v>
      </c>
      <c r="I765" s="530"/>
      <c r="J765" s="530">
        <f t="shared" si="289"/>
        <v>23699</v>
      </c>
      <c r="K765" s="339"/>
      <c r="L765" s="399"/>
      <c r="M765" s="399"/>
      <c r="N765" s="399"/>
      <c r="O765" s="339"/>
      <c r="P765" s="531">
        <f t="shared" si="286"/>
        <v>23699</v>
      </c>
      <c r="Q765" s="531">
        <f t="shared" ref="Q765:R780" si="291">I765+M765</f>
        <v>0</v>
      </c>
      <c r="R765" s="531">
        <f t="shared" si="291"/>
        <v>23699</v>
      </c>
    </row>
    <row r="766" spans="2:18" x14ac:dyDescent="0.2">
      <c r="B766" s="171">
        <f t="shared" si="284"/>
        <v>410</v>
      </c>
      <c r="C766" s="130"/>
      <c r="D766" s="130"/>
      <c r="E766" s="134"/>
      <c r="F766" s="144" t="s">
        <v>212</v>
      </c>
      <c r="G766" s="199" t="s">
        <v>259</v>
      </c>
      <c r="H766" s="530">
        <f>7885+394</f>
        <v>8279</v>
      </c>
      <c r="I766" s="530"/>
      <c r="J766" s="530">
        <f t="shared" si="289"/>
        <v>8279</v>
      </c>
      <c r="K766" s="339"/>
      <c r="L766" s="399"/>
      <c r="M766" s="399"/>
      <c r="N766" s="399"/>
      <c r="O766" s="339"/>
      <c r="P766" s="531">
        <f t="shared" si="286"/>
        <v>8279</v>
      </c>
      <c r="Q766" s="531">
        <f t="shared" si="291"/>
        <v>0</v>
      </c>
      <c r="R766" s="531">
        <f t="shared" si="291"/>
        <v>8279</v>
      </c>
    </row>
    <row r="767" spans="2:18" x14ac:dyDescent="0.2">
      <c r="B767" s="171">
        <f t="shared" si="284"/>
        <v>411</v>
      </c>
      <c r="C767" s="130"/>
      <c r="D767" s="130"/>
      <c r="E767" s="134"/>
      <c r="F767" s="144" t="s">
        <v>218</v>
      </c>
      <c r="G767" s="199" t="s">
        <v>340</v>
      </c>
      <c r="H767" s="530">
        <f>SUM(H768:H770)</f>
        <v>3930</v>
      </c>
      <c r="I767" s="530"/>
      <c r="J767" s="530">
        <f t="shared" si="289"/>
        <v>3930</v>
      </c>
      <c r="K767" s="339"/>
      <c r="L767" s="399"/>
      <c r="M767" s="399"/>
      <c r="N767" s="399"/>
      <c r="O767" s="339"/>
      <c r="P767" s="531">
        <f t="shared" si="286"/>
        <v>3930</v>
      </c>
      <c r="Q767" s="531">
        <f t="shared" si="291"/>
        <v>0</v>
      </c>
      <c r="R767" s="531">
        <f t="shared" si="291"/>
        <v>3930</v>
      </c>
    </row>
    <row r="768" spans="2:18" x14ac:dyDescent="0.2">
      <c r="B768" s="171">
        <f t="shared" si="284"/>
        <v>412</v>
      </c>
      <c r="C768" s="130"/>
      <c r="D768" s="130"/>
      <c r="E768" s="134"/>
      <c r="F768" s="131" t="s">
        <v>199</v>
      </c>
      <c r="G768" s="194" t="s">
        <v>318</v>
      </c>
      <c r="H768" s="399">
        <v>1560</v>
      </c>
      <c r="I768" s="399"/>
      <c r="J768" s="399">
        <f t="shared" si="289"/>
        <v>1560</v>
      </c>
      <c r="K768" s="339"/>
      <c r="L768" s="399"/>
      <c r="M768" s="399"/>
      <c r="N768" s="399"/>
      <c r="O768" s="339"/>
      <c r="P768" s="168">
        <f t="shared" si="286"/>
        <v>1560</v>
      </c>
      <c r="Q768" s="168">
        <f t="shared" si="291"/>
        <v>0</v>
      </c>
      <c r="R768" s="168">
        <f t="shared" si="291"/>
        <v>1560</v>
      </c>
    </row>
    <row r="769" spans="2:18" x14ac:dyDescent="0.2">
      <c r="B769" s="171">
        <f t="shared" si="284"/>
        <v>413</v>
      </c>
      <c r="C769" s="130"/>
      <c r="D769" s="130"/>
      <c r="E769" s="134"/>
      <c r="F769" s="131" t="s">
        <v>200</v>
      </c>
      <c r="G769" s="194" t="s">
        <v>247</v>
      </c>
      <c r="H769" s="399">
        <v>680</v>
      </c>
      <c r="I769" s="399"/>
      <c r="J769" s="399">
        <f t="shared" si="289"/>
        <v>680</v>
      </c>
      <c r="K769" s="339"/>
      <c r="L769" s="399"/>
      <c r="M769" s="399"/>
      <c r="N769" s="399"/>
      <c r="O769" s="339"/>
      <c r="P769" s="168">
        <f t="shared" si="286"/>
        <v>680</v>
      </c>
      <c r="Q769" s="168">
        <f t="shared" si="291"/>
        <v>0</v>
      </c>
      <c r="R769" s="168">
        <f t="shared" si="291"/>
        <v>680</v>
      </c>
    </row>
    <row r="770" spans="2:18" x14ac:dyDescent="0.2">
      <c r="B770" s="171">
        <f t="shared" si="284"/>
        <v>414</v>
      </c>
      <c r="C770" s="130"/>
      <c r="D770" s="130"/>
      <c r="E770" s="134"/>
      <c r="F770" s="131" t="s">
        <v>216</v>
      </c>
      <c r="G770" s="194" t="s">
        <v>248</v>
      </c>
      <c r="H770" s="399">
        <v>1690</v>
      </c>
      <c r="I770" s="399"/>
      <c r="J770" s="399">
        <f t="shared" si="289"/>
        <v>1690</v>
      </c>
      <c r="K770" s="339"/>
      <c r="L770" s="399"/>
      <c r="M770" s="399"/>
      <c r="N770" s="399"/>
      <c r="O770" s="339"/>
      <c r="P770" s="168">
        <f t="shared" si="286"/>
        <v>1690</v>
      </c>
      <c r="Q770" s="168">
        <f t="shared" si="291"/>
        <v>0</v>
      </c>
      <c r="R770" s="168">
        <f t="shared" si="291"/>
        <v>1690</v>
      </c>
    </row>
    <row r="771" spans="2:18" x14ac:dyDescent="0.2">
      <c r="B771" s="171">
        <f t="shared" si="284"/>
        <v>415</v>
      </c>
      <c r="C771" s="130"/>
      <c r="D771" s="130"/>
      <c r="E771" s="134"/>
      <c r="F771" s="144" t="s">
        <v>217</v>
      </c>
      <c r="G771" s="199" t="s">
        <v>504</v>
      </c>
      <c r="H771" s="530">
        <v>150</v>
      </c>
      <c r="I771" s="530"/>
      <c r="J771" s="530">
        <f t="shared" si="289"/>
        <v>150</v>
      </c>
      <c r="K771" s="336"/>
      <c r="L771" s="530"/>
      <c r="M771" s="530"/>
      <c r="N771" s="530"/>
      <c r="O771" s="336"/>
      <c r="P771" s="531">
        <f t="shared" si="286"/>
        <v>150</v>
      </c>
      <c r="Q771" s="531">
        <f t="shared" si="291"/>
        <v>0</v>
      </c>
      <c r="R771" s="531">
        <f t="shared" si="291"/>
        <v>150</v>
      </c>
    </row>
    <row r="772" spans="2:18" ht="15" x14ac:dyDescent="0.25">
      <c r="B772" s="171">
        <f t="shared" si="284"/>
        <v>416</v>
      </c>
      <c r="C772" s="130"/>
      <c r="D772" s="262">
        <v>8</v>
      </c>
      <c r="E772" s="175" t="s">
        <v>427</v>
      </c>
      <c r="F772" s="147" t="s">
        <v>390</v>
      </c>
      <c r="G772" s="236"/>
      <c r="H772" s="425">
        <f>H773+H774+H775+H779</f>
        <v>74520</v>
      </c>
      <c r="I772" s="425">
        <f t="shared" ref="I772" si="292">I773+I774+I775+I779</f>
        <v>0</v>
      </c>
      <c r="J772" s="425">
        <f t="shared" si="289"/>
        <v>74520</v>
      </c>
      <c r="K772" s="342"/>
      <c r="L772" s="855"/>
      <c r="M772" s="855"/>
      <c r="N772" s="855"/>
      <c r="O772" s="342"/>
      <c r="P772" s="345">
        <f t="shared" si="286"/>
        <v>74520</v>
      </c>
      <c r="Q772" s="345">
        <f t="shared" si="291"/>
        <v>0</v>
      </c>
      <c r="R772" s="345">
        <f t="shared" si="291"/>
        <v>74520</v>
      </c>
    </row>
    <row r="773" spans="2:18" x14ac:dyDescent="0.2">
      <c r="B773" s="171">
        <f t="shared" si="284"/>
        <v>417</v>
      </c>
      <c r="C773" s="130"/>
      <c r="D773" s="130"/>
      <c r="E773" s="134"/>
      <c r="F773" s="144" t="s">
        <v>211</v>
      </c>
      <c r="G773" s="199" t="s">
        <v>505</v>
      </c>
      <c r="H773" s="530">
        <f>45790+2290+1500</f>
        <v>49580</v>
      </c>
      <c r="I773" s="530"/>
      <c r="J773" s="530">
        <f t="shared" si="289"/>
        <v>49580</v>
      </c>
      <c r="K773" s="339"/>
      <c r="L773" s="399"/>
      <c r="M773" s="399"/>
      <c r="N773" s="399"/>
      <c r="O773" s="339"/>
      <c r="P773" s="531">
        <f t="shared" si="286"/>
        <v>49580</v>
      </c>
      <c r="Q773" s="531">
        <f t="shared" si="291"/>
        <v>0</v>
      </c>
      <c r="R773" s="531">
        <f t="shared" si="291"/>
        <v>49580</v>
      </c>
    </row>
    <row r="774" spans="2:18" x14ac:dyDescent="0.2">
      <c r="B774" s="171">
        <f t="shared" si="284"/>
        <v>418</v>
      </c>
      <c r="C774" s="130"/>
      <c r="D774" s="130"/>
      <c r="E774" s="134"/>
      <c r="F774" s="144" t="s">
        <v>212</v>
      </c>
      <c r="G774" s="199" t="s">
        <v>259</v>
      </c>
      <c r="H774" s="530">
        <f>16990+850</f>
        <v>17840</v>
      </c>
      <c r="I774" s="530"/>
      <c r="J774" s="530">
        <f t="shared" si="289"/>
        <v>17840</v>
      </c>
      <c r="K774" s="339"/>
      <c r="L774" s="399"/>
      <c r="M774" s="399"/>
      <c r="N774" s="399"/>
      <c r="O774" s="339"/>
      <c r="P774" s="531">
        <f t="shared" si="286"/>
        <v>17840</v>
      </c>
      <c r="Q774" s="531">
        <f t="shared" si="291"/>
        <v>0</v>
      </c>
      <c r="R774" s="531">
        <f t="shared" si="291"/>
        <v>17840</v>
      </c>
    </row>
    <row r="775" spans="2:18" x14ac:dyDescent="0.2">
      <c r="B775" s="171">
        <f t="shared" si="284"/>
        <v>419</v>
      </c>
      <c r="C775" s="130"/>
      <c r="D775" s="130"/>
      <c r="E775" s="134"/>
      <c r="F775" s="144" t="s">
        <v>218</v>
      </c>
      <c r="G775" s="199" t="s">
        <v>340</v>
      </c>
      <c r="H775" s="530">
        <f>SUM(H776:H778)</f>
        <v>6800</v>
      </c>
      <c r="I775" s="530"/>
      <c r="J775" s="530">
        <f t="shared" si="289"/>
        <v>6800</v>
      </c>
      <c r="K775" s="339"/>
      <c r="L775" s="399"/>
      <c r="M775" s="399"/>
      <c r="N775" s="399"/>
      <c r="O775" s="339"/>
      <c r="P775" s="531">
        <f t="shared" si="286"/>
        <v>6800</v>
      </c>
      <c r="Q775" s="531">
        <f t="shared" si="291"/>
        <v>0</v>
      </c>
      <c r="R775" s="531">
        <f t="shared" si="291"/>
        <v>6800</v>
      </c>
    </row>
    <row r="776" spans="2:18" x14ac:dyDescent="0.2">
      <c r="B776" s="171">
        <f t="shared" si="284"/>
        <v>420</v>
      </c>
      <c r="C776" s="130"/>
      <c r="D776" s="130"/>
      <c r="E776" s="134"/>
      <c r="F776" s="131" t="s">
        <v>199</v>
      </c>
      <c r="G776" s="194" t="s">
        <v>318</v>
      </c>
      <c r="H776" s="399">
        <f>6200-2200</f>
        <v>4000</v>
      </c>
      <c r="I776" s="399"/>
      <c r="J776" s="399">
        <f t="shared" si="289"/>
        <v>4000</v>
      </c>
      <c r="K776" s="339"/>
      <c r="L776" s="399"/>
      <c r="M776" s="399"/>
      <c r="N776" s="399"/>
      <c r="O776" s="339"/>
      <c r="P776" s="168">
        <f t="shared" si="286"/>
        <v>4000</v>
      </c>
      <c r="Q776" s="168">
        <f t="shared" si="291"/>
        <v>0</v>
      </c>
      <c r="R776" s="168">
        <f t="shared" si="291"/>
        <v>4000</v>
      </c>
    </row>
    <row r="777" spans="2:18" x14ac:dyDescent="0.2">
      <c r="B777" s="171">
        <f t="shared" si="284"/>
        <v>421</v>
      </c>
      <c r="C777" s="130"/>
      <c r="D777" s="130"/>
      <c r="E777" s="134"/>
      <c r="F777" s="131" t="s">
        <v>200</v>
      </c>
      <c r="G777" s="194" t="s">
        <v>247</v>
      </c>
      <c r="H777" s="399">
        <v>950</v>
      </c>
      <c r="I777" s="399"/>
      <c r="J777" s="399">
        <f t="shared" si="289"/>
        <v>950</v>
      </c>
      <c r="K777" s="339"/>
      <c r="L777" s="399"/>
      <c r="M777" s="399"/>
      <c r="N777" s="399"/>
      <c r="O777" s="339"/>
      <c r="P777" s="168">
        <f t="shared" si="286"/>
        <v>950</v>
      </c>
      <c r="Q777" s="168">
        <f t="shared" si="291"/>
        <v>0</v>
      </c>
      <c r="R777" s="168">
        <f t="shared" si="291"/>
        <v>950</v>
      </c>
    </row>
    <row r="778" spans="2:18" x14ac:dyDescent="0.2">
      <c r="B778" s="171">
        <f t="shared" si="284"/>
        <v>422</v>
      </c>
      <c r="C778" s="130"/>
      <c r="D778" s="130"/>
      <c r="E778" s="134"/>
      <c r="F778" s="131" t="s">
        <v>216</v>
      </c>
      <c r="G778" s="194" t="s">
        <v>248</v>
      </c>
      <c r="H778" s="399">
        <f>1150+700</f>
        <v>1850</v>
      </c>
      <c r="I778" s="399"/>
      <c r="J778" s="399">
        <f t="shared" si="289"/>
        <v>1850</v>
      </c>
      <c r="K778" s="339"/>
      <c r="L778" s="399"/>
      <c r="M778" s="399"/>
      <c r="N778" s="399"/>
      <c r="O778" s="339"/>
      <c r="P778" s="168">
        <f t="shared" si="286"/>
        <v>1850</v>
      </c>
      <c r="Q778" s="168">
        <f t="shared" si="291"/>
        <v>0</v>
      </c>
      <c r="R778" s="168">
        <f t="shared" si="291"/>
        <v>1850</v>
      </c>
    </row>
    <row r="779" spans="2:18" x14ac:dyDescent="0.2">
      <c r="B779" s="171">
        <f t="shared" si="284"/>
        <v>423</v>
      </c>
      <c r="C779" s="130"/>
      <c r="D779" s="130"/>
      <c r="E779" s="134"/>
      <c r="F779" s="144" t="s">
        <v>217</v>
      </c>
      <c r="G779" s="199" t="s">
        <v>504</v>
      </c>
      <c r="H779" s="530">
        <v>300</v>
      </c>
      <c r="I779" s="530"/>
      <c r="J779" s="530">
        <f t="shared" si="289"/>
        <v>300</v>
      </c>
      <c r="K779" s="339"/>
      <c r="L779" s="399"/>
      <c r="M779" s="399"/>
      <c r="N779" s="399"/>
      <c r="O779" s="339"/>
      <c r="P779" s="531">
        <f t="shared" si="286"/>
        <v>300</v>
      </c>
      <c r="Q779" s="531">
        <f t="shared" si="291"/>
        <v>0</v>
      </c>
      <c r="R779" s="531">
        <f t="shared" si="291"/>
        <v>300</v>
      </c>
    </row>
    <row r="780" spans="2:18" ht="15" x14ac:dyDescent="0.25">
      <c r="B780" s="171">
        <f t="shared" si="284"/>
        <v>424</v>
      </c>
      <c r="C780" s="130"/>
      <c r="D780" s="262">
        <v>9</v>
      </c>
      <c r="E780" s="175" t="s">
        <v>427</v>
      </c>
      <c r="F780" s="265" t="s">
        <v>391</v>
      </c>
      <c r="G780" s="266"/>
      <c r="H780" s="427">
        <f>H781+H782+H783+H787</f>
        <v>35650</v>
      </c>
      <c r="I780" s="427">
        <f t="shared" ref="I780" si="293">I781+I782+I783+I787</f>
        <v>1200</v>
      </c>
      <c r="J780" s="427">
        <f t="shared" si="289"/>
        <v>36850</v>
      </c>
      <c r="K780" s="342"/>
      <c r="L780" s="866"/>
      <c r="M780" s="866"/>
      <c r="N780" s="866"/>
      <c r="O780" s="342"/>
      <c r="P780" s="346">
        <f t="shared" si="286"/>
        <v>35650</v>
      </c>
      <c r="Q780" s="346">
        <f t="shared" si="291"/>
        <v>1200</v>
      </c>
      <c r="R780" s="346">
        <f t="shared" si="291"/>
        <v>36850</v>
      </c>
    </row>
    <row r="781" spans="2:18" x14ac:dyDescent="0.2">
      <c r="B781" s="171">
        <f t="shared" si="284"/>
        <v>425</v>
      </c>
      <c r="C781" s="130"/>
      <c r="D781" s="130"/>
      <c r="E781" s="134"/>
      <c r="F781" s="144" t="s">
        <v>211</v>
      </c>
      <c r="G781" s="199" t="s">
        <v>505</v>
      </c>
      <c r="H781" s="530">
        <f>21255+1063</f>
        <v>22318</v>
      </c>
      <c r="I781" s="530"/>
      <c r="J781" s="530">
        <f t="shared" si="289"/>
        <v>22318</v>
      </c>
      <c r="K781" s="339"/>
      <c r="L781" s="399"/>
      <c r="M781" s="399"/>
      <c r="N781" s="399"/>
      <c r="O781" s="339"/>
      <c r="P781" s="531">
        <f t="shared" ref="P781:P787" si="294">H781+L781</f>
        <v>22318</v>
      </c>
      <c r="Q781" s="531">
        <f t="shared" ref="Q781:R787" si="295">I781+M781</f>
        <v>0</v>
      </c>
      <c r="R781" s="531">
        <f t="shared" si="295"/>
        <v>22318</v>
      </c>
    </row>
    <row r="782" spans="2:18" x14ac:dyDescent="0.2">
      <c r="B782" s="171">
        <f t="shared" si="284"/>
        <v>426</v>
      </c>
      <c r="C782" s="130"/>
      <c r="D782" s="130"/>
      <c r="E782" s="134"/>
      <c r="F782" s="144" t="s">
        <v>212</v>
      </c>
      <c r="G782" s="199" t="s">
        <v>259</v>
      </c>
      <c r="H782" s="530">
        <f>7430+372</f>
        <v>7802</v>
      </c>
      <c r="I782" s="530"/>
      <c r="J782" s="530">
        <f t="shared" si="289"/>
        <v>7802</v>
      </c>
      <c r="K782" s="339"/>
      <c r="L782" s="399"/>
      <c r="M782" s="399"/>
      <c r="N782" s="399"/>
      <c r="O782" s="339"/>
      <c r="P782" s="531">
        <f t="shared" si="294"/>
        <v>7802</v>
      </c>
      <c r="Q782" s="531">
        <f t="shared" si="295"/>
        <v>0</v>
      </c>
      <c r="R782" s="531">
        <f t="shared" si="295"/>
        <v>7802</v>
      </c>
    </row>
    <row r="783" spans="2:18" x14ac:dyDescent="0.2">
      <c r="B783" s="171">
        <f t="shared" si="284"/>
        <v>427</v>
      </c>
      <c r="C783" s="130"/>
      <c r="D783" s="130"/>
      <c r="E783" s="134"/>
      <c r="F783" s="144" t="s">
        <v>218</v>
      </c>
      <c r="G783" s="199" t="s">
        <v>340</v>
      </c>
      <c r="H783" s="530">
        <f>SUM(H784:H786)</f>
        <v>5480</v>
      </c>
      <c r="I783" s="530">
        <f>I784+I785+I786</f>
        <v>1200</v>
      </c>
      <c r="J783" s="530">
        <f t="shared" si="289"/>
        <v>6680</v>
      </c>
      <c r="K783" s="339"/>
      <c r="L783" s="399"/>
      <c r="M783" s="399"/>
      <c r="N783" s="399"/>
      <c r="O783" s="339"/>
      <c r="P783" s="531">
        <f t="shared" si="294"/>
        <v>5480</v>
      </c>
      <c r="Q783" s="531">
        <f t="shared" si="295"/>
        <v>1200</v>
      </c>
      <c r="R783" s="531">
        <f t="shared" si="295"/>
        <v>6680</v>
      </c>
    </row>
    <row r="784" spans="2:18" x14ac:dyDescent="0.2">
      <c r="B784" s="171">
        <f t="shared" si="284"/>
        <v>428</v>
      </c>
      <c r="C784" s="130"/>
      <c r="D784" s="130"/>
      <c r="E784" s="134"/>
      <c r="F784" s="131" t="s">
        <v>199</v>
      </c>
      <c r="G784" s="194" t="s">
        <v>318</v>
      </c>
      <c r="H784" s="399">
        <v>4770</v>
      </c>
      <c r="I784" s="399">
        <v>900</v>
      </c>
      <c r="J784" s="399">
        <f t="shared" si="289"/>
        <v>5670</v>
      </c>
      <c r="K784" s="339"/>
      <c r="L784" s="399"/>
      <c r="M784" s="399"/>
      <c r="N784" s="399"/>
      <c r="O784" s="339"/>
      <c r="P784" s="168">
        <f t="shared" si="294"/>
        <v>4770</v>
      </c>
      <c r="Q784" s="168">
        <f t="shared" si="295"/>
        <v>900</v>
      </c>
      <c r="R784" s="168">
        <f t="shared" si="295"/>
        <v>5670</v>
      </c>
    </row>
    <row r="785" spans="2:18" x14ac:dyDescent="0.2">
      <c r="B785" s="171">
        <f t="shared" si="284"/>
        <v>429</v>
      </c>
      <c r="C785" s="130"/>
      <c r="D785" s="130"/>
      <c r="E785" s="134"/>
      <c r="F785" s="131" t="s">
        <v>200</v>
      </c>
      <c r="G785" s="194" t="s">
        <v>247</v>
      </c>
      <c r="H785" s="399">
        <v>120</v>
      </c>
      <c r="I785" s="399">
        <v>300</v>
      </c>
      <c r="J785" s="399">
        <f t="shared" si="289"/>
        <v>420</v>
      </c>
      <c r="K785" s="339"/>
      <c r="L785" s="399"/>
      <c r="M785" s="399"/>
      <c r="N785" s="399"/>
      <c r="O785" s="339"/>
      <c r="P785" s="168">
        <f t="shared" si="294"/>
        <v>120</v>
      </c>
      <c r="Q785" s="168">
        <f t="shared" si="295"/>
        <v>300</v>
      </c>
      <c r="R785" s="168">
        <f t="shared" si="295"/>
        <v>420</v>
      </c>
    </row>
    <row r="786" spans="2:18" x14ac:dyDescent="0.2">
      <c r="B786" s="171">
        <f t="shared" si="284"/>
        <v>430</v>
      </c>
      <c r="C786" s="130"/>
      <c r="D786" s="130"/>
      <c r="E786" s="134"/>
      <c r="F786" s="131" t="s">
        <v>216</v>
      </c>
      <c r="G786" s="194" t="s">
        <v>248</v>
      </c>
      <c r="H786" s="399">
        <v>590</v>
      </c>
      <c r="I786" s="399"/>
      <c r="J786" s="399">
        <f t="shared" si="289"/>
        <v>590</v>
      </c>
      <c r="K786" s="339"/>
      <c r="L786" s="399"/>
      <c r="M786" s="399"/>
      <c r="N786" s="399"/>
      <c r="O786" s="339"/>
      <c r="P786" s="168">
        <f t="shared" si="294"/>
        <v>590</v>
      </c>
      <c r="Q786" s="168">
        <f t="shared" si="295"/>
        <v>0</v>
      </c>
      <c r="R786" s="168">
        <f t="shared" si="295"/>
        <v>590</v>
      </c>
    </row>
    <row r="787" spans="2:18" x14ac:dyDescent="0.2">
      <c r="B787" s="171">
        <f t="shared" si="284"/>
        <v>431</v>
      </c>
      <c r="C787" s="130"/>
      <c r="D787" s="130"/>
      <c r="E787" s="134"/>
      <c r="F787" s="144" t="s">
        <v>217</v>
      </c>
      <c r="G787" s="199" t="s">
        <v>504</v>
      </c>
      <c r="H787" s="530">
        <v>50</v>
      </c>
      <c r="I787" s="530"/>
      <c r="J787" s="530">
        <f t="shared" si="289"/>
        <v>50</v>
      </c>
      <c r="K787" s="339"/>
      <c r="L787" s="399"/>
      <c r="M787" s="399"/>
      <c r="N787" s="399"/>
      <c r="O787" s="339"/>
      <c r="P787" s="531">
        <f t="shared" si="294"/>
        <v>50</v>
      </c>
      <c r="Q787" s="531">
        <f t="shared" si="295"/>
        <v>0</v>
      </c>
      <c r="R787" s="531">
        <f t="shared" si="295"/>
        <v>50</v>
      </c>
    </row>
    <row r="788" spans="2:18" x14ac:dyDescent="0.2">
      <c r="B788" s="171">
        <f t="shared" si="284"/>
        <v>432</v>
      </c>
      <c r="C788" s="130"/>
      <c r="D788" s="130"/>
      <c r="E788" s="134"/>
      <c r="F788" s="134"/>
      <c r="G788" s="199"/>
      <c r="H788" s="527"/>
      <c r="I788" s="527"/>
      <c r="J788" s="527">
        <f t="shared" si="289"/>
        <v>0</v>
      </c>
      <c r="K788" s="148"/>
      <c r="L788" s="527"/>
      <c r="M788" s="527"/>
      <c r="N788" s="527"/>
      <c r="O788" s="148"/>
      <c r="P788" s="168"/>
      <c r="Q788" s="168"/>
      <c r="R788" s="168"/>
    </row>
    <row r="789" spans="2:18" x14ac:dyDescent="0.2">
      <c r="B789" s="171">
        <f t="shared" si="284"/>
        <v>433</v>
      </c>
      <c r="C789" s="130"/>
      <c r="D789" s="130"/>
      <c r="E789" s="134"/>
      <c r="F789" s="285">
        <v>640</v>
      </c>
      <c r="G789" s="286" t="s">
        <v>392</v>
      </c>
      <c r="H789" s="428">
        <v>14787</v>
      </c>
      <c r="I789" s="428"/>
      <c r="J789" s="428">
        <f t="shared" si="289"/>
        <v>14787</v>
      </c>
      <c r="K789" s="132"/>
      <c r="L789" s="867"/>
      <c r="M789" s="867"/>
      <c r="N789" s="867"/>
      <c r="O789" s="132"/>
      <c r="P789" s="287">
        <f>H789+L789</f>
        <v>14787</v>
      </c>
      <c r="Q789" s="287">
        <f t="shared" ref="Q789:R792" si="296">I789+M789</f>
        <v>0</v>
      </c>
      <c r="R789" s="287">
        <f t="shared" si="296"/>
        <v>14787</v>
      </c>
    </row>
    <row r="790" spans="2:18" x14ac:dyDescent="0.2">
      <c r="B790" s="171">
        <f t="shared" si="284"/>
        <v>434</v>
      </c>
      <c r="C790" s="130"/>
      <c r="D790" s="130"/>
      <c r="E790" s="134"/>
      <c r="F790" s="285">
        <v>640</v>
      </c>
      <c r="G790" s="286" t="s">
        <v>393</v>
      </c>
      <c r="H790" s="428">
        <v>9438</v>
      </c>
      <c r="I790" s="428"/>
      <c r="J790" s="428">
        <f t="shared" si="289"/>
        <v>9438</v>
      </c>
      <c r="K790" s="132"/>
      <c r="L790" s="867"/>
      <c r="M790" s="867"/>
      <c r="N790" s="867"/>
      <c r="O790" s="132"/>
      <c r="P790" s="287">
        <f>H790+L790</f>
        <v>9438</v>
      </c>
      <c r="Q790" s="287">
        <f t="shared" si="296"/>
        <v>0</v>
      </c>
      <c r="R790" s="287">
        <f t="shared" si="296"/>
        <v>9438</v>
      </c>
    </row>
    <row r="791" spans="2:18" x14ac:dyDescent="0.2">
      <c r="B791" s="171">
        <f t="shared" si="284"/>
        <v>435</v>
      </c>
      <c r="C791" s="130"/>
      <c r="D791" s="130"/>
      <c r="E791" s="134"/>
      <c r="F791" s="285">
        <v>640</v>
      </c>
      <c r="G791" s="286" t="s">
        <v>571</v>
      </c>
      <c r="H791" s="428">
        <v>13026</v>
      </c>
      <c r="I791" s="428"/>
      <c r="J791" s="428">
        <f t="shared" si="289"/>
        <v>13026</v>
      </c>
      <c r="K791" s="132"/>
      <c r="L791" s="867"/>
      <c r="M791" s="867"/>
      <c r="N791" s="867"/>
      <c r="O791" s="132"/>
      <c r="P791" s="287">
        <f>H791+L791</f>
        <v>13026</v>
      </c>
      <c r="Q791" s="287">
        <f t="shared" si="296"/>
        <v>0</v>
      </c>
      <c r="R791" s="287">
        <f t="shared" si="296"/>
        <v>13026</v>
      </c>
    </row>
    <row r="792" spans="2:18" x14ac:dyDescent="0.2">
      <c r="B792" s="171">
        <f t="shared" si="284"/>
        <v>436</v>
      </c>
      <c r="C792" s="130"/>
      <c r="D792" s="130"/>
      <c r="E792" s="134"/>
      <c r="F792" s="285">
        <v>640</v>
      </c>
      <c r="G792" s="286" t="s">
        <v>572</v>
      </c>
      <c r="H792" s="428">
        <v>15865</v>
      </c>
      <c r="I792" s="428"/>
      <c r="J792" s="428">
        <f t="shared" si="289"/>
        <v>15865</v>
      </c>
      <c r="K792" s="148"/>
      <c r="L792" s="867"/>
      <c r="M792" s="867"/>
      <c r="N792" s="867"/>
      <c r="O792" s="148"/>
      <c r="P792" s="287">
        <f>H792+L792</f>
        <v>15865</v>
      </c>
      <c r="Q792" s="287">
        <f t="shared" si="296"/>
        <v>0</v>
      </c>
      <c r="R792" s="287">
        <f t="shared" si="296"/>
        <v>15865</v>
      </c>
    </row>
    <row r="793" spans="2:18" x14ac:dyDescent="0.2">
      <c r="B793" s="171">
        <f t="shared" si="284"/>
        <v>437</v>
      </c>
      <c r="C793" s="130"/>
      <c r="D793" s="134"/>
      <c r="E793" s="146"/>
      <c r="F793" s="131"/>
      <c r="G793" s="194"/>
      <c r="H793" s="432"/>
      <c r="I793" s="432"/>
      <c r="J793" s="432">
        <f t="shared" si="289"/>
        <v>0</v>
      </c>
      <c r="K793" s="148"/>
      <c r="L793" s="382"/>
      <c r="M793" s="382"/>
      <c r="N793" s="382"/>
      <c r="O793" s="148"/>
      <c r="P793" s="213"/>
      <c r="Q793" s="213"/>
      <c r="R793" s="213"/>
    </row>
    <row r="794" spans="2:18" ht="15" x14ac:dyDescent="0.25">
      <c r="B794" s="171">
        <f t="shared" si="284"/>
        <v>438</v>
      </c>
      <c r="C794" s="130"/>
      <c r="D794" s="262">
        <v>10</v>
      </c>
      <c r="E794" s="268" t="s">
        <v>427</v>
      </c>
      <c r="F794" s="265" t="s">
        <v>394</v>
      </c>
      <c r="G794" s="266"/>
      <c r="H794" s="427">
        <f>H795+H796+H797+H804</f>
        <v>784234</v>
      </c>
      <c r="I794" s="427">
        <f t="shared" ref="I794" si="297">I795+I796+I797+I804</f>
        <v>0</v>
      </c>
      <c r="J794" s="427">
        <f t="shared" si="289"/>
        <v>784234</v>
      </c>
      <c r="K794" s="342"/>
      <c r="L794" s="865"/>
      <c r="M794" s="865"/>
      <c r="N794" s="865"/>
      <c r="O794" s="342"/>
      <c r="P794" s="346">
        <f t="shared" ref="P794:P814" si="298">H794+L794</f>
        <v>784234</v>
      </c>
      <c r="Q794" s="346">
        <f t="shared" ref="Q794:R809" si="299">I794+M794</f>
        <v>0</v>
      </c>
      <c r="R794" s="346">
        <f t="shared" si="299"/>
        <v>784234</v>
      </c>
    </row>
    <row r="795" spans="2:18" x14ac:dyDescent="0.2">
      <c r="B795" s="171">
        <f t="shared" si="284"/>
        <v>439</v>
      </c>
      <c r="C795" s="130"/>
      <c r="D795" s="130"/>
      <c r="E795" s="134"/>
      <c r="F795" s="144" t="s">
        <v>211</v>
      </c>
      <c r="G795" s="199" t="s">
        <v>505</v>
      </c>
      <c r="H795" s="530">
        <f>487600+24380</f>
        <v>511980</v>
      </c>
      <c r="I795" s="530"/>
      <c r="J795" s="530">
        <f t="shared" si="289"/>
        <v>511980</v>
      </c>
      <c r="K795" s="339"/>
      <c r="L795" s="399"/>
      <c r="M795" s="399"/>
      <c r="N795" s="399"/>
      <c r="O795" s="339"/>
      <c r="P795" s="531">
        <f t="shared" si="298"/>
        <v>511980</v>
      </c>
      <c r="Q795" s="531">
        <f t="shared" si="299"/>
        <v>0</v>
      </c>
      <c r="R795" s="531">
        <f t="shared" si="299"/>
        <v>511980</v>
      </c>
    </row>
    <row r="796" spans="2:18" x14ac:dyDescent="0.2">
      <c r="B796" s="171">
        <f t="shared" si="284"/>
        <v>440</v>
      </c>
      <c r="C796" s="130"/>
      <c r="D796" s="130"/>
      <c r="E796" s="134"/>
      <c r="F796" s="144" t="s">
        <v>212</v>
      </c>
      <c r="G796" s="199" t="s">
        <v>259</v>
      </c>
      <c r="H796" s="530">
        <f>170295+8515</f>
        <v>178810</v>
      </c>
      <c r="I796" s="530"/>
      <c r="J796" s="530">
        <f t="shared" si="289"/>
        <v>178810</v>
      </c>
      <c r="K796" s="339"/>
      <c r="L796" s="399"/>
      <c r="M796" s="399"/>
      <c r="N796" s="399"/>
      <c r="O796" s="339"/>
      <c r="P796" s="531">
        <f t="shared" si="298"/>
        <v>178810</v>
      </c>
      <c r="Q796" s="531">
        <f t="shared" si="299"/>
        <v>0</v>
      </c>
      <c r="R796" s="531">
        <f t="shared" si="299"/>
        <v>178810</v>
      </c>
    </row>
    <row r="797" spans="2:18" x14ac:dyDescent="0.2">
      <c r="B797" s="171">
        <f t="shared" si="284"/>
        <v>441</v>
      </c>
      <c r="C797" s="130"/>
      <c r="D797" s="130"/>
      <c r="E797" s="134"/>
      <c r="F797" s="144" t="s">
        <v>218</v>
      </c>
      <c r="G797" s="199" t="s">
        <v>340</v>
      </c>
      <c r="H797" s="530">
        <f>SUM(H798:H803)</f>
        <v>86944</v>
      </c>
      <c r="I797" s="530"/>
      <c r="J797" s="530">
        <f t="shared" si="289"/>
        <v>86944</v>
      </c>
      <c r="K797" s="339"/>
      <c r="L797" s="399"/>
      <c r="M797" s="399"/>
      <c r="N797" s="399"/>
      <c r="O797" s="339"/>
      <c r="P797" s="531">
        <f t="shared" si="298"/>
        <v>86944</v>
      </c>
      <c r="Q797" s="531">
        <f t="shared" si="299"/>
        <v>0</v>
      </c>
      <c r="R797" s="531">
        <f t="shared" si="299"/>
        <v>86944</v>
      </c>
    </row>
    <row r="798" spans="2:18" x14ac:dyDescent="0.2">
      <c r="B798" s="171">
        <f t="shared" si="284"/>
        <v>442</v>
      </c>
      <c r="C798" s="130"/>
      <c r="D798" s="130"/>
      <c r="E798" s="134"/>
      <c r="F798" s="131" t="s">
        <v>213</v>
      </c>
      <c r="G798" s="194" t="s">
        <v>306</v>
      </c>
      <c r="H798" s="399">
        <v>400</v>
      </c>
      <c r="I798" s="399"/>
      <c r="J798" s="399">
        <f t="shared" si="289"/>
        <v>400</v>
      </c>
      <c r="K798" s="339"/>
      <c r="L798" s="399"/>
      <c r="M798" s="399"/>
      <c r="N798" s="399"/>
      <c r="O798" s="339"/>
      <c r="P798" s="168">
        <f t="shared" si="298"/>
        <v>400</v>
      </c>
      <c r="Q798" s="168">
        <f t="shared" si="299"/>
        <v>0</v>
      </c>
      <c r="R798" s="168">
        <f t="shared" si="299"/>
        <v>400</v>
      </c>
    </row>
    <row r="799" spans="2:18" x14ac:dyDescent="0.2">
      <c r="B799" s="171">
        <f t="shared" si="284"/>
        <v>443</v>
      </c>
      <c r="C799" s="130"/>
      <c r="D799" s="130"/>
      <c r="E799" s="134"/>
      <c r="F799" s="131" t="s">
        <v>199</v>
      </c>
      <c r="G799" s="194" t="s">
        <v>318</v>
      </c>
      <c r="H799" s="399">
        <v>39280</v>
      </c>
      <c r="I799" s="399"/>
      <c r="J799" s="399">
        <f t="shared" si="289"/>
        <v>39280</v>
      </c>
      <c r="K799" s="339"/>
      <c r="L799" s="399"/>
      <c r="M799" s="399"/>
      <c r="N799" s="399"/>
      <c r="O799" s="339"/>
      <c r="P799" s="168">
        <f t="shared" si="298"/>
        <v>39280</v>
      </c>
      <c r="Q799" s="168">
        <f t="shared" si="299"/>
        <v>0</v>
      </c>
      <c r="R799" s="168">
        <f t="shared" si="299"/>
        <v>39280</v>
      </c>
    </row>
    <row r="800" spans="2:18" x14ac:dyDescent="0.2">
      <c r="B800" s="171">
        <f t="shared" si="284"/>
        <v>444</v>
      </c>
      <c r="C800" s="130"/>
      <c r="D800" s="130"/>
      <c r="E800" s="134"/>
      <c r="F800" s="131" t="s">
        <v>200</v>
      </c>
      <c r="G800" s="194" t="s">
        <v>247</v>
      </c>
      <c r="H800" s="399">
        <f>6505+199</f>
        <v>6704</v>
      </c>
      <c r="I800" s="399"/>
      <c r="J800" s="399">
        <f t="shared" si="289"/>
        <v>6704</v>
      </c>
      <c r="K800" s="339"/>
      <c r="L800" s="399"/>
      <c r="M800" s="399"/>
      <c r="N800" s="399"/>
      <c r="O800" s="339"/>
      <c r="P800" s="168">
        <f t="shared" si="298"/>
        <v>6704</v>
      </c>
      <c r="Q800" s="168">
        <f t="shared" si="299"/>
        <v>0</v>
      </c>
      <c r="R800" s="168">
        <f t="shared" si="299"/>
        <v>6704</v>
      </c>
    </row>
    <row r="801" spans="2:18" x14ac:dyDescent="0.2">
      <c r="B801" s="171">
        <f t="shared" si="284"/>
        <v>445</v>
      </c>
      <c r="C801" s="130"/>
      <c r="D801" s="130"/>
      <c r="E801" s="134"/>
      <c r="F801" s="134">
        <v>635</v>
      </c>
      <c r="G801" s="194" t="s">
        <v>261</v>
      </c>
      <c r="H801" s="399">
        <f>4640+500</f>
        <v>5140</v>
      </c>
      <c r="I801" s="399"/>
      <c r="J801" s="399">
        <f t="shared" si="289"/>
        <v>5140</v>
      </c>
      <c r="K801" s="339"/>
      <c r="L801" s="399"/>
      <c r="M801" s="399"/>
      <c r="N801" s="399"/>
      <c r="O801" s="339"/>
      <c r="P801" s="168">
        <f t="shared" si="298"/>
        <v>5140</v>
      </c>
      <c r="Q801" s="168">
        <f t="shared" si="299"/>
        <v>0</v>
      </c>
      <c r="R801" s="168">
        <f t="shared" si="299"/>
        <v>5140</v>
      </c>
    </row>
    <row r="802" spans="2:18" x14ac:dyDescent="0.2">
      <c r="B802" s="171">
        <f t="shared" si="284"/>
        <v>446</v>
      </c>
      <c r="C802" s="130"/>
      <c r="D802" s="130"/>
      <c r="E802" s="134"/>
      <c r="F802" s="134">
        <v>636</v>
      </c>
      <c r="G802" s="194" t="s">
        <v>262</v>
      </c>
      <c r="H802" s="399">
        <v>100</v>
      </c>
      <c r="I802" s="399"/>
      <c r="J802" s="399">
        <f t="shared" si="289"/>
        <v>100</v>
      </c>
      <c r="K802" s="339"/>
      <c r="L802" s="399"/>
      <c r="M802" s="399"/>
      <c r="N802" s="399"/>
      <c r="O802" s="339"/>
      <c r="P802" s="168">
        <f t="shared" si="298"/>
        <v>100</v>
      </c>
      <c r="Q802" s="168">
        <f t="shared" si="299"/>
        <v>0</v>
      </c>
      <c r="R802" s="168">
        <f t="shared" si="299"/>
        <v>100</v>
      </c>
    </row>
    <row r="803" spans="2:18" x14ac:dyDescent="0.2">
      <c r="B803" s="171">
        <f t="shared" si="284"/>
        <v>447</v>
      </c>
      <c r="C803" s="130"/>
      <c r="D803" s="130"/>
      <c r="E803" s="134"/>
      <c r="F803" s="131" t="s">
        <v>216</v>
      </c>
      <c r="G803" s="194" t="s">
        <v>248</v>
      </c>
      <c r="H803" s="399">
        <v>35320</v>
      </c>
      <c r="I803" s="399"/>
      <c r="J803" s="399">
        <f t="shared" si="289"/>
        <v>35320</v>
      </c>
      <c r="K803" s="339"/>
      <c r="L803" s="399"/>
      <c r="M803" s="399"/>
      <c r="N803" s="399"/>
      <c r="O803" s="339"/>
      <c r="P803" s="168">
        <f t="shared" si="298"/>
        <v>35320</v>
      </c>
      <c r="Q803" s="168">
        <f t="shared" si="299"/>
        <v>0</v>
      </c>
      <c r="R803" s="168">
        <f t="shared" si="299"/>
        <v>35320</v>
      </c>
    </row>
    <row r="804" spans="2:18" x14ac:dyDescent="0.2">
      <c r="B804" s="171">
        <f t="shared" si="284"/>
        <v>448</v>
      </c>
      <c r="C804" s="130"/>
      <c r="D804" s="130"/>
      <c r="E804" s="134"/>
      <c r="F804" s="144" t="s">
        <v>217</v>
      </c>
      <c r="G804" s="199" t="s">
        <v>504</v>
      </c>
      <c r="H804" s="530">
        <v>6500</v>
      </c>
      <c r="I804" s="530"/>
      <c r="J804" s="530">
        <f t="shared" si="289"/>
        <v>6500</v>
      </c>
      <c r="K804" s="339"/>
      <c r="L804" s="399"/>
      <c r="M804" s="399"/>
      <c r="N804" s="399"/>
      <c r="O804" s="339"/>
      <c r="P804" s="531">
        <f t="shared" si="298"/>
        <v>6500</v>
      </c>
      <c r="Q804" s="531">
        <f t="shared" si="299"/>
        <v>0</v>
      </c>
      <c r="R804" s="531">
        <f t="shared" si="299"/>
        <v>6500</v>
      </c>
    </row>
    <row r="805" spans="2:18" ht="15" x14ac:dyDescent="0.25">
      <c r="B805" s="171">
        <f t="shared" si="284"/>
        <v>449</v>
      </c>
      <c r="C805" s="130"/>
      <c r="D805" s="262">
        <v>11</v>
      </c>
      <c r="E805" s="175" t="s">
        <v>427</v>
      </c>
      <c r="F805" s="147" t="s">
        <v>395</v>
      </c>
      <c r="G805" s="236"/>
      <c r="H805" s="425">
        <f>H806+H807+H808+H814</f>
        <v>100056</v>
      </c>
      <c r="I805" s="425">
        <f t="shared" ref="I805" si="300">I806+I807+I808+I814</f>
        <v>480</v>
      </c>
      <c r="J805" s="425">
        <f t="shared" si="289"/>
        <v>100536</v>
      </c>
      <c r="K805" s="342"/>
      <c r="L805" s="855"/>
      <c r="M805" s="855"/>
      <c r="N805" s="855"/>
      <c r="O805" s="342"/>
      <c r="P805" s="345">
        <f t="shared" si="298"/>
        <v>100056</v>
      </c>
      <c r="Q805" s="345">
        <f t="shared" si="299"/>
        <v>480</v>
      </c>
      <c r="R805" s="345">
        <f t="shared" si="299"/>
        <v>100536</v>
      </c>
    </row>
    <row r="806" spans="2:18" x14ac:dyDescent="0.2">
      <c r="B806" s="171">
        <f t="shared" si="284"/>
        <v>450</v>
      </c>
      <c r="C806" s="130"/>
      <c r="D806" s="130"/>
      <c r="E806" s="134"/>
      <c r="F806" s="144" t="s">
        <v>211</v>
      </c>
      <c r="G806" s="199" t="s">
        <v>505</v>
      </c>
      <c r="H806" s="530">
        <f>53690+2685</f>
        <v>56375</v>
      </c>
      <c r="I806" s="530"/>
      <c r="J806" s="530">
        <f t="shared" si="289"/>
        <v>56375</v>
      </c>
      <c r="K806" s="339"/>
      <c r="L806" s="399"/>
      <c r="M806" s="399"/>
      <c r="N806" s="399"/>
      <c r="O806" s="339"/>
      <c r="P806" s="531">
        <f t="shared" si="298"/>
        <v>56375</v>
      </c>
      <c r="Q806" s="531">
        <f t="shared" si="299"/>
        <v>0</v>
      </c>
      <c r="R806" s="531">
        <f t="shared" si="299"/>
        <v>56375</v>
      </c>
    </row>
    <row r="807" spans="2:18" x14ac:dyDescent="0.2">
      <c r="B807" s="171">
        <f t="shared" si="284"/>
        <v>451</v>
      </c>
      <c r="C807" s="130"/>
      <c r="D807" s="130"/>
      <c r="E807" s="134"/>
      <c r="F807" s="144" t="s">
        <v>212</v>
      </c>
      <c r="G807" s="199" t="s">
        <v>259</v>
      </c>
      <c r="H807" s="530">
        <f>18645+932</f>
        <v>19577</v>
      </c>
      <c r="I807" s="530"/>
      <c r="J807" s="530">
        <f t="shared" si="289"/>
        <v>19577</v>
      </c>
      <c r="K807" s="339"/>
      <c r="L807" s="399"/>
      <c r="M807" s="399"/>
      <c r="N807" s="399"/>
      <c r="O807" s="339"/>
      <c r="P807" s="531">
        <f t="shared" si="298"/>
        <v>19577</v>
      </c>
      <c r="Q807" s="531">
        <f t="shared" si="299"/>
        <v>0</v>
      </c>
      <c r="R807" s="531">
        <f t="shared" si="299"/>
        <v>19577</v>
      </c>
    </row>
    <row r="808" spans="2:18" x14ac:dyDescent="0.2">
      <c r="B808" s="171">
        <f t="shared" si="284"/>
        <v>452</v>
      </c>
      <c r="C808" s="130"/>
      <c r="D808" s="130"/>
      <c r="E808" s="134"/>
      <c r="F808" s="144" t="s">
        <v>218</v>
      </c>
      <c r="G808" s="199" t="s">
        <v>340</v>
      </c>
      <c r="H808" s="530">
        <f>SUM(H809:H813)</f>
        <v>23704</v>
      </c>
      <c r="I808" s="530">
        <f>I809+I810+I811+I812+I813</f>
        <v>480</v>
      </c>
      <c r="J808" s="530">
        <f t="shared" si="289"/>
        <v>24184</v>
      </c>
      <c r="K808" s="339"/>
      <c r="L808" s="399"/>
      <c r="M808" s="399"/>
      <c r="N808" s="399"/>
      <c r="O808" s="339"/>
      <c r="P808" s="531">
        <f t="shared" si="298"/>
        <v>23704</v>
      </c>
      <c r="Q808" s="531">
        <f t="shared" si="299"/>
        <v>480</v>
      </c>
      <c r="R808" s="531">
        <f t="shared" si="299"/>
        <v>24184</v>
      </c>
    </row>
    <row r="809" spans="2:18" x14ac:dyDescent="0.2">
      <c r="B809" s="171">
        <f t="shared" si="284"/>
        <v>453</v>
      </c>
      <c r="C809" s="130"/>
      <c r="D809" s="130"/>
      <c r="E809" s="134"/>
      <c r="F809" s="131" t="s">
        <v>213</v>
      </c>
      <c r="G809" s="194" t="s">
        <v>306</v>
      </c>
      <c r="H809" s="399">
        <v>500</v>
      </c>
      <c r="I809" s="399"/>
      <c r="J809" s="399">
        <f t="shared" si="289"/>
        <v>500</v>
      </c>
      <c r="K809" s="339"/>
      <c r="L809" s="399"/>
      <c r="M809" s="399"/>
      <c r="N809" s="399"/>
      <c r="O809" s="339"/>
      <c r="P809" s="168">
        <f t="shared" si="298"/>
        <v>500</v>
      </c>
      <c r="Q809" s="168">
        <f t="shared" si="299"/>
        <v>0</v>
      </c>
      <c r="R809" s="168">
        <f t="shared" si="299"/>
        <v>500</v>
      </c>
    </row>
    <row r="810" spans="2:18" x14ac:dyDescent="0.2">
      <c r="B810" s="171">
        <f t="shared" ref="B810:B873" si="301">B809+1</f>
        <v>454</v>
      </c>
      <c r="C810" s="130"/>
      <c r="D810" s="130"/>
      <c r="E810" s="134"/>
      <c r="F810" s="131" t="s">
        <v>199</v>
      </c>
      <c r="G810" s="194" t="s">
        <v>318</v>
      </c>
      <c r="H810" s="399">
        <v>6300</v>
      </c>
      <c r="I810" s="399"/>
      <c r="J810" s="399">
        <f t="shared" si="289"/>
        <v>6300</v>
      </c>
      <c r="K810" s="339"/>
      <c r="L810" s="399"/>
      <c r="M810" s="399"/>
      <c r="N810" s="399"/>
      <c r="O810" s="339"/>
      <c r="P810" s="168">
        <f t="shared" si="298"/>
        <v>6300</v>
      </c>
      <c r="Q810" s="168">
        <f t="shared" ref="Q810:R814" si="302">I810+M810</f>
        <v>0</v>
      </c>
      <c r="R810" s="168">
        <f t="shared" si="302"/>
        <v>6300</v>
      </c>
    </row>
    <row r="811" spans="2:18" x14ac:dyDescent="0.2">
      <c r="B811" s="171">
        <f t="shared" si="301"/>
        <v>455</v>
      </c>
      <c r="C811" s="130"/>
      <c r="D811" s="130"/>
      <c r="E811" s="134"/>
      <c r="F811" s="131" t="s">
        <v>200</v>
      </c>
      <c r="G811" s="194" t="s">
        <v>247</v>
      </c>
      <c r="H811" s="399">
        <v>2060</v>
      </c>
      <c r="I811" s="399"/>
      <c r="J811" s="399">
        <f t="shared" si="289"/>
        <v>2060</v>
      </c>
      <c r="K811" s="339"/>
      <c r="L811" s="399"/>
      <c r="M811" s="399"/>
      <c r="N811" s="399"/>
      <c r="O811" s="339"/>
      <c r="P811" s="168">
        <f t="shared" si="298"/>
        <v>2060</v>
      </c>
      <c r="Q811" s="168">
        <f t="shared" si="302"/>
        <v>0</v>
      </c>
      <c r="R811" s="168">
        <f t="shared" si="302"/>
        <v>2060</v>
      </c>
    </row>
    <row r="812" spans="2:18" x14ac:dyDescent="0.2">
      <c r="B812" s="171">
        <f t="shared" si="301"/>
        <v>456</v>
      </c>
      <c r="C812" s="130"/>
      <c r="D812" s="130"/>
      <c r="E812" s="134"/>
      <c r="F812" s="134">
        <v>635</v>
      </c>
      <c r="G812" s="194" t="s">
        <v>261</v>
      </c>
      <c r="H812" s="399">
        <v>435</v>
      </c>
      <c r="I812" s="399"/>
      <c r="J812" s="399">
        <f t="shared" si="289"/>
        <v>435</v>
      </c>
      <c r="K812" s="339"/>
      <c r="L812" s="399"/>
      <c r="M812" s="399"/>
      <c r="N812" s="399"/>
      <c r="O812" s="339"/>
      <c r="P812" s="168">
        <f t="shared" si="298"/>
        <v>435</v>
      </c>
      <c r="Q812" s="168">
        <f t="shared" si="302"/>
        <v>0</v>
      </c>
      <c r="R812" s="168">
        <f t="shared" si="302"/>
        <v>435</v>
      </c>
    </row>
    <row r="813" spans="2:18" x14ac:dyDescent="0.2">
      <c r="B813" s="171">
        <f t="shared" si="301"/>
        <v>457</v>
      </c>
      <c r="C813" s="130"/>
      <c r="D813" s="130"/>
      <c r="E813" s="134"/>
      <c r="F813" s="131" t="s">
        <v>216</v>
      </c>
      <c r="G813" s="194" t="s">
        <v>248</v>
      </c>
      <c r="H813" s="399">
        <f>7915+2364+4130</f>
        <v>14409</v>
      </c>
      <c r="I813" s="399">
        <v>480</v>
      </c>
      <c r="J813" s="399">
        <f t="shared" si="289"/>
        <v>14889</v>
      </c>
      <c r="K813" s="339"/>
      <c r="L813" s="399"/>
      <c r="M813" s="399"/>
      <c r="N813" s="399"/>
      <c r="O813" s="339"/>
      <c r="P813" s="168">
        <f t="shared" si="298"/>
        <v>14409</v>
      </c>
      <c r="Q813" s="168">
        <f t="shared" si="302"/>
        <v>480</v>
      </c>
      <c r="R813" s="168">
        <f t="shared" si="302"/>
        <v>14889</v>
      </c>
    </row>
    <row r="814" spans="2:18" x14ac:dyDescent="0.2">
      <c r="B814" s="171">
        <f t="shared" si="301"/>
        <v>458</v>
      </c>
      <c r="C814" s="130"/>
      <c r="D814" s="130"/>
      <c r="E814" s="134"/>
      <c r="F814" s="144" t="s">
        <v>217</v>
      </c>
      <c r="G814" s="199" t="s">
        <v>504</v>
      </c>
      <c r="H814" s="530">
        <v>400</v>
      </c>
      <c r="I814" s="530"/>
      <c r="J814" s="530">
        <f t="shared" si="289"/>
        <v>400</v>
      </c>
      <c r="K814" s="336"/>
      <c r="L814" s="530"/>
      <c r="M814" s="530"/>
      <c r="N814" s="530"/>
      <c r="O814" s="336"/>
      <c r="P814" s="531">
        <f t="shared" si="298"/>
        <v>400</v>
      </c>
      <c r="Q814" s="531">
        <f t="shared" si="302"/>
        <v>0</v>
      </c>
      <c r="R814" s="531">
        <f t="shared" si="302"/>
        <v>400</v>
      </c>
    </row>
    <row r="815" spans="2:18" x14ac:dyDescent="0.2">
      <c r="B815" s="171">
        <f t="shared" si="301"/>
        <v>459</v>
      </c>
      <c r="C815" s="130"/>
      <c r="D815" s="130"/>
      <c r="E815" s="134"/>
      <c r="F815" s="134"/>
      <c r="G815" s="199"/>
      <c r="H815" s="527"/>
      <c r="I815" s="527"/>
      <c r="J815" s="527">
        <f t="shared" si="289"/>
        <v>0</v>
      </c>
      <c r="K815" s="148"/>
      <c r="L815" s="527"/>
      <c r="M815" s="527"/>
      <c r="N815" s="527"/>
      <c r="O815" s="148"/>
      <c r="P815" s="168"/>
      <c r="Q815" s="168"/>
      <c r="R815" s="168"/>
    </row>
    <row r="816" spans="2:18" x14ac:dyDescent="0.2">
      <c r="B816" s="171">
        <f t="shared" si="301"/>
        <v>460</v>
      </c>
      <c r="C816" s="130"/>
      <c r="D816" s="130"/>
      <c r="E816" s="134"/>
      <c r="F816" s="285">
        <v>640</v>
      </c>
      <c r="G816" s="286" t="s">
        <v>396</v>
      </c>
      <c r="H816" s="435">
        <v>144129</v>
      </c>
      <c r="I816" s="435"/>
      <c r="J816" s="435">
        <f t="shared" si="289"/>
        <v>144129</v>
      </c>
      <c r="K816" s="132"/>
      <c r="L816" s="868"/>
      <c r="M816" s="868"/>
      <c r="N816" s="868"/>
      <c r="O816" s="132"/>
      <c r="P816" s="288">
        <f>H816+L816</f>
        <v>144129</v>
      </c>
      <c r="Q816" s="288">
        <f t="shared" ref="Q816:R817" si="303">I816+M816</f>
        <v>0</v>
      </c>
      <c r="R816" s="288">
        <f t="shared" si="303"/>
        <v>144129</v>
      </c>
    </row>
    <row r="817" spans="2:18" x14ac:dyDescent="0.2">
      <c r="B817" s="171">
        <f t="shared" si="301"/>
        <v>461</v>
      </c>
      <c r="C817" s="130"/>
      <c r="D817" s="130"/>
      <c r="E817" s="134"/>
      <c r="F817" s="285">
        <v>640</v>
      </c>
      <c r="G817" s="286" t="s">
        <v>397</v>
      </c>
      <c r="H817" s="428">
        <v>134195</v>
      </c>
      <c r="I817" s="428"/>
      <c r="J817" s="428">
        <f t="shared" si="289"/>
        <v>134195</v>
      </c>
      <c r="K817" s="132"/>
      <c r="L817" s="867"/>
      <c r="M817" s="867"/>
      <c r="N817" s="867"/>
      <c r="O817" s="132"/>
      <c r="P817" s="287">
        <f>H817+L817</f>
        <v>134195</v>
      </c>
      <c r="Q817" s="287">
        <f t="shared" si="303"/>
        <v>0</v>
      </c>
      <c r="R817" s="287">
        <f t="shared" si="303"/>
        <v>134195</v>
      </c>
    </row>
    <row r="818" spans="2:18" x14ac:dyDescent="0.2">
      <c r="B818" s="171">
        <f t="shared" si="301"/>
        <v>462</v>
      </c>
      <c r="C818" s="130"/>
      <c r="D818" s="130"/>
      <c r="E818" s="134"/>
      <c r="F818" s="134"/>
      <c r="G818" s="199"/>
      <c r="H818" s="388"/>
      <c r="I818" s="388"/>
      <c r="J818" s="388">
        <f t="shared" si="289"/>
        <v>0</v>
      </c>
      <c r="K818" s="132"/>
      <c r="L818" s="527"/>
      <c r="M818" s="527"/>
      <c r="N818" s="527"/>
      <c r="O818" s="132"/>
      <c r="P818" s="168"/>
      <c r="Q818" s="168"/>
      <c r="R818" s="168"/>
    </row>
    <row r="819" spans="2:18" ht="15.75" x14ac:dyDescent="0.25">
      <c r="B819" s="171">
        <f t="shared" si="301"/>
        <v>463</v>
      </c>
      <c r="C819" s="23">
        <v>4</v>
      </c>
      <c r="D819" s="127" t="s">
        <v>108</v>
      </c>
      <c r="E819" s="24"/>
      <c r="F819" s="24"/>
      <c r="G819" s="193"/>
      <c r="H819" s="413">
        <f>H820+H933+H1084+H1085+H1086+H1087</f>
        <v>1068162</v>
      </c>
      <c r="I819" s="413">
        <f t="shared" ref="I819" si="304">I820+I933+I1084+I1085+I1086+I1087</f>
        <v>-1000</v>
      </c>
      <c r="J819" s="413">
        <f t="shared" si="289"/>
        <v>1067162</v>
      </c>
      <c r="K819" s="347"/>
      <c r="L819" s="379">
        <f>L820+L933</f>
        <v>143480</v>
      </c>
      <c r="M819" s="379">
        <f>M820+M933</f>
        <v>2671</v>
      </c>
      <c r="N819" s="379">
        <f t="shared" ref="N819:N868" si="305">L819+M819</f>
        <v>146151</v>
      </c>
      <c r="O819" s="347"/>
      <c r="P819" s="390">
        <f t="shared" ref="P819:P882" si="306">H819+L819</f>
        <v>1211642</v>
      </c>
      <c r="Q819" s="390">
        <f t="shared" ref="Q819:R834" si="307">I819+M819</f>
        <v>1671</v>
      </c>
      <c r="R819" s="390">
        <f t="shared" si="307"/>
        <v>1213313</v>
      </c>
    </row>
    <row r="820" spans="2:18" ht="15" x14ac:dyDescent="0.25">
      <c r="B820" s="171">
        <f t="shared" si="301"/>
        <v>464</v>
      </c>
      <c r="C820" s="143"/>
      <c r="D820" s="144"/>
      <c r="E820" s="170" t="s">
        <v>413</v>
      </c>
      <c r="F820" s="144"/>
      <c r="G820" s="199"/>
      <c r="H820" s="424">
        <f>H821+H829+H837+H844+H851+H860+H868+H877+H885+H893+H901+H909+H917+H925</f>
        <v>345165</v>
      </c>
      <c r="I820" s="424">
        <f t="shared" ref="I820" si="308">I821+I829+I837+I844+I851+I860+I868+I877+I885+I893+I901+I909+I917+I925</f>
        <v>0</v>
      </c>
      <c r="J820" s="424">
        <f t="shared" si="289"/>
        <v>345165</v>
      </c>
      <c r="K820" s="334"/>
      <c r="L820" s="852">
        <f>L821+L829+L837+L844+L851+L860+L868+L877+L885+L893+L901+L909+L917+L925</f>
        <v>56980</v>
      </c>
      <c r="M820" s="869">
        <f>M821+M829+M837+M844+M851+M860+M868+M877+M885+M893+M901+M909+M917+M925</f>
        <v>2671</v>
      </c>
      <c r="N820" s="852">
        <f t="shared" si="305"/>
        <v>59651</v>
      </c>
      <c r="O820" s="334"/>
      <c r="P820" s="348">
        <f t="shared" si="306"/>
        <v>402145</v>
      </c>
      <c r="Q820" s="348">
        <f t="shared" si="307"/>
        <v>2671</v>
      </c>
      <c r="R820" s="348">
        <f t="shared" si="307"/>
        <v>404816</v>
      </c>
    </row>
    <row r="821" spans="2:18" ht="15" x14ac:dyDescent="0.25">
      <c r="B821" s="171">
        <f t="shared" si="301"/>
        <v>465</v>
      </c>
      <c r="C821" s="143"/>
      <c r="D821" s="261" t="s">
        <v>4</v>
      </c>
      <c r="E821" s="175" t="s">
        <v>404</v>
      </c>
      <c r="F821" s="147" t="s">
        <v>398</v>
      </c>
      <c r="G821" s="236"/>
      <c r="H821" s="425">
        <f>H822+H823+H824</f>
        <v>17337</v>
      </c>
      <c r="I821" s="425">
        <f t="shared" ref="I821" si="309">I822+I823+I824</f>
        <v>0</v>
      </c>
      <c r="J821" s="425">
        <f t="shared" ref="J821:J884" si="310">H821+I821</f>
        <v>17337</v>
      </c>
      <c r="K821" s="334"/>
      <c r="L821" s="854">
        <f>L828</f>
        <v>600</v>
      </c>
      <c r="M821" s="854">
        <f t="shared" ref="M821" si="311">M828</f>
        <v>0</v>
      </c>
      <c r="N821" s="854">
        <f t="shared" si="305"/>
        <v>600</v>
      </c>
      <c r="O821" s="334"/>
      <c r="P821" s="330">
        <f t="shared" si="306"/>
        <v>17937</v>
      </c>
      <c r="Q821" s="330">
        <f t="shared" si="307"/>
        <v>0</v>
      </c>
      <c r="R821" s="330">
        <f t="shared" si="307"/>
        <v>17937</v>
      </c>
    </row>
    <row r="822" spans="2:18" x14ac:dyDescent="0.2">
      <c r="B822" s="171">
        <f t="shared" si="301"/>
        <v>466</v>
      </c>
      <c r="C822" s="143"/>
      <c r="D822" s="144"/>
      <c r="E822" s="144"/>
      <c r="F822" s="144" t="s">
        <v>211</v>
      </c>
      <c r="G822" s="199" t="s">
        <v>505</v>
      </c>
      <c r="H822" s="530">
        <f>11520+576-883</f>
        <v>11213</v>
      </c>
      <c r="I822" s="530"/>
      <c r="J822" s="530">
        <f t="shared" si="310"/>
        <v>11213</v>
      </c>
      <c r="K822" s="336"/>
      <c r="L822" s="402"/>
      <c r="M822" s="402"/>
      <c r="N822" s="402"/>
      <c r="O822" s="336"/>
      <c r="P822" s="166">
        <f t="shared" si="306"/>
        <v>11213</v>
      </c>
      <c r="Q822" s="166">
        <f t="shared" si="307"/>
        <v>0</v>
      </c>
      <c r="R822" s="166">
        <f t="shared" si="307"/>
        <v>11213</v>
      </c>
    </row>
    <row r="823" spans="2:18" x14ac:dyDescent="0.2">
      <c r="B823" s="171">
        <f t="shared" si="301"/>
        <v>467</v>
      </c>
      <c r="C823" s="143"/>
      <c r="D823" s="144"/>
      <c r="E823" s="144"/>
      <c r="F823" s="144" t="s">
        <v>212</v>
      </c>
      <c r="G823" s="203" t="s">
        <v>259</v>
      </c>
      <c r="H823" s="530">
        <f>4117+206-229</f>
        <v>4094</v>
      </c>
      <c r="I823" s="530"/>
      <c r="J823" s="530">
        <f t="shared" si="310"/>
        <v>4094</v>
      </c>
      <c r="K823" s="336"/>
      <c r="L823" s="402"/>
      <c r="M823" s="402"/>
      <c r="N823" s="402"/>
      <c r="O823" s="336"/>
      <c r="P823" s="166">
        <f t="shared" si="306"/>
        <v>4094</v>
      </c>
      <c r="Q823" s="166">
        <f t="shared" si="307"/>
        <v>0</v>
      </c>
      <c r="R823" s="166">
        <f t="shared" si="307"/>
        <v>4094</v>
      </c>
    </row>
    <row r="824" spans="2:18" x14ac:dyDescent="0.2">
      <c r="B824" s="171">
        <f t="shared" si="301"/>
        <v>468</v>
      </c>
      <c r="C824" s="130"/>
      <c r="D824" s="131"/>
      <c r="E824" s="131"/>
      <c r="F824" s="144" t="s">
        <v>218</v>
      </c>
      <c r="G824" s="199" t="s">
        <v>340</v>
      </c>
      <c r="H824" s="530">
        <f>SUM(H825:H827)</f>
        <v>2030</v>
      </c>
      <c r="I824" s="530"/>
      <c r="J824" s="530">
        <f t="shared" si="310"/>
        <v>2030</v>
      </c>
      <c r="K824" s="339"/>
      <c r="L824" s="434"/>
      <c r="M824" s="434"/>
      <c r="N824" s="434"/>
      <c r="O824" s="339"/>
      <c r="P824" s="166">
        <f t="shared" si="306"/>
        <v>2030</v>
      </c>
      <c r="Q824" s="166">
        <f t="shared" si="307"/>
        <v>0</v>
      </c>
      <c r="R824" s="166">
        <f t="shared" si="307"/>
        <v>2030</v>
      </c>
    </row>
    <row r="825" spans="2:18" x14ac:dyDescent="0.2">
      <c r="B825" s="171">
        <f t="shared" si="301"/>
        <v>469</v>
      </c>
      <c r="C825" s="130"/>
      <c r="D825" s="131"/>
      <c r="E825" s="131"/>
      <c r="F825" s="131" t="s">
        <v>200</v>
      </c>
      <c r="G825" s="194" t="s">
        <v>247</v>
      </c>
      <c r="H825" s="399">
        <v>1170</v>
      </c>
      <c r="I825" s="399"/>
      <c r="J825" s="399">
        <f t="shared" si="310"/>
        <v>1170</v>
      </c>
      <c r="K825" s="339"/>
      <c r="L825" s="434"/>
      <c r="M825" s="434"/>
      <c r="N825" s="434"/>
      <c r="O825" s="339"/>
      <c r="P825" s="167">
        <f t="shared" si="306"/>
        <v>1170</v>
      </c>
      <c r="Q825" s="167">
        <f t="shared" si="307"/>
        <v>0</v>
      </c>
      <c r="R825" s="167">
        <f t="shared" si="307"/>
        <v>1170</v>
      </c>
    </row>
    <row r="826" spans="2:18" x14ac:dyDescent="0.2">
      <c r="B826" s="171">
        <f t="shared" si="301"/>
        <v>470</v>
      </c>
      <c r="C826" s="130"/>
      <c r="D826" s="131"/>
      <c r="E826" s="131"/>
      <c r="F826" s="131" t="s">
        <v>214</v>
      </c>
      <c r="G826" s="202" t="s">
        <v>261</v>
      </c>
      <c r="H826" s="399">
        <v>100</v>
      </c>
      <c r="I826" s="399"/>
      <c r="J826" s="399">
        <f t="shared" si="310"/>
        <v>100</v>
      </c>
      <c r="K826" s="339"/>
      <c r="L826" s="434"/>
      <c r="M826" s="434"/>
      <c r="N826" s="434"/>
      <c r="O826" s="339"/>
      <c r="P826" s="167">
        <f t="shared" si="306"/>
        <v>100</v>
      </c>
      <c r="Q826" s="167">
        <f t="shared" si="307"/>
        <v>0</v>
      </c>
      <c r="R826" s="167">
        <f t="shared" si="307"/>
        <v>100</v>
      </c>
    </row>
    <row r="827" spans="2:18" x14ac:dyDescent="0.2">
      <c r="B827" s="171">
        <f t="shared" si="301"/>
        <v>471</v>
      </c>
      <c r="C827" s="130"/>
      <c r="D827" s="131"/>
      <c r="E827" s="131"/>
      <c r="F827" s="131" t="s">
        <v>216</v>
      </c>
      <c r="G827" s="194" t="s">
        <v>248</v>
      </c>
      <c r="H827" s="399">
        <v>760</v>
      </c>
      <c r="I827" s="399"/>
      <c r="J827" s="399">
        <f t="shared" si="310"/>
        <v>760</v>
      </c>
      <c r="K827" s="339"/>
      <c r="L827" s="434"/>
      <c r="M827" s="434"/>
      <c r="N827" s="434"/>
      <c r="O827" s="339"/>
      <c r="P827" s="167">
        <f t="shared" si="306"/>
        <v>760</v>
      </c>
      <c r="Q827" s="167">
        <f t="shared" si="307"/>
        <v>0</v>
      </c>
      <c r="R827" s="167">
        <f t="shared" si="307"/>
        <v>760</v>
      </c>
    </row>
    <row r="828" spans="2:18" x14ac:dyDescent="0.2">
      <c r="B828" s="171">
        <f t="shared" si="301"/>
        <v>472</v>
      </c>
      <c r="C828" s="130"/>
      <c r="D828" s="131"/>
      <c r="E828" s="169"/>
      <c r="F828" s="144" t="s">
        <v>606</v>
      </c>
      <c r="G828" s="199" t="s">
        <v>725</v>
      </c>
      <c r="H828" s="399"/>
      <c r="I828" s="399"/>
      <c r="J828" s="399">
        <f t="shared" si="310"/>
        <v>0</v>
      </c>
      <c r="K828" s="339"/>
      <c r="L828" s="434">
        <v>600</v>
      </c>
      <c r="M828" s="434"/>
      <c r="N828" s="434">
        <f t="shared" si="305"/>
        <v>600</v>
      </c>
      <c r="O828" s="339"/>
      <c r="P828" s="166">
        <f t="shared" si="306"/>
        <v>600</v>
      </c>
      <c r="Q828" s="166">
        <f t="shared" si="307"/>
        <v>0</v>
      </c>
      <c r="R828" s="166">
        <f t="shared" si="307"/>
        <v>600</v>
      </c>
    </row>
    <row r="829" spans="2:18" ht="15" x14ac:dyDescent="0.25">
      <c r="B829" s="171">
        <f t="shared" si="301"/>
        <v>473</v>
      </c>
      <c r="C829" s="130"/>
      <c r="D829" s="261" t="s">
        <v>5</v>
      </c>
      <c r="E829" s="175" t="s">
        <v>404</v>
      </c>
      <c r="F829" s="147" t="s">
        <v>399</v>
      </c>
      <c r="G829" s="236"/>
      <c r="H829" s="425">
        <f>SUM(H830:H832)</f>
        <v>22395</v>
      </c>
      <c r="I829" s="425">
        <f t="shared" ref="I829" si="312">SUM(I830:I832)</f>
        <v>0</v>
      </c>
      <c r="J829" s="425">
        <f t="shared" si="310"/>
        <v>22395</v>
      </c>
      <c r="K829" s="334"/>
      <c r="L829" s="854">
        <f>L836</f>
        <v>2960</v>
      </c>
      <c r="M829" s="854">
        <f t="shared" ref="M829" si="313">M836</f>
        <v>0</v>
      </c>
      <c r="N829" s="854">
        <f t="shared" si="305"/>
        <v>2960</v>
      </c>
      <c r="O829" s="334"/>
      <c r="P829" s="330">
        <f t="shared" si="306"/>
        <v>25355</v>
      </c>
      <c r="Q829" s="330">
        <f t="shared" si="307"/>
        <v>0</v>
      </c>
      <c r="R829" s="330">
        <f t="shared" si="307"/>
        <v>25355</v>
      </c>
    </row>
    <row r="830" spans="2:18" x14ac:dyDescent="0.2">
      <c r="B830" s="171">
        <f t="shared" si="301"/>
        <v>474</v>
      </c>
      <c r="C830" s="130"/>
      <c r="D830" s="131"/>
      <c r="E830" s="131"/>
      <c r="F830" s="144" t="s">
        <v>211</v>
      </c>
      <c r="G830" s="199" t="s">
        <v>505</v>
      </c>
      <c r="H830" s="388">
        <f>13950+698+249</f>
        <v>14897</v>
      </c>
      <c r="I830" s="388"/>
      <c r="J830" s="388">
        <f t="shared" si="310"/>
        <v>14897</v>
      </c>
      <c r="K830" s="132"/>
      <c r="L830" s="528"/>
      <c r="M830" s="528"/>
      <c r="N830" s="528"/>
      <c r="O830" s="132"/>
      <c r="P830" s="166">
        <f t="shared" si="306"/>
        <v>14897</v>
      </c>
      <c r="Q830" s="166">
        <f t="shared" si="307"/>
        <v>0</v>
      </c>
      <c r="R830" s="166">
        <f t="shared" si="307"/>
        <v>14897</v>
      </c>
    </row>
    <row r="831" spans="2:18" x14ac:dyDescent="0.2">
      <c r="B831" s="171">
        <f t="shared" si="301"/>
        <v>475</v>
      </c>
      <c r="C831" s="130"/>
      <c r="D831" s="131"/>
      <c r="E831" s="131"/>
      <c r="F831" s="144" t="s">
        <v>212</v>
      </c>
      <c r="G831" s="199" t="s">
        <v>259</v>
      </c>
      <c r="H831" s="388">
        <f>5114+256-32</f>
        <v>5338</v>
      </c>
      <c r="I831" s="388"/>
      <c r="J831" s="388">
        <f t="shared" si="310"/>
        <v>5338</v>
      </c>
      <c r="K831" s="132"/>
      <c r="L831" s="528"/>
      <c r="M831" s="528"/>
      <c r="N831" s="528"/>
      <c r="O831" s="132"/>
      <c r="P831" s="166">
        <f t="shared" si="306"/>
        <v>5338</v>
      </c>
      <c r="Q831" s="166">
        <f t="shared" si="307"/>
        <v>0</v>
      </c>
      <c r="R831" s="166">
        <f t="shared" si="307"/>
        <v>5338</v>
      </c>
    </row>
    <row r="832" spans="2:18" x14ac:dyDescent="0.2">
      <c r="B832" s="171">
        <f t="shared" si="301"/>
        <v>476</v>
      </c>
      <c r="C832" s="130"/>
      <c r="D832" s="131"/>
      <c r="E832" s="131"/>
      <c r="F832" s="144" t="s">
        <v>218</v>
      </c>
      <c r="G832" s="199" t="s">
        <v>340</v>
      </c>
      <c r="H832" s="388">
        <f>SUM(H833:H835)</f>
        <v>2160</v>
      </c>
      <c r="I832" s="388"/>
      <c r="J832" s="388">
        <f t="shared" si="310"/>
        <v>2160</v>
      </c>
      <c r="K832" s="132"/>
      <c r="L832" s="528"/>
      <c r="M832" s="528"/>
      <c r="N832" s="528"/>
      <c r="O832" s="132"/>
      <c r="P832" s="166">
        <f t="shared" si="306"/>
        <v>2160</v>
      </c>
      <c r="Q832" s="166">
        <f t="shared" si="307"/>
        <v>0</v>
      </c>
      <c r="R832" s="166">
        <f t="shared" si="307"/>
        <v>2160</v>
      </c>
    </row>
    <row r="833" spans="2:18" x14ac:dyDescent="0.2">
      <c r="B833" s="171">
        <f t="shared" si="301"/>
        <v>477</v>
      </c>
      <c r="C833" s="130"/>
      <c r="D833" s="131"/>
      <c r="E833" s="131"/>
      <c r="F833" s="131" t="s">
        <v>200</v>
      </c>
      <c r="G833" s="194" t="s">
        <v>247</v>
      </c>
      <c r="H833" s="527">
        <v>1230</v>
      </c>
      <c r="I833" s="527"/>
      <c r="J833" s="527">
        <f t="shared" si="310"/>
        <v>1230</v>
      </c>
      <c r="K833" s="132"/>
      <c r="L833" s="528"/>
      <c r="M833" s="528"/>
      <c r="N833" s="528"/>
      <c r="O833" s="132"/>
      <c r="P833" s="167">
        <f t="shared" si="306"/>
        <v>1230</v>
      </c>
      <c r="Q833" s="167">
        <f t="shared" si="307"/>
        <v>0</v>
      </c>
      <c r="R833" s="167">
        <f t="shared" si="307"/>
        <v>1230</v>
      </c>
    </row>
    <row r="834" spans="2:18" x14ac:dyDescent="0.2">
      <c r="B834" s="171">
        <f t="shared" si="301"/>
        <v>478</v>
      </c>
      <c r="C834" s="130"/>
      <c r="D834" s="131"/>
      <c r="E834" s="131"/>
      <c r="F834" s="131" t="s">
        <v>214</v>
      </c>
      <c r="G834" s="194" t="s">
        <v>261</v>
      </c>
      <c r="H834" s="527">
        <v>100</v>
      </c>
      <c r="I834" s="527"/>
      <c r="J834" s="527">
        <f t="shared" si="310"/>
        <v>100</v>
      </c>
      <c r="K834" s="132"/>
      <c r="L834" s="528"/>
      <c r="M834" s="528"/>
      <c r="N834" s="528"/>
      <c r="O834" s="132"/>
      <c r="P834" s="167">
        <f t="shared" si="306"/>
        <v>100</v>
      </c>
      <c r="Q834" s="167">
        <f t="shared" si="307"/>
        <v>0</v>
      </c>
      <c r="R834" s="167">
        <f t="shared" si="307"/>
        <v>100</v>
      </c>
    </row>
    <row r="835" spans="2:18" x14ac:dyDescent="0.2">
      <c r="B835" s="171">
        <f t="shared" si="301"/>
        <v>479</v>
      </c>
      <c r="C835" s="130"/>
      <c r="D835" s="131"/>
      <c r="E835" s="131"/>
      <c r="F835" s="131" t="s">
        <v>216</v>
      </c>
      <c r="G835" s="194" t="s">
        <v>248</v>
      </c>
      <c r="H835" s="527">
        <v>830</v>
      </c>
      <c r="I835" s="527"/>
      <c r="J835" s="527">
        <f t="shared" si="310"/>
        <v>830</v>
      </c>
      <c r="K835" s="132"/>
      <c r="L835" s="528"/>
      <c r="M835" s="528"/>
      <c r="N835" s="528"/>
      <c r="O835" s="132"/>
      <c r="P835" s="167">
        <f t="shared" si="306"/>
        <v>830</v>
      </c>
      <c r="Q835" s="167">
        <f t="shared" ref="Q835:R850" si="314">I835+M835</f>
        <v>0</v>
      </c>
      <c r="R835" s="167">
        <f t="shared" si="314"/>
        <v>830</v>
      </c>
    </row>
    <row r="836" spans="2:18" x14ac:dyDescent="0.2">
      <c r="B836" s="171">
        <f t="shared" si="301"/>
        <v>480</v>
      </c>
      <c r="C836" s="130"/>
      <c r="D836" s="131"/>
      <c r="E836" s="169"/>
      <c r="F836" s="284" t="s">
        <v>606</v>
      </c>
      <c r="G836" s="203" t="s">
        <v>726</v>
      </c>
      <c r="H836" s="527"/>
      <c r="I836" s="527"/>
      <c r="J836" s="527">
        <f t="shared" si="310"/>
        <v>0</v>
      </c>
      <c r="K836" s="132"/>
      <c r="L836" s="396">
        <v>2960</v>
      </c>
      <c r="M836" s="396"/>
      <c r="N836" s="396">
        <f t="shared" si="305"/>
        <v>2960</v>
      </c>
      <c r="O836" s="132"/>
      <c r="P836" s="166">
        <f t="shared" si="306"/>
        <v>2960</v>
      </c>
      <c r="Q836" s="166">
        <f t="shared" si="314"/>
        <v>0</v>
      </c>
      <c r="R836" s="166">
        <f t="shared" si="314"/>
        <v>2960</v>
      </c>
    </row>
    <row r="837" spans="2:18" ht="15" x14ac:dyDescent="0.25">
      <c r="B837" s="171">
        <f t="shared" si="301"/>
        <v>481</v>
      </c>
      <c r="C837" s="130"/>
      <c r="D837" s="261" t="s">
        <v>6</v>
      </c>
      <c r="E837" s="175" t="s">
        <v>404</v>
      </c>
      <c r="F837" s="147" t="s">
        <v>400</v>
      </c>
      <c r="G837" s="236"/>
      <c r="H837" s="425">
        <f>SUM(H838:H840)</f>
        <v>16476</v>
      </c>
      <c r="I837" s="425">
        <f t="shared" ref="I837" si="315">SUM(I838:I840)</f>
        <v>0</v>
      </c>
      <c r="J837" s="425">
        <f t="shared" si="310"/>
        <v>16476</v>
      </c>
      <c r="K837" s="334"/>
      <c r="L837" s="854"/>
      <c r="M837" s="854"/>
      <c r="N837" s="854"/>
      <c r="O837" s="334"/>
      <c r="P837" s="330">
        <f t="shared" si="306"/>
        <v>16476</v>
      </c>
      <c r="Q837" s="330">
        <f t="shared" si="314"/>
        <v>0</v>
      </c>
      <c r="R837" s="330">
        <f t="shared" si="314"/>
        <v>16476</v>
      </c>
    </row>
    <row r="838" spans="2:18" x14ac:dyDescent="0.2">
      <c r="B838" s="171">
        <f t="shared" si="301"/>
        <v>482</v>
      </c>
      <c r="C838" s="130"/>
      <c r="D838" s="131"/>
      <c r="E838" s="131"/>
      <c r="F838" s="144" t="s">
        <v>211</v>
      </c>
      <c r="G838" s="199" t="s">
        <v>505</v>
      </c>
      <c r="H838" s="388">
        <f>13710+686-3795</f>
        <v>10601</v>
      </c>
      <c r="I838" s="388"/>
      <c r="J838" s="388">
        <f t="shared" si="310"/>
        <v>10601</v>
      </c>
      <c r="K838" s="132"/>
      <c r="L838" s="528"/>
      <c r="M838" s="528"/>
      <c r="N838" s="528"/>
      <c r="O838" s="132"/>
      <c r="P838" s="166">
        <f t="shared" si="306"/>
        <v>10601</v>
      </c>
      <c r="Q838" s="166">
        <f t="shared" si="314"/>
        <v>0</v>
      </c>
      <c r="R838" s="166">
        <f t="shared" si="314"/>
        <v>10601</v>
      </c>
    </row>
    <row r="839" spans="2:18" x14ac:dyDescent="0.2">
      <c r="B839" s="171">
        <f t="shared" si="301"/>
        <v>483</v>
      </c>
      <c r="C839" s="130"/>
      <c r="D839" s="131"/>
      <c r="E839" s="131"/>
      <c r="F839" s="144" t="s">
        <v>212</v>
      </c>
      <c r="G839" s="199" t="s">
        <v>259</v>
      </c>
      <c r="H839" s="388">
        <f>4924+246-1295</f>
        <v>3875</v>
      </c>
      <c r="I839" s="388"/>
      <c r="J839" s="388">
        <f t="shared" si="310"/>
        <v>3875</v>
      </c>
      <c r="K839" s="132"/>
      <c r="L839" s="528"/>
      <c r="M839" s="528"/>
      <c r="N839" s="528"/>
      <c r="O839" s="132"/>
      <c r="P839" s="166">
        <f t="shared" si="306"/>
        <v>3875</v>
      </c>
      <c r="Q839" s="166">
        <f t="shared" si="314"/>
        <v>0</v>
      </c>
      <c r="R839" s="166">
        <f t="shared" si="314"/>
        <v>3875</v>
      </c>
    </row>
    <row r="840" spans="2:18" x14ac:dyDescent="0.2">
      <c r="B840" s="171">
        <f t="shared" si="301"/>
        <v>484</v>
      </c>
      <c r="C840" s="130"/>
      <c r="D840" s="131"/>
      <c r="E840" s="131"/>
      <c r="F840" s="144" t="s">
        <v>218</v>
      </c>
      <c r="G840" s="199" t="s">
        <v>340</v>
      </c>
      <c r="H840" s="388">
        <f>SUM(H841:H843)</f>
        <v>2000</v>
      </c>
      <c r="I840" s="388"/>
      <c r="J840" s="388">
        <f t="shared" si="310"/>
        <v>2000</v>
      </c>
      <c r="K840" s="132"/>
      <c r="L840" s="528"/>
      <c r="M840" s="528"/>
      <c r="N840" s="528"/>
      <c r="O840" s="132"/>
      <c r="P840" s="166">
        <f t="shared" si="306"/>
        <v>2000</v>
      </c>
      <c r="Q840" s="166">
        <f t="shared" si="314"/>
        <v>0</v>
      </c>
      <c r="R840" s="166">
        <f t="shared" si="314"/>
        <v>2000</v>
      </c>
    </row>
    <row r="841" spans="2:18" x14ac:dyDescent="0.2">
      <c r="B841" s="171">
        <f t="shared" si="301"/>
        <v>485</v>
      </c>
      <c r="C841" s="130"/>
      <c r="D841" s="131"/>
      <c r="E841" s="131"/>
      <c r="F841" s="131" t="s">
        <v>200</v>
      </c>
      <c r="G841" s="194" t="s">
        <v>247</v>
      </c>
      <c r="H841" s="527">
        <v>1020</v>
      </c>
      <c r="I841" s="527"/>
      <c r="J841" s="527">
        <f t="shared" si="310"/>
        <v>1020</v>
      </c>
      <c r="K841" s="132"/>
      <c r="L841" s="528"/>
      <c r="M841" s="528"/>
      <c r="N841" s="528"/>
      <c r="O841" s="132"/>
      <c r="P841" s="167">
        <f t="shared" si="306"/>
        <v>1020</v>
      </c>
      <c r="Q841" s="167">
        <f t="shared" si="314"/>
        <v>0</v>
      </c>
      <c r="R841" s="167">
        <f t="shared" si="314"/>
        <v>1020</v>
      </c>
    </row>
    <row r="842" spans="2:18" x14ac:dyDescent="0.2">
      <c r="B842" s="171">
        <f t="shared" si="301"/>
        <v>486</v>
      </c>
      <c r="C842" s="130"/>
      <c r="D842" s="131"/>
      <c r="E842" s="131"/>
      <c r="F842" s="131" t="s">
        <v>214</v>
      </c>
      <c r="G842" s="194" t="s">
        <v>261</v>
      </c>
      <c r="H842" s="527">
        <v>100</v>
      </c>
      <c r="I842" s="527"/>
      <c r="J842" s="527">
        <f t="shared" si="310"/>
        <v>100</v>
      </c>
      <c r="K842" s="132"/>
      <c r="L842" s="528"/>
      <c r="M842" s="528"/>
      <c r="N842" s="528"/>
      <c r="O842" s="132"/>
      <c r="P842" s="167">
        <f t="shared" si="306"/>
        <v>100</v>
      </c>
      <c r="Q842" s="167">
        <f t="shared" si="314"/>
        <v>0</v>
      </c>
      <c r="R842" s="167">
        <f t="shared" si="314"/>
        <v>100</v>
      </c>
    </row>
    <row r="843" spans="2:18" x14ac:dyDescent="0.2">
      <c r="B843" s="171">
        <f t="shared" si="301"/>
        <v>487</v>
      </c>
      <c r="C843" s="130"/>
      <c r="D843" s="131"/>
      <c r="E843" s="131"/>
      <c r="F843" s="131" t="s">
        <v>216</v>
      </c>
      <c r="G843" s="194" t="s">
        <v>248</v>
      </c>
      <c r="H843" s="527">
        <v>880</v>
      </c>
      <c r="I843" s="527"/>
      <c r="J843" s="527">
        <f t="shared" si="310"/>
        <v>880</v>
      </c>
      <c r="K843" s="132"/>
      <c r="L843" s="528"/>
      <c r="M843" s="528"/>
      <c r="N843" s="528"/>
      <c r="O843" s="132"/>
      <c r="P843" s="167">
        <f t="shared" si="306"/>
        <v>880</v>
      </c>
      <c r="Q843" s="167">
        <f t="shared" si="314"/>
        <v>0</v>
      </c>
      <c r="R843" s="167">
        <f t="shared" si="314"/>
        <v>880</v>
      </c>
    </row>
    <row r="844" spans="2:18" ht="15" x14ac:dyDescent="0.25">
      <c r="B844" s="171">
        <f t="shared" si="301"/>
        <v>488</v>
      </c>
      <c r="C844" s="130"/>
      <c r="D844" s="261" t="s">
        <v>7</v>
      </c>
      <c r="E844" s="175" t="s">
        <v>404</v>
      </c>
      <c r="F844" s="147" t="s">
        <v>401</v>
      </c>
      <c r="G844" s="236"/>
      <c r="H844" s="425">
        <f>SUM(H845:H847)</f>
        <v>20860</v>
      </c>
      <c r="I844" s="425">
        <f t="shared" ref="I844" si="316">SUM(I845:I847)</f>
        <v>0</v>
      </c>
      <c r="J844" s="425">
        <f t="shared" si="310"/>
        <v>20860</v>
      </c>
      <c r="K844" s="334"/>
      <c r="L844" s="854"/>
      <c r="M844" s="854"/>
      <c r="N844" s="854"/>
      <c r="O844" s="334"/>
      <c r="P844" s="330">
        <f t="shared" si="306"/>
        <v>20860</v>
      </c>
      <c r="Q844" s="330">
        <f t="shared" si="314"/>
        <v>0</v>
      </c>
      <c r="R844" s="330">
        <f t="shared" si="314"/>
        <v>20860</v>
      </c>
    </row>
    <row r="845" spans="2:18" x14ac:dyDescent="0.2">
      <c r="B845" s="171">
        <f t="shared" si="301"/>
        <v>489</v>
      </c>
      <c r="C845" s="130"/>
      <c r="D845" s="131"/>
      <c r="E845" s="131"/>
      <c r="F845" s="144" t="s">
        <v>211</v>
      </c>
      <c r="G845" s="199" t="s">
        <v>505</v>
      </c>
      <c r="H845" s="388">
        <f>19220+961-6491</f>
        <v>13690</v>
      </c>
      <c r="I845" s="388"/>
      <c r="J845" s="388">
        <f t="shared" si="310"/>
        <v>13690</v>
      </c>
      <c r="K845" s="132"/>
      <c r="L845" s="528"/>
      <c r="M845" s="528"/>
      <c r="N845" s="528"/>
      <c r="O845" s="132"/>
      <c r="P845" s="166">
        <f t="shared" si="306"/>
        <v>13690</v>
      </c>
      <c r="Q845" s="166">
        <f t="shared" si="314"/>
        <v>0</v>
      </c>
      <c r="R845" s="166">
        <f t="shared" si="314"/>
        <v>13690</v>
      </c>
    </row>
    <row r="846" spans="2:18" x14ac:dyDescent="0.2">
      <c r="B846" s="171">
        <f t="shared" si="301"/>
        <v>490</v>
      </c>
      <c r="C846" s="130"/>
      <c r="D846" s="131"/>
      <c r="E846" s="131"/>
      <c r="F846" s="144" t="s">
        <v>212</v>
      </c>
      <c r="G846" s="199" t="s">
        <v>259</v>
      </c>
      <c r="H846" s="388">
        <f>7171+359-2550</f>
        <v>4980</v>
      </c>
      <c r="I846" s="388"/>
      <c r="J846" s="388">
        <f t="shared" si="310"/>
        <v>4980</v>
      </c>
      <c r="K846" s="132"/>
      <c r="L846" s="528"/>
      <c r="M846" s="528"/>
      <c r="N846" s="528"/>
      <c r="O846" s="132"/>
      <c r="P846" s="166">
        <f t="shared" si="306"/>
        <v>4980</v>
      </c>
      <c r="Q846" s="166">
        <f t="shared" si="314"/>
        <v>0</v>
      </c>
      <c r="R846" s="166">
        <f t="shared" si="314"/>
        <v>4980</v>
      </c>
    </row>
    <row r="847" spans="2:18" x14ac:dyDescent="0.2">
      <c r="B847" s="171">
        <f t="shared" si="301"/>
        <v>491</v>
      </c>
      <c r="C847" s="130"/>
      <c r="D847" s="131"/>
      <c r="E847" s="131"/>
      <c r="F847" s="144" t="s">
        <v>218</v>
      </c>
      <c r="G847" s="199" t="s">
        <v>340</v>
      </c>
      <c r="H847" s="388">
        <f>SUM(H848:H850)</f>
        <v>2190</v>
      </c>
      <c r="I847" s="388"/>
      <c r="J847" s="388">
        <f t="shared" si="310"/>
        <v>2190</v>
      </c>
      <c r="K847" s="132"/>
      <c r="L847" s="528"/>
      <c r="M847" s="528"/>
      <c r="N847" s="528"/>
      <c r="O847" s="132"/>
      <c r="P847" s="166">
        <f t="shared" si="306"/>
        <v>2190</v>
      </c>
      <c r="Q847" s="166">
        <f t="shared" si="314"/>
        <v>0</v>
      </c>
      <c r="R847" s="166">
        <f t="shared" si="314"/>
        <v>2190</v>
      </c>
    </row>
    <row r="848" spans="2:18" x14ac:dyDescent="0.2">
      <c r="B848" s="171">
        <f t="shared" si="301"/>
        <v>492</v>
      </c>
      <c r="C848" s="130"/>
      <c r="D848" s="131"/>
      <c r="E848" s="131"/>
      <c r="F848" s="131" t="s">
        <v>200</v>
      </c>
      <c r="G848" s="194" t="s">
        <v>247</v>
      </c>
      <c r="H848" s="527">
        <v>1380</v>
      </c>
      <c r="I848" s="527"/>
      <c r="J848" s="527">
        <f t="shared" si="310"/>
        <v>1380</v>
      </c>
      <c r="K848" s="132"/>
      <c r="L848" s="528"/>
      <c r="M848" s="528"/>
      <c r="N848" s="528"/>
      <c r="O848" s="132"/>
      <c r="P848" s="167">
        <f t="shared" si="306"/>
        <v>1380</v>
      </c>
      <c r="Q848" s="167">
        <f t="shared" si="314"/>
        <v>0</v>
      </c>
      <c r="R848" s="167">
        <f t="shared" si="314"/>
        <v>1380</v>
      </c>
    </row>
    <row r="849" spans="2:18" x14ac:dyDescent="0.2">
      <c r="B849" s="171">
        <f t="shared" si="301"/>
        <v>493</v>
      </c>
      <c r="C849" s="130"/>
      <c r="D849" s="131"/>
      <c r="E849" s="131"/>
      <c r="F849" s="131" t="s">
        <v>214</v>
      </c>
      <c r="G849" s="194" t="s">
        <v>261</v>
      </c>
      <c r="H849" s="527">
        <v>100</v>
      </c>
      <c r="I849" s="527"/>
      <c r="J849" s="527">
        <f t="shared" si="310"/>
        <v>100</v>
      </c>
      <c r="K849" s="132"/>
      <c r="L849" s="528"/>
      <c r="M849" s="528"/>
      <c r="N849" s="528"/>
      <c r="O849" s="132"/>
      <c r="P849" s="167">
        <f t="shared" si="306"/>
        <v>100</v>
      </c>
      <c r="Q849" s="167">
        <f t="shared" si="314"/>
        <v>0</v>
      </c>
      <c r="R849" s="167">
        <f t="shared" si="314"/>
        <v>100</v>
      </c>
    </row>
    <row r="850" spans="2:18" x14ac:dyDescent="0.2">
      <c r="B850" s="171">
        <f t="shared" si="301"/>
        <v>494</v>
      </c>
      <c r="C850" s="130"/>
      <c r="D850" s="131"/>
      <c r="E850" s="131"/>
      <c r="F850" s="131" t="s">
        <v>216</v>
      </c>
      <c r="G850" s="194" t="s">
        <v>248</v>
      </c>
      <c r="H850" s="527">
        <v>710</v>
      </c>
      <c r="I850" s="527"/>
      <c r="J850" s="527">
        <f t="shared" si="310"/>
        <v>710</v>
      </c>
      <c r="K850" s="132"/>
      <c r="L850" s="528"/>
      <c r="M850" s="528"/>
      <c r="N850" s="528"/>
      <c r="O850" s="132"/>
      <c r="P850" s="167">
        <f t="shared" si="306"/>
        <v>710</v>
      </c>
      <c r="Q850" s="167">
        <f t="shared" si="314"/>
        <v>0</v>
      </c>
      <c r="R850" s="167">
        <f t="shared" si="314"/>
        <v>710</v>
      </c>
    </row>
    <row r="851" spans="2:18" ht="15" x14ac:dyDescent="0.25">
      <c r="B851" s="171">
        <f t="shared" si="301"/>
        <v>495</v>
      </c>
      <c r="C851" s="130"/>
      <c r="D851" s="261" t="s">
        <v>8</v>
      </c>
      <c r="E851" s="175" t="s">
        <v>404</v>
      </c>
      <c r="F851" s="147" t="s">
        <v>402</v>
      </c>
      <c r="G851" s="236"/>
      <c r="H851" s="488">
        <f>SUM(H852:H854)+H858</f>
        <v>27320</v>
      </c>
      <c r="I851" s="488">
        <f t="shared" ref="I851" si="317">SUM(I852:I854)+I858</f>
        <v>0</v>
      </c>
      <c r="J851" s="488">
        <f t="shared" si="310"/>
        <v>27320</v>
      </c>
      <c r="K851" s="334"/>
      <c r="L851" s="854">
        <f>L859</f>
        <v>3120</v>
      </c>
      <c r="M851" s="854">
        <f t="shared" ref="M851" si="318">M859</f>
        <v>2356</v>
      </c>
      <c r="N851" s="854">
        <f t="shared" si="305"/>
        <v>5476</v>
      </c>
      <c r="O851" s="334"/>
      <c r="P851" s="330">
        <f t="shared" si="306"/>
        <v>30440</v>
      </c>
      <c r="Q851" s="330">
        <f t="shared" ref="Q851:R866" si="319">I851+M851</f>
        <v>2356</v>
      </c>
      <c r="R851" s="330">
        <f t="shared" si="319"/>
        <v>32796</v>
      </c>
    </row>
    <row r="852" spans="2:18" x14ac:dyDescent="0.2">
      <c r="B852" s="171">
        <f t="shared" si="301"/>
        <v>496</v>
      </c>
      <c r="C852" s="130"/>
      <c r="D852" s="131"/>
      <c r="E852" s="131"/>
      <c r="F852" s="144" t="s">
        <v>211</v>
      </c>
      <c r="G852" s="199" t="s">
        <v>505</v>
      </c>
      <c r="H852" s="388">
        <f>15885+794+226</f>
        <v>16905</v>
      </c>
      <c r="I852" s="388"/>
      <c r="J852" s="388">
        <f t="shared" si="310"/>
        <v>16905</v>
      </c>
      <c r="K852" s="132"/>
      <c r="L852" s="528"/>
      <c r="M852" s="528"/>
      <c r="N852" s="528"/>
      <c r="O852" s="132"/>
      <c r="P852" s="166">
        <f t="shared" si="306"/>
        <v>16905</v>
      </c>
      <c r="Q852" s="166">
        <f t="shared" si="319"/>
        <v>0</v>
      </c>
      <c r="R852" s="166">
        <f t="shared" si="319"/>
        <v>16905</v>
      </c>
    </row>
    <row r="853" spans="2:18" x14ac:dyDescent="0.2">
      <c r="B853" s="171">
        <f t="shared" si="301"/>
        <v>497</v>
      </c>
      <c r="C853" s="130"/>
      <c r="D853" s="131"/>
      <c r="E853" s="131"/>
      <c r="F853" s="144" t="s">
        <v>212</v>
      </c>
      <c r="G853" s="199" t="s">
        <v>259</v>
      </c>
      <c r="H853" s="388">
        <f>5854+293-443</f>
        <v>5704</v>
      </c>
      <c r="I853" s="388"/>
      <c r="J853" s="388">
        <f t="shared" si="310"/>
        <v>5704</v>
      </c>
      <c r="K853" s="132"/>
      <c r="L853" s="528"/>
      <c r="M853" s="528"/>
      <c r="N853" s="528"/>
      <c r="O853" s="132"/>
      <c r="P853" s="166">
        <f t="shared" si="306"/>
        <v>5704</v>
      </c>
      <c r="Q853" s="166">
        <f t="shared" si="319"/>
        <v>0</v>
      </c>
      <c r="R853" s="166">
        <f t="shared" si="319"/>
        <v>5704</v>
      </c>
    </row>
    <row r="854" spans="2:18" x14ac:dyDescent="0.2">
      <c r="B854" s="171">
        <f t="shared" si="301"/>
        <v>498</v>
      </c>
      <c r="C854" s="130"/>
      <c r="D854" s="131"/>
      <c r="E854" s="131"/>
      <c r="F854" s="144" t="s">
        <v>218</v>
      </c>
      <c r="G854" s="199" t="s">
        <v>340</v>
      </c>
      <c r="H854" s="388">
        <f>SUM(H855:H857)</f>
        <v>2170</v>
      </c>
      <c r="I854" s="388"/>
      <c r="J854" s="388">
        <f t="shared" si="310"/>
        <v>2170</v>
      </c>
      <c r="K854" s="132"/>
      <c r="L854" s="528"/>
      <c r="M854" s="528"/>
      <c r="N854" s="528"/>
      <c r="O854" s="132"/>
      <c r="P854" s="166">
        <f t="shared" si="306"/>
        <v>2170</v>
      </c>
      <c r="Q854" s="166">
        <f t="shared" si="319"/>
        <v>0</v>
      </c>
      <c r="R854" s="166">
        <f t="shared" si="319"/>
        <v>2170</v>
      </c>
    </row>
    <row r="855" spans="2:18" x14ac:dyDescent="0.2">
      <c r="B855" s="171">
        <f t="shared" si="301"/>
        <v>499</v>
      </c>
      <c r="C855" s="130"/>
      <c r="D855" s="131"/>
      <c r="E855" s="131"/>
      <c r="F855" s="131" t="s">
        <v>200</v>
      </c>
      <c r="G855" s="194" t="s">
        <v>247</v>
      </c>
      <c r="H855" s="527">
        <v>1230</v>
      </c>
      <c r="I855" s="527"/>
      <c r="J855" s="527">
        <f t="shared" si="310"/>
        <v>1230</v>
      </c>
      <c r="K855" s="132"/>
      <c r="L855" s="528"/>
      <c r="M855" s="528"/>
      <c r="N855" s="528"/>
      <c r="O855" s="132"/>
      <c r="P855" s="168">
        <f t="shared" si="306"/>
        <v>1230</v>
      </c>
      <c r="Q855" s="168">
        <f t="shared" si="319"/>
        <v>0</v>
      </c>
      <c r="R855" s="168">
        <f t="shared" si="319"/>
        <v>1230</v>
      </c>
    </row>
    <row r="856" spans="2:18" x14ac:dyDescent="0.2">
      <c r="B856" s="171">
        <f t="shared" si="301"/>
        <v>500</v>
      </c>
      <c r="C856" s="130"/>
      <c r="D856" s="131"/>
      <c r="E856" s="131"/>
      <c r="F856" s="131" t="s">
        <v>214</v>
      </c>
      <c r="G856" s="194" t="s">
        <v>261</v>
      </c>
      <c r="H856" s="527">
        <v>100</v>
      </c>
      <c r="I856" s="527"/>
      <c r="J856" s="527">
        <f t="shared" si="310"/>
        <v>100</v>
      </c>
      <c r="K856" s="132"/>
      <c r="L856" s="528"/>
      <c r="M856" s="528"/>
      <c r="N856" s="528"/>
      <c r="O856" s="132"/>
      <c r="P856" s="168">
        <f t="shared" si="306"/>
        <v>100</v>
      </c>
      <c r="Q856" s="168">
        <f t="shared" si="319"/>
        <v>0</v>
      </c>
      <c r="R856" s="168">
        <f t="shared" si="319"/>
        <v>100</v>
      </c>
    </row>
    <row r="857" spans="2:18" x14ac:dyDescent="0.2">
      <c r="B857" s="171">
        <f t="shared" si="301"/>
        <v>501</v>
      </c>
      <c r="C857" s="130"/>
      <c r="D857" s="131"/>
      <c r="E857" s="131"/>
      <c r="F857" s="131" t="s">
        <v>216</v>
      </c>
      <c r="G857" s="194" t="s">
        <v>248</v>
      </c>
      <c r="H857" s="382">
        <v>840</v>
      </c>
      <c r="I857" s="382"/>
      <c r="J857" s="382">
        <f t="shared" si="310"/>
        <v>840</v>
      </c>
      <c r="K857" s="181"/>
      <c r="L857" s="527"/>
      <c r="M857" s="527"/>
      <c r="N857" s="527"/>
      <c r="O857" s="132"/>
      <c r="P857" s="168">
        <f t="shared" si="306"/>
        <v>840</v>
      </c>
      <c r="Q857" s="168">
        <f t="shared" si="319"/>
        <v>0</v>
      </c>
      <c r="R857" s="168">
        <f t="shared" si="319"/>
        <v>840</v>
      </c>
    </row>
    <row r="858" spans="2:18" x14ac:dyDescent="0.2">
      <c r="B858" s="171">
        <f t="shared" si="301"/>
        <v>502</v>
      </c>
      <c r="C858" s="130"/>
      <c r="D858" s="131"/>
      <c r="E858" s="169"/>
      <c r="F858" s="144" t="s">
        <v>217</v>
      </c>
      <c r="G858" s="199" t="s">
        <v>504</v>
      </c>
      <c r="H858" s="432">
        <f>780+1761</f>
        <v>2541</v>
      </c>
      <c r="I858" s="432"/>
      <c r="J858" s="432">
        <f t="shared" si="310"/>
        <v>2541</v>
      </c>
      <c r="K858" s="132"/>
      <c r="L858" s="527"/>
      <c r="M858" s="527"/>
      <c r="N858" s="527"/>
      <c r="O858" s="132"/>
      <c r="P858" s="168">
        <f t="shared" si="306"/>
        <v>2541</v>
      </c>
      <c r="Q858" s="168">
        <f t="shared" si="319"/>
        <v>0</v>
      </c>
      <c r="R858" s="168">
        <f t="shared" si="319"/>
        <v>2541</v>
      </c>
    </row>
    <row r="859" spans="2:18" x14ac:dyDescent="0.2">
      <c r="B859" s="171">
        <f t="shared" si="301"/>
        <v>503</v>
      </c>
      <c r="C859" s="130"/>
      <c r="D859" s="131"/>
      <c r="E859" s="169"/>
      <c r="F859" s="436" t="s">
        <v>606</v>
      </c>
      <c r="G859" s="489" t="s">
        <v>727</v>
      </c>
      <c r="H859" s="382"/>
      <c r="I859" s="382"/>
      <c r="J859" s="382">
        <f t="shared" si="310"/>
        <v>0</v>
      </c>
      <c r="K859" s="132"/>
      <c r="L859" s="388">
        <v>3120</v>
      </c>
      <c r="M859" s="388">
        <v>2356</v>
      </c>
      <c r="N859" s="388">
        <f t="shared" si="305"/>
        <v>5476</v>
      </c>
      <c r="O859" s="132"/>
      <c r="P859" s="531">
        <f t="shared" si="306"/>
        <v>3120</v>
      </c>
      <c r="Q859" s="531">
        <f t="shared" si="319"/>
        <v>2356</v>
      </c>
      <c r="R859" s="531">
        <f t="shared" si="319"/>
        <v>5476</v>
      </c>
    </row>
    <row r="860" spans="2:18" ht="15" x14ac:dyDescent="0.25">
      <c r="B860" s="171">
        <f t="shared" si="301"/>
        <v>504</v>
      </c>
      <c r="C860" s="130"/>
      <c r="D860" s="261" t="s">
        <v>169</v>
      </c>
      <c r="E860" s="175" t="s">
        <v>404</v>
      </c>
      <c r="F860" s="147" t="s">
        <v>403</v>
      </c>
      <c r="G860" s="236"/>
      <c r="H860" s="425">
        <f>SUM(H861:H863)</f>
        <v>35553</v>
      </c>
      <c r="I860" s="425">
        <f t="shared" ref="I860" si="320">SUM(I861:I863)</f>
        <v>0</v>
      </c>
      <c r="J860" s="425">
        <f t="shared" si="310"/>
        <v>35553</v>
      </c>
      <c r="K860" s="334"/>
      <c r="L860" s="426">
        <f>L867</f>
        <v>13900</v>
      </c>
      <c r="M860" s="426">
        <f t="shared" ref="M860" si="321">M867</f>
        <v>0</v>
      </c>
      <c r="N860" s="426">
        <f t="shared" si="305"/>
        <v>13900</v>
      </c>
      <c r="O860" s="334"/>
      <c r="P860" s="345">
        <f t="shared" si="306"/>
        <v>49453</v>
      </c>
      <c r="Q860" s="345">
        <f t="shared" si="319"/>
        <v>0</v>
      </c>
      <c r="R860" s="345">
        <f t="shared" si="319"/>
        <v>49453</v>
      </c>
    </row>
    <row r="861" spans="2:18" x14ac:dyDescent="0.2">
      <c r="B861" s="171">
        <f t="shared" si="301"/>
        <v>505</v>
      </c>
      <c r="C861" s="130"/>
      <c r="D861" s="131"/>
      <c r="E861" s="131"/>
      <c r="F861" s="144" t="s">
        <v>211</v>
      </c>
      <c r="G861" s="199" t="s">
        <v>505</v>
      </c>
      <c r="H861" s="388">
        <f>24295+1215-1461</f>
        <v>24049</v>
      </c>
      <c r="I861" s="388"/>
      <c r="J861" s="388">
        <f t="shared" si="310"/>
        <v>24049</v>
      </c>
      <c r="K861" s="132"/>
      <c r="L861" s="527"/>
      <c r="M861" s="527"/>
      <c r="N861" s="527"/>
      <c r="O861" s="132"/>
      <c r="P861" s="166">
        <f t="shared" si="306"/>
        <v>24049</v>
      </c>
      <c r="Q861" s="166">
        <f t="shared" si="319"/>
        <v>0</v>
      </c>
      <c r="R861" s="166">
        <f t="shared" si="319"/>
        <v>24049</v>
      </c>
    </row>
    <row r="862" spans="2:18" x14ac:dyDescent="0.2">
      <c r="B862" s="171">
        <f t="shared" si="301"/>
        <v>506</v>
      </c>
      <c r="C862" s="130"/>
      <c r="D862" s="131"/>
      <c r="E862" s="131"/>
      <c r="F862" s="144" t="s">
        <v>212</v>
      </c>
      <c r="G862" s="199" t="s">
        <v>259</v>
      </c>
      <c r="H862" s="388">
        <f>9091+455-842</f>
        <v>8704</v>
      </c>
      <c r="I862" s="388"/>
      <c r="J862" s="388">
        <f t="shared" si="310"/>
        <v>8704</v>
      </c>
      <c r="K862" s="132"/>
      <c r="L862" s="527"/>
      <c r="M862" s="527"/>
      <c r="N862" s="527"/>
      <c r="O862" s="132"/>
      <c r="P862" s="166">
        <f t="shared" si="306"/>
        <v>8704</v>
      </c>
      <c r="Q862" s="166">
        <f t="shared" si="319"/>
        <v>0</v>
      </c>
      <c r="R862" s="166">
        <f t="shared" si="319"/>
        <v>8704</v>
      </c>
    </row>
    <row r="863" spans="2:18" x14ac:dyDescent="0.2">
      <c r="B863" s="171">
        <f t="shared" si="301"/>
        <v>507</v>
      </c>
      <c r="C863" s="130"/>
      <c r="D863" s="131"/>
      <c r="E863" s="131"/>
      <c r="F863" s="144" t="s">
        <v>218</v>
      </c>
      <c r="G863" s="199" t="s">
        <v>340</v>
      </c>
      <c r="H863" s="388">
        <f>SUM(H864:H866)</f>
        <v>2800</v>
      </c>
      <c r="I863" s="388"/>
      <c r="J863" s="388">
        <f t="shared" si="310"/>
        <v>2800</v>
      </c>
      <c r="K863" s="132"/>
      <c r="L863" s="528"/>
      <c r="M863" s="528"/>
      <c r="N863" s="528"/>
      <c r="O863" s="132"/>
      <c r="P863" s="166">
        <f t="shared" si="306"/>
        <v>2800</v>
      </c>
      <c r="Q863" s="166">
        <f t="shared" si="319"/>
        <v>0</v>
      </c>
      <c r="R863" s="166">
        <f t="shared" si="319"/>
        <v>2800</v>
      </c>
    </row>
    <row r="864" spans="2:18" x14ac:dyDescent="0.2">
      <c r="B864" s="171">
        <f t="shared" si="301"/>
        <v>508</v>
      </c>
      <c r="C864" s="130"/>
      <c r="D864" s="131"/>
      <c r="E864" s="131"/>
      <c r="F864" s="131" t="s">
        <v>200</v>
      </c>
      <c r="G864" s="194" t="s">
        <v>247</v>
      </c>
      <c r="H864" s="527">
        <v>1750</v>
      </c>
      <c r="I864" s="527"/>
      <c r="J864" s="527">
        <f t="shared" si="310"/>
        <v>1750</v>
      </c>
      <c r="K864" s="132"/>
      <c r="L864" s="528"/>
      <c r="M864" s="528"/>
      <c r="N864" s="528"/>
      <c r="O864" s="132"/>
      <c r="P864" s="167">
        <f t="shared" si="306"/>
        <v>1750</v>
      </c>
      <c r="Q864" s="167">
        <f t="shared" si="319"/>
        <v>0</v>
      </c>
      <c r="R864" s="167">
        <f t="shared" si="319"/>
        <v>1750</v>
      </c>
    </row>
    <row r="865" spans="2:18" x14ac:dyDescent="0.2">
      <c r="B865" s="171">
        <f t="shared" si="301"/>
        <v>509</v>
      </c>
      <c r="C865" s="130"/>
      <c r="D865" s="131"/>
      <c r="E865" s="131"/>
      <c r="F865" s="131" t="s">
        <v>214</v>
      </c>
      <c r="G865" s="194" t="s">
        <v>261</v>
      </c>
      <c r="H865" s="527">
        <v>100</v>
      </c>
      <c r="I865" s="527"/>
      <c r="J865" s="527">
        <f t="shared" si="310"/>
        <v>100</v>
      </c>
      <c r="K865" s="132"/>
      <c r="L865" s="528"/>
      <c r="M865" s="528"/>
      <c r="N865" s="528"/>
      <c r="O865" s="132"/>
      <c r="P865" s="167">
        <f t="shared" si="306"/>
        <v>100</v>
      </c>
      <c r="Q865" s="167">
        <f t="shared" si="319"/>
        <v>0</v>
      </c>
      <c r="R865" s="167">
        <f t="shared" si="319"/>
        <v>100</v>
      </c>
    </row>
    <row r="866" spans="2:18" x14ac:dyDescent="0.2">
      <c r="B866" s="171">
        <f t="shared" si="301"/>
        <v>510</v>
      </c>
      <c r="C866" s="130"/>
      <c r="D866" s="131"/>
      <c r="E866" s="131"/>
      <c r="F866" s="131" t="s">
        <v>216</v>
      </c>
      <c r="G866" s="194" t="s">
        <v>248</v>
      </c>
      <c r="H866" s="527">
        <v>950</v>
      </c>
      <c r="I866" s="527"/>
      <c r="J866" s="527">
        <f t="shared" si="310"/>
        <v>950</v>
      </c>
      <c r="K866" s="132"/>
      <c r="L866" s="528"/>
      <c r="M866" s="528"/>
      <c r="N866" s="528"/>
      <c r="O866" s="132"/>
      <c r="P866" s="167">
        <f t="shared" si="306"/>
        <v>950</v>
      </c>
      <c r="Q866" s="167">
        <f t="shared" si="319"/>
        <v>0</v>
      </c>
      <c r="R866" s="167">
        <f t="shared" si="319"/>
        <v>950</v>
      </c>
    </row>
    <row r="867" spans="2:18" x14ac:dyDescent="0.2">
      <c r="B867" s="171">
        <f t="shared" si="301"/>
        <v>511</v>
      </c>
      <c r="C867" s="130"/>
      <c r="D867" s="131"/>
      <c r="E867" s="169"/>
      <c r="F867" s="436" t="s">
        <v>606</v>
      </c>
      <c r="G867" s="489" t="s">
        <v>728</v>
      </c>
      <c r="H867" s="399"/>
      <c r="I867" s="399"/>
      <c r="J867" s="399">
        <f t="shared" si="310"/>
        <v>0</v>
      </c>
      <c r="K867" s="339"/>
      <c r="L867" s="402">
        <v>13900</v>
      </c>
      <c r="M867" s="402"/>
      <c r="N867" s="402">
        <f t="shared" si="305"/>
        <v>13900</v>
      </c>
      <c r="O867" s="339"/>
      <c r="P867" s="166">
        <f t="shared" si="306"/>
        <v>13900</v>
      </c>
      <c r="Q867" s="166">
        <f t="shared" ref="Q867:R882" si="322">I867+M867</f>
        <v>0</v>
      </c>
      <c r="R867" s="166">
        <f t="shared" si="322"/>
        <v>13900</v>
      </c>
    </row>
    <row r="868" spans="2:18" ht="15" x14ac:dyDescent="0.25">
      <c r="B868" s="171">
        <f t="shared" si="301"/>
        <v>512</v>
      </c>
      <c r="C868" s="143"/>
      <c r="D868" s="261" t="s">
        <v>173</v>
      </c>
      <c r="E868" s="175" t="s">
        <v>404</v>
      </c>
      <c r="F868" s="147" t="s">
        <v>405</v>
      </c>
      <c r="G868" s="236"/>
      <c r="H868" s="425">
        <f>SUM(H869:H871)</f>
        <v>40588</v>
      </c>
      <c r="I868" s="425">
        <f t="shared" ref="I868" si="323">SUM(I869:I871)</f>
        <v>0</v>
      </c>
      <c r="J868" s="425">
        <f t="shared" si="310"/>
        <v>40588</v>
      </c>
      <c r="K868" s="334"/>
      <c r="L868" s="854">
        <f>L876</f>
        <v>13900</v>
      </c>
      <c r="M868" s="854">
        <f t="shared" ref="M868" si="324">M876</f>
        <v>0</v>
      </c>
      <c r="N868" s="854">
        <f t="shared" si="305"/>
        <v>13900</v>
      </c>
      <c r="O868" s="334"/>
      <c r="P868" s="330">
        <f t="shared" si="306"/>
        <v>54488</v>
      </c>
      <c r="Q868" s="330">
        <f t="shared" si="322"/>
        <v>0</v>
      </c>
      <c r="R868" s="330">
        <f t="shared" si="322"/>
        <v>54488</v>
      </c>
    </row>
    <row r="869" spans="2:18" x14ac:dyDescent="0.2">
      <c r="B869" s="171">
        <f t="shared" si="301"/>
        <v>513</v>
      </c>
      <c r="C869" s="143"/>
      <c r="D869" s="144"/>
      <c r="E869" s="131"/>
      <c r="F869" s="144" t="s">
        <v>211</v>
      </c>
      <c r="G869" s="199" t="s">
        <v>505</v>
      </c>
      <c r="H869" s="388">
        <f>24090+1205+1295</f>
        <v>26590</v>
      </c>
      <c r="I869" s="388"/>
      <c r="J869" s="388">
        <f t="shared" si="310"/>
        <v>26590</v>
      </c>
      <c r="K869" s="145"/>
      <c r="L869" s="396"/>
      <c r="M869" s="396"/>
      <c r="N869" s="396"/>
      <c r="O869" s="145"/>
      <c r="P869" s="166">
        <f t="shared" si="306"/>
        <v>26590</v>
      </c>
      <c r="Q869" s="166">
        <f t="shared" si="322"/>
        <v>0</v>
      </c>
      <c r="R869" s="166">
        <f t="shared" si="322"/>
        <v>26590</v>
      </c>
    </row>
    <row r="870" spans="2:18" x14ac:dyDescent="0.2">
      <c r="B870" s="171">
        <f t="shared" si="301"/>
        <v>514</v>
      </c>
      <c r="C870" s="143"/>
      <c r="D870" s="144"/>
      <c r="E870" s="131"/>
      <c r="F870" s="144" t="s">
        <v>212</v>
      </c>
      <c r="G870" s="199" t="s">
        <v>259</v>
      </c>
      <c r="H870" s="388">
        <f>9019+451+363</f>
        <v>9833</v>
      </c>
      <c r="I870" s="388"/>
      <c r="J870" s="388">
        <f t="shared" si="310"/>
        <v>9833</v>
      </c>
      <c r="K870" s="145"/>
      <c r="L870" s="396"/>
      <c r="M870" s="396"/>
      <c r="N870" s="396"/>
      <c r="O870" s="145"/>
      <c r="P870" s="166">
        <f t="shared" si="306"/>
        <v>9833</v>
      </c>
      <c r="Q870" s="166">
        <f t="shared" si="322"/>
        <v>0</v>
      </c>
      <c r="R870" s="166">
        <f t="shared" si="322"/>
        <v>9833</v>
      </c>
    </row>
    <row r="871" spans="2:18" x14ac:dyDescent="0.2">
      <c r="B871" s="171">
        <f t="shared" si="301"/>
        <v>515</v>
      </c>
      <c r="C871" s="143"/>
      <c r="D871" s="144"/>
      <c r="E871" s="131"/>
      <c r="F871" s="144" t="s">
        <v>218</v>
      </c>
      <c r="G871" s="199" t="s">
        <v>340</v>
      </c>
      <c r="H871" s="388">
        <f>SUM(H872:H875)</f>
        <v>4165</v>
      </c>
      <c r="I871" s="388"/>
      <c r="J871" s="388">
        <f t="shared" si="310"/>
        <v>4165</v>
      </c>
      <c r="K871" s="145"/>
      <c r="L871" s="396"/>
      <c r="M871" s="396"/>
      <c r="N871" s="396"/>
      <c r="O871" s="145"/>
      <c r="P871" s="166">
        <f t="shared" si="306"/>
        <v>4165</v>
      </c>
      <c r="Q871" s="166">
        <f t="shared" si="322"/>
        <v>0</v>
      </c>
      <c r="R871" s="166">
        <f t="shared" si="322"/>
        <v>4165</v>
      </c>
    </row>
    <row r="872" spans="2:18" x14ac:dyDescent="0.2">
      <c r="B872" s="171">
        <f t="shared" si="301"/>
        <v>516</v>
      </c>
      <c r="C872" s="143"/>
      <c r="D872" s="144"/>
      <c r="E872" s="131"/>
      <c r="F872" s="131" t="s">
        <v>199</v>
      </c>
      <c r="G872" s="194" t="s">
        <v>318</v>
      </c>
      <c r="H872" s="527">
        <v>825</v>
      </c>
      <c r="I872" s="527"/>
      <c r="J872" s="527">
        <f t="shared" si="310"/>
        <v>825</v>
      </c>
      <c r="K872" s="145"/>
      <c r="L872" s="396"/>
      <c r="M872" s="396"/>
      <c r="N872" s="396"/>
      <c r="O872" s="145"/>
      <c r="P872" s="167">
        <f t="shared" si="306"/>
        <v>825</v>
      </c>
      <c r="Q872" s="167">
        <f t="shared" si="322"/>
        <v>0</v>
      </c>
      <c r="R872" s="167">
        <f t="shared" si="322"/>
        <v>825</v>
      </c>
    </row>
    <row r="873" spans="2:18" x14ac:dyDescent="0.2">
      <c r="B873" s="171">
        <f t="shared" si="301"/>
        <v>517</v>
      </c>
      <c r="C873" s="143"/>
      <c r="D873" s="144"/>
      <c r="E873" s="131"/>
      <c r="F873" s="131" t="s">
        <v>200</v>
      </c>
      <c r="G873" s="194" t="s">
        <v>247</v>
      </c>
      <c r="H873" s="527">
        <v>1300</v>
      </c>
      <c r="I873" s="527"/>
      <c r="J873" s="527">
        <f t="shared" si="310"/>
        <v>1300</v>
      </c>
      <c r="K873" s="145"/>
      <c r="L873" s="396"/>
      <c r="M873" s="396"/>
      <c r="N873" s="396"/>
      <c r="O873" s="145"/>
      <c r="P873" s="167">
        <f t="shared" si="306"/>
        <v>1300</v>
      </c>
      <c r="Q873" s="167">
        <f t="shared" si="322"/>
        <v>0</v>
      </c>
      <c r="R873" s="167">
        <f t="shared" si="322"/>
        <v>1300</v>
      </c>
    </row>
    <row r="874" spans="2:18" x14ac:dyDescent="0.2">
      <c r="B874" s="171">
        <f t="shared" ref="B874:B937" si="325">B873+1</f>
        <v>518</v>
      </c>
      <c r="C874" s="143"/>
      <c r="D874" s="144"/>
      <c r="E874" s="131"/>
      <c r="F874" s="131" t="s">
        <v>214</v>
      </c>
      <c r="G874" s="194" t="s">
        <v>261</v>
      </c>
      <c r="H874" s="527">
        <v>100</v>
      </c>
      <c r="I874" s="527"/>
      <c r="J874" s="527">
        <f t="shared" si="310"/>
        <v>100</v>
      </c>
      <c r="K874" s="145"/>
      <c r="L874" s="396"/>
      <c r="M874" s="396"/>
      <c r="N874" s="396"/>
      <c r="O874" s="145"/>
      <c r="P874" s="167">
        <f t="shared" si="306"/>
        <v>100</v>
      </c>
      <c r="Q874" s="167">
        <f t="shared" si="322"/>
        <v>0</v>
      </c>
      <c r="R874" s="167">
        <f t="shared" si="322"/>
        <v>100</v>
      </c>
    </row>
    <row r="875" spans="2:18" x14ac:dyDescent="0.2">
      <c r="B875" s="171">
        <f t="shared" si="325"/>
        <v>519</v>
      </c>
      <c r="C875" s="143"/>
      <c r="D875" s="144"/>
      <c r="E875" s="131"/>
      <c r="F875" s="131" t="s">
        <v>216</v>
      </c>
      <c r="G875" s="194" t="s">
        <v>248</v>
      </c>
      <c r="H875" s="527">
        <v>1940</v>
      </c>
      <c r="I875" s="527"/>
      <c r="J875" s="527">
        <f t="shared" si="310"/>
        <v>1940</v>
      </c>
      <c r="K875" s="145"/>
      <c r="L875" s="396"/>
      <c r="M875" s="396"/>
      <c r="N875" s="396"/>
      <c r="O875" s="145"/>
      <c r="P875" s="167">
        <f t="shared" si="306"/>
        <v>1940</v>
      </c>
      <c r="Q875" s="167">
        <f t="shared" si="322"/>
        <v>0</v>
      </c>
      <c r="R875" s="167">
        <f t="shared" si="322"/>
        <v>1940</v>
      </c>
    </row>
    <row r="876" spans="2:18" x14ac:dyDescent="0.2">
      <c r="B876" s="171">
        <f t="shared" si="325"/>
        <v>520</v>
      </c>
      <c r="C876" s="143"/>
      <c r="D876" s="144"/>
      <c r="E876" s="169"/>
      <c r="F876" s="436" t="s">
        <v>606</v>
      </c>
      <c r="G876" s="489" t="s">
        <v>728</v>
      </c>
      <c r="H876" s="527"/>
      <c r="I876" s="527"/>
      <c r="J876" s="527">
        <f t="shared" si="310"/>
        <v>0</v>
      </c>
      <c r="K876" s="145"/>
      <c r="L876" s="396">
        <v>13900</v>
      </c>
      <c r="M876" s="396"/>
      <c r="N876" s="396">
        <f t="shared" ref="N876:N933" si="326">L876+M876</f>
        <v>13900</v>
      </c>
      <c r="O876" s="145"/>
      <c r="P876" s="166">
        <f t="shared" si="306"/>
        <v>13900</v>
      </c>
      <c r="Q876" s="166">
        <f t="shared" si="322"/>
        <v>0</v>
      </c>
      <c r="R876" s="166">
        <f t="shared" si="322"/>
        <v>13900</v>
      </c>
    </row>
    <row r="877" spans="2:18" ht="15" x14ac:dyDescent="0.25">
      <c r="B877" s="171">
        <f t="shared" si="325"/>
        <v>521</v>
      </c>
      <c r="C877" s="143"/>
      <c r="D877" s="261" t="s">
        <v>347</v>
      </c>
      <c r="E877" s="175" t="s">
        <v>404</v>
      </c>
      <c r="F877" s="147" t="s">
        <v>406</v>
      </c>
      <c r="G877" s="236"/>
      <c r="H877" s="425">
        <f>SUM(H878:H880)</f>
        <v>36147</v>
      </c>
      <c r="I877" s="425">
        <f t="shared" ref="I877" si="327">SUM(I878:I880)</f>
        <v>0</v>
      </c>
      <c r="J877" s="425">
        <f t="shared" si="310"/>
        <v>36147</v>
      </c>
      <c r="K877" s="334"/>
      <c r="L877" s="854">
        <f>L884</f>
        <v>6240</v>
      </c>
      <c r="M877" s="854">
        <f t="shared" ref="M877" si="328">M884</f>
        <v>0</v>
      </c>
      <c r="N877" s="854">
        <f t="shared" si="326"/>
        <v>6240</v>
      </c>
      <c r="O877" s="334"/>
      <c r="P877" s="330">
        <f t="shared" si="306"/>
        <v>42387</v>
      </c>
      <c r="Q877" s="330">
        <f t="shared" si="322"/>
        <v>0</v>
      </c>
      <c r="R877" s="330">
        <f t="shared" si="322"/>
        <v>42387</v>
      </c>
    </row>
    <row r="878" spans="2:18" x14ac:dyDescent="0.2">
      <c r="B878" s="171">
        <f t="shared" si="325"/>
        <v>522</v>
      </c>
      <c r="C878" s="143"/>
      <c r="D878" s="144"/>
      <c r="E878" s="131"/>
      <c r="F878" s="144" t="s">
        <v>211</v>
      </c>
      <c r="G878" s="199" t="s">
        <v>505</v>
      </c>
      <c r="H878" s="388">
        <f>23655+1183-3</f>
        <v>24835</v>
      </c>
      <c r="I878" s="388"/>
      <c r="J878" s="388">
        <f t="shared" si="310"/>
        <v>24835</v>
      </c>
      <c r="K878" s="145"/>
      <c r="L878" s="396"/>
      <c r="M878" s="396"/>
      <c r="N878" s="396"/>
      <c r="O878" s="145"/>
      <c r="P878" s="166">
        <f t="shared" si="306"/>
        <v>24835</v>
      </c>
      <c r="Q878" s="166">
        <f t="shared" si="322"/>
        <v>0</v>
      </c>
      <c r="R878" s="166">
        <f t="shared" si="322"/>
        <v>24835</v>
      </c>
    </row>
    <row r="879" spans="2:18" x14ac:dyDescent="0.2">
      <c r="B879" s="171">
        <f t="shared" si="325"/>
        <v>523</v>
      </c>
      <c r="C879" s="143"/>
      <c r="D879" s="144"/>
      <c r="E879" s="131"/>
      <c r="F879" s="144" t="s">
        <v>212</v>
      </c>
      <c r="G879" s="199" t="s">
        <v>259</v>
      </c>
      <c r="H879" s="388">
        <f>8269+413-20</f>
        <v>8662</v>
      </c>
      <c r="I879" s="388"/>
      <c r="J879" s="388">
        <f t="shared" si="310"/>
        <v>8662</v>
      </c>
      <c r="K879" s="145"/>
      <c r="L879" s="396"/>
      <c r="M879" s="396"/>
      <c r="N879" s="396"/>
      <c r="O879" s="145"/>
      <c r="P879" s="166">
        <f t="shared" si="306"/>
        <v>8662</v>
      </c>
      <c r="Q879" s="166">
        <f t="shared" si="322"/>
        <v>0</v>
      </c>
      <c r="R879" s="166">
        <f t="shared" si="322"/>
        <v>8662</v>
      </c>
    </row>
    <row r="880" spans="2:18" x14ac:dyDescent="0.2">
      <c r="B880" s="171">
        <f t="shared" si="325"/>
        <v>524</v>
      </c>
      <c r="C880" s="143"/>
      <c r="D880" s="144"/>
      <c r="E880" s="131"/>
      <c r="F880" s="144" t="s">
        <v>218</v>
      </c>
      <c r="G880" s="199" t="s">
        <v>340</v>
      </c>
      <c r="H880" s="388">
        <f>SUM(H881:H883)</f>
        <v>2650</v>
      </c>
      <c r="I880" s="388"/>
      <c r="J880" s="388">
        <f t="shared" si="310"/>
        <v>2650</v>
      </c>
      <c r="K880" s="145"/>
      <c r="L880" s="396"/>
      <c r="M880" s="396"/>
      <c r="N880" s="396"/>
      <c r="O880" s="145"/>
      <c r="P880" s="166">
        <f t="shared" si="306"/>
        <v>2650</v>
      </c>
      <c r="Q880" s="166">
        <f t="shared" si="322"/>
        <v>0</v>
      </c>
      <c r="R880" s="166">
        <f t="shared" si="322"/>
        <v>2650</v>
      </c>
    </row>
    <row r="881" spans="2:18" x14ac:dyDescent="0.2">
      <c r="B881" s="171">
        <f t="shared" si="325"/>
        <v>525</v>
      </c>
      <c r="C881" s="143"/>
      <c r="D881" s="144"/>
      <c r="E881" s="131"/>
      <c r="F881" s="131" t="s">
        <v>200</v>
      </c>
      <c r="G881" s="194" t="s">
        <v>247</v>
      </c>
      <c r="H881" s="527">
        <v>1650</v>
      </c>
      <c r="I881" s="527"/>
      <c r="J881" s="527">
        <f t="shared" si="310"/>
        <v>1650</v>
      </c>
      <c r="K881" s="145"/>
      <c r="L881" s="396"/>
      <c r="M881" s="396"/>
      <c r="N881" s="396"/>
      <c r="O881" s="145"/>
      <c r="P881" s="167">
        <f t="shared" si="306"/>
        <v>1650</v>
      </c>
      <c r="Q881" s="167">
        <f t="shared" si="322"/>
        <v>0</v>
      </c>
      <c r="R881" s="167">
        <f t="shared" si="322"/>
        <v>1650</v>
      </c>
    </row>
    <row r="882" spans="2:18" x14ac:dyDescent="0.2">
      <c r="B882" s="171">
        <f t="shared" si="325"/>
        <v>526</v>
      </c>
      <c r="C882" s="143"/>
      <c r="D882" s="144"/>
      <c r="E882" s="131"/>
      <c r="F882" s="131" t="s">
        <v>214</v>
      </c>
      <c r="G882" s="194" t="s">
        <v>261</v>
      </c>
      <c r="H882" s="527">
        <v>100</v>
      </c>
      <c r="I882" s="527"/>
      <c r="J882" s="527">
        <f t="shared" si="310"/>
        <v>100</v>
      </c>
      <c r="K882" s="145"/>
      <c r="L882" s="388"/>
      <c r="M882" s="388"/>
      <c r="N882" s="388"/>
      <c r="O882" s="145"/>
      <c r="P882" s="167">
        <f t="shared" si="306"/>
        <v>100</v>
      </c>
      <c r="Q882" s="167">
        <f t="shared" si="322"/>
        <v>0</v>
      </c>
      <c r="R882" s="167">
        <f t="shared" si="322"/>
        <v>100</v>
      </c>
    </row>
    <row r="883" spans="2:18" x14ac:dyDescent="0.2">
      <c r="B883" s="171">
        <f t="shared" si="325"/>
        <v>527</v>
      </c>
      <c r="C883" s="143"/>
      <c r="D883" s="144"/>
      <c r="E883" s="131"/>
      <c r="F883" s="131" t="s">
        <v>216</v>
      </c>
      <c r="G883" s="194" t="s">
        <v>248</v>
      </c>
      <c r="H883" s="527">
        <v>900</v>
      </c>
      <c r="I883" s="527"/>
      <c r="J883" s="527">
        <f t="shared" si="310"/>
        <v>900</v>
      </c>
      <c r="K883" s="283"/>
      <c r="L883" s="388"/>
      <c r="M883" s="388"/>
      <c r="N883" s="388"/>
      <c r="O883" s="283"/>
      <c r="P883" s="168">
        <f t="shared" ref="P883:P946" si="329">H883+L883</f>
        <v>900</v>
      </c>
      <c r="Q883" s="168">
        <f t="shared" ref="Q883:R898" si="330">I883+M883</f>
        <v>0</v>
      </c>
      <c r="R883" s="168">
        <f t="shared" si="330"/>
        <v>900</v>
      </c>
    </row>
    <row r="884" spans="2:18" x14ac:dyDescent="0.2">
      <c r="B884" s="171">
        <f t="shared" si="325"/>
        <v>528</v>
      </c>
      <c r="C884" s="130"/>
      <c r="D884" s="131"/>
      <c r="E884" s="169"/>
      <c r="F884" s="436" t="s">
        <v>606</v>
      </c>
      <c r="G884" s="489" t="s">
        <v>655</v>
      </c>
      <c r="H884" s="399"/>
      <c r="I884" s="399"/>
      <c r="J884" s="399">
        <f t="shared" si="310"/>
        <v>0</v>
      </c>
      <c r="K884" s="339"/>
      <c r="L884" s="530">
        <f>4430+1810</f>
        <v>6240</v>
      </c>
      <c r="M884" s="530"/>
      <c r="N884" s="530">
        <f t="shared" si="326"/>
        <v>6240</v>
      </c>
      <c r="O884" s="339"/>
      <c r="P884" s="166">
        <f t="shared" si="329"/>
        <v>6240</v>
      </c>
      <c r="Q884" s="166">
        <f t="shared" si="330"/>
        <v>0</v>
      </c>
      <c r="R884" s="166">
        <f t="shared" si="330"/>
        <v>6240</v>
      </c>
    </row>
    <row r="885" spans="2:18" ht="15" x14ac:dyDescent="0.25">
      <c r="B885" s="171">
        <f t="shared" si="325"/>
        <v>529</v>
      </c>
      <c r="C885" s="143"/>
      <c r="D885" s="261" t="s">
        <v>349</v>
      </c>
      <c r="E885" s="268" t="s">
        <v>404</v>
      </c>
      <c r="F885" s="265" t="s">
        <v>407</v>
      </c>
      <c r="G885" s="266"/>
      <c r="H885" s="427">
        <f>SUM(H886:H888)</f>
        <v>19336</v>
      </c>
      <c r="I885" s="427">
        <f t="shared" ref="I885" si="331">SUM(I886:I888)</f>
        <v>0</v>
      </c>
      <c r="J885" s="427">
        <f t="shared" ref="J885:J948" si="332">H885+I885</f>
        <v>19336</v>
      </c>
      <c r="K885" s="334"/>
      <c r="L885" s="426">
        <f>L892</f>
        <v>6330</v>
      </c>
      <c r="M885" s="426">
        <f t="shared" ref="M885" si="333">M892</f>
        <v>0</v>
      </c>
      <c r="N885" s="426">
        <f t="shared" si="326"/>
        <v>6330</v>
      </c>
      <c r="O885" s="334"/>
      <c r="P885" s="345">
        <f t="shared" si="329"/>
        <v>25666</v>
      </c>
      <c r="Q885" s="345">
        <f t="shared" si="330"/>
        <v>0</v>
      </c>
      <c r="R885" s="345">
        <f t="shared" si="330"/>
        <v>25666</v>
      </c>
    </row>
    <row r="886" spans="2:18" x14ac:dyDescent="0.2">
      <c r="B886" s="171">
        <f t="shared" si="325"/>
        <v>530</v>
      </c>
      <c r="C886" s="143"/>
      <c r="D886" s="144"/>
      <c r="E886" s="131"/>
      <c r="F886" s="144" t="s">
        <v>211</v>
      </c>
      <c r="G886" s="199" t="s">
        <v>505</v>
      </c>
      <c r="H886" s="388">
        <f>11220+561+599</f>
        <v>12380</v>
      </c>
      <c r="I886" s="388"/>
      <c r="J886" s="388">
        <f t="shared" si="332"/>
        <v>12380</v>
      </c>
      <c r="K886" s="145"/>
      <c r="L886" s="388"/>
      <c r="M886" s="388"/>
      <c r="N886" s="388"/>
      <c r="O886" s="145"/>
      <c r="P886" s="166">
        <f t="shared" si="329"/>
        <v>12380</v>
      </c>
      <c r="Q886" s="166">
        <f t="shared" si="330"/>
        <v>0</v>
      </c>
      <c r="R886" s="166">
        <f t="shared" si="330"/>
        <v>12380</v>
      </c>
    </row>
    <row r="887" spans="2:18" x14ac:dyDescent="0.2">
      <c r="B887" s="171">
        <f t="shared" si="325"/>
        <v>531</v>
      </c>
      <c r="C887" s="143"/>
      <c r="D887" s="144"/>
      <c r="E887" s="131"/>
      <c r="F887" s="144" t="s">
        <v>212</v>
      </c>
      <c r="G887" s="199" t="s">
        <v>259</v>
      </c>
      <c r="H887" s="388">
        <f>4071+204+211</f>
        <v>4486</v>
      </c>
      <c r="I887" s="388"/>
      <c r="J887" s="388">
        <f t="shared" si="332"/>
        <v>4486</v>
      </c>
      <c r="K887" s="145"/>
      <c r="L887" s="396"/>
      <c r="M887" s="396"/>
      <c r="N887" s="396"/>
      <c r="O887" s="145"/>
      <c r="P887" s="166">
        <f t="shared" si="329"/>
        <v>4486</v>
      </c>
      <c r="Q887" s="166">
        <f t="shared" si="330"/>
        <v>0</v>
      </c>
      <c r="R887" s="166">
        <f t="shared" si="330"/>
        <v>4486</v>
      </c>
    </row>
    <row r="888" spans="2:18" x14ac:dyDescent="0.2">
      <c r="B888" s="171">
        <f t="shared" si="325"/>
        <v>532</v>
      </c>
      <c r="C888" s="143"/>
      <c r="D888" s="144"/>
      <c r="E888" s="131"/>
      <c r="F888" s="144" t="s">
        <v>218</v>
      </c>
      <c r="G888" s="199" t="s">
        <v>340</v>
      </c>
      <c r="H888" s="388">
        <f>SUM(H889:H891)</f>
        <v>2470</v>
      </c>
      <c r="I888" s="388"/>
      <c r="J888" s="388">
        <f t="shared" si="332"/>
        <v>2470</v>
      </c>
      <c r="K888" s="145"/>
      <c r="L888" s="396"/>
      <c r="M888" s="396"/>
      <c r="N888" s="396"/>
      <c r="O888" s="145"/>
      <c r="P888" s="166">
        <f t="shared" si="329"/>
        <v>2470</v>
      </c>
      <c r="Q888" s="166">
        <f t="shared" si="330"/>
        <v>0</v>
      </c>
      <c r="R888" s="166">
        <f t="shared" si="330"/>
        <v>2470</v>
      </c>
    </row>
    <row r="889" spans="2:18" x14ac:dyDescent="0.2">
      <c r="B889" s="171">
        <f t="shared" si="325"/>
        <v>533</v>
      </c>
      <c r="C889" s="143"/>
      <c r="D889" s="144"/>
      <c r="E889" s="131"/>
      <c r="F889" s="131" t="s">
        <v>200</v>
      </c>
      <c r="G889" s="194" t="s">
        <v>247</v>
      </c>
      <c r="H889" s="527">
        <f>1070+550</f>
        <v>1620</v>
      </c>
      <c r="I889" s="527"/>
      <c r="J889" s="527">
        <f t="shared" si="332"/>
        <v>1620</v>
      </c>
      <c r="K889" s="145"/>
      <c r="L889" s="396"/>
      <c r="M889" s="396"/>
      <c r="N889" s="396"/>
      <c r="O889" s="145"/>
      <c r="P889" s="167">
        <f t="shared" si="329"/>
        <v>1620</v>
      </c>
      <c r="Q889" s="167">
        <f t="shared" si="330"/>
        <v>0</v>
      </c>
      <c r="R889" s="167">
        <f t="shared" si="330"/>
        <v>1620</v>
      </c>
    </row>
    <row r="890" spans="2:18" x14ac:dyDescent="0.2">
      <c r="B890" s="171">
        <f t="shared" si="325"/>
        <v>534</v>
      </c>
      <c r="C890" s="143"/>
      <c r="D890" s="144"/>
      <c r="E890" s="131"/>
      <c r="F890" s="131" t="s">
        <v>214</v>
      </c>
      <c r="G890" s="194" t="s">
        <v>261</v>
      </c>
      <c r="H890" s="527">
        <v>100</v>
      </c>
      <c r="I890" s="527"/>
      <c r="J890" s="527">
        <f t="shared" si="332"/>
        <v>100</v>
      </c>
      <c r="K890" s="145"/>
      <c r="L890" s="396"/>
      <c r="M890" s="396"/>
      <c r="N890" s="396"/>
      <c r="O890" s="145"/>
      <c r="P890" s="167">
        <f t="shared" si="329"/>
        <v>100</v>
      </c>
      <c r="Q890" s="167">
        <f t="shared" si="330"/>
        <v>0</v>
      </c>
      <c r="R890" s="167">
        <f t="shared" si="330"/>
        <v>100</v>
      </c>
    </row>
    <row r="891" spans="2:18" x14ac:dyDescent="0.2">
      <c r="B891" s="171">
        <f t="shared" si="325"/>
        <v>535</v>
      </c>
      <c r="C891" s="143"/>
      <c r="D891" s="144"/>
      <c r="E891" s="131"/>
      <c r="F891" s="131" t="s">
        <v>216</v>
      </c>
      <c r="G891" s="194" t="s">
        <v>248</v>
      </c>
      <c r="H891" s="527">
        <v>750</v>
      </c>
      <c r="I891" s="527"/>
      <c r="J891" s="527">
        <f t="shared" si="332"/>
        <v>750</v>
      </c>
      <c r="K891" s="145"/>
      <c r="L891" s="396"/>
      <c r="M891" s="396"/>
      <c r="N891" s="396"/>
      <c r="O891" s="145"/>
      <c r="P891" s="167">
        <f t="shared" si="329"/>
        <v>750</v>
      </c>
      <c r="Q891" s="167">
        <f t="shared" si="330"/>
        <v>0</v>
      </c>
      <c r="R891" s="167">
        <f t="shared" si="330"/>
        <v>750</v>
      </c>
    </row>
    <row r="892" spans="2:18" x14ac:dyDescent="0.2">
      <c r="B892" s="171">
        <f t="shared" si="325"/>
        <v>536</v>
      </c>
      <c r="C892" s="130"/>
      <c r="D892" s="131"/>
      <c r="E892" s="169"/>
      <c r="F892" s="436" t="s">
        <v>606</v>
      </c>
      <c r="G892" s="489" t="s">
        <v>656</v>
      </c>
      <c r="H892" s="399"/>
      <c r="I892" s="399"/>
      <c r="J892" s="399">
        <f t="shared" si="332"/>
        <v>0</v>
      </c>
      <c r="K892" s="339"/>
      <c r="L892" s="402">
        <f>5200+1130</f>
        <v>6330</v>
      </c>
      <c r="M892" s="402"/>
      <c r="N892" s="402">
        <f t="shared" si="326"/>
        <v>6330</v>
      </c>
      <c r="O892" s="339"/>
      <c r="P892" s="166">
        <f t="shared" si="329"/>
        <v>6330</v>
      </c>
      <c r="Q892" s="166">
        <f t="shared" si="330"/>
        <v>0</v>
      </c>
      <c r="R892" s="166">
        <f t="shared" si="330"/>
        <v>6330</v>
      </c>
    </row>
    <row r="893" spans="2:18" ht="15" x14ac:dyDescent="0.25">
      <c r="B893" s="171">
        <f t="shared" si="325"/>
        <v>537</v>
      </c>
      <c r="C893" s="143"/>
      <c r="D893" s="261" t="s">
        <v>351</v>
      </c>
      <c r="E893" s="175" t="s">
        <v>404</v>
      </c>
      <c r="F893" s="147" t="s">
        <v>408</v>
      </c>
      <c r="G893" s="236"/>
      <c r="H893" s="425">
        <f>SUM(H894:H896)</f>
        <v>22529</v>
      </c>
      <c r="I893" s="425">
        <f t="shared" ref="I893" si="334">SUM(I894:I896)</f>
        <v>0</v>
      </c>
      <c r="J893" s="425">
        <f t="shared" si="332"/>
        <v>22529</v>
      </c>
      <c r="K893" s="334"/>
      <c r="L893" s="854">
        <f>L900</f>
        <v>1540</v>
      </c>
      <c r="M893" s="854">
        <f t="shared" ref="M893" si="335">M900</f>
        <v>315</v>
      </c>
      <c r="N893" s="854">
        <f t="shared" si="326"/>
        <v>1855</v>
      </c>
      <c r="O893" s="334"/>
      <c r="P893" s="330">
        <f t="shared" si="329"/>
        <v>24069</v>
      </c>
      <c r="Q893" s="330">
        <f t="shared" si="330"/>
        <v>315</v>
      </c>
      <c r="R893" s="330">
        <f t="shared" si="330"/>
        <v>24384</v>
      </c>
    </row>
    <row r="894" spans="2:18" x14ac:dyDescent="0.2">
      <c r="B894" s="171">
        <f t="shared" si="325"/>
        <v>538</v>
      </c>
      <c r="C894" s="143"/>
      <c r="D894" s="144"/>
      <c r="E894" s="131"/>
      <c r="F894" s="144" t="s">
        <v>211</v>
      </c>
      <c r="G894" s="199" t="s">
        <v>505</v>
      </c>
      <c r="H894" s="388">
        <f>12965+648+1209</f>
        <v>14822</v>
      </c>
      <c r="I894" s="388"/>
      <c r="J894" s="388">
        <f t="shared" si="332"/>
        <v>14822</v>
      </c>
      <c r="K894" s="145"/>
      <c r="L894" s="396"/>
      <c r="M894" s="396"/>
      <c r="N894" s="396"/>
      <c r="O894" s="145"/>
      <c r="P894" s="166">
        <f t="shared" si="329"/>
        <v>14822</v>
      </c>
      <c r="Q894" s="166">
        <f t="shared" si="330"/>
        <v>0</v>
      </c>
      <c r="R894" s="166">
        <f t="shared" si="330"/>
        <v>14822</v>
      </c>
    </row>
    <row r="895" spans="2:18" x14ac:dyDescent="0.2">
      <c r="B895" s="171">
        <f t="shared" si="325"/>
        <v>539</v>
      </c>
      <c r="C895" s="143"/>
      <c r="D895" s="144"/>
      <c r="E895" s="131"/>
      <c r="F895" s="144" t="s">
        <v>212</v>
      </c>
      <c r="G895" s="199" t="s">
        <v>259</v>
      </c>
      <c r="H895" s="388">
        <f>4679+234+464</f>
        <v>5377</v>
      </c>
      <c r="I895" s="388"/>
      <c r="J895" s="388">
        <f t="shared" si="332"/>
        <v>5377</v>
      </c>
      <c r="K895" s="145"/>
      <c r="L895" s="396"/>
      <c r="M895" s="396"/>
      <c r="N895" s="396"/>
      <c r="O895" s="145"/>
      <c r="P895" s="166">
        <f t="shared" si="329"/>
        <v>5377</v>
      </c>
      <c r="Q895" s="166">
        <f t="shared" si="330"/>
        <v>0</v>
      </c>
      <c r="R895" s="166">
        <f t="shared" si="330"/>
        <v>5377</v>
      </c>
    </row>
    <row r="896" spans="2:18" x14ac:dyDescent="0.2">
      <c r="B896" s="171">
        <f t="shared" si="325"/>
        <v>540</v>
      </c>
      <c r="C896" s="143"/>
      <c r="D896" s="144"/>
      <c r="E896" s="131"/>
      <c r="F896" s="144" t="s">
        <v>218</v>
      </c>
      <c r="G896" s="199" t="s">
        <v>340</v>
      </c>
      <c r="H896" s="388">
        <f>SUM(H897:H899)</f>
        <v>2330</v>
      </c>
      <c r="I896" s="388"/>
      <c r="J896" s="388">
        <f t="shared" si="332"/>
        <v>2330</v>
      </c>
      <c r="K896" s="145"/>
      <c r="L896" s="396"/>
      <c r="M896" s="396"/>
      <c r="N896" s="396"/>
      <c r="O896" s="145"/>
      <c r="P896" s="166">
        <f t="shared" si="329"/>
        <v>2330</v>
      </c>
      <c r="Q896" s="166">
        <f t="shared" si="330"/>
        <v>0</v>
      </c>
      <c r="R896" s="166">
        <f t="shared" si="330"/>
        <v>2330</v>
      </c>
    </row>
    <row r="897" spans="2:18" x14ac:dyDescent="0.2">
      <c r="B897" s="171">
        <f t="shared" si="325"/>
        <v>541</v>
      </c>
      <c r="C897" s="143"/>
      <c r="D897" s="144"/>
      <c r="E897" s="131"/>
      <c r="F897" s="131" t="s">
        <v>200</v>
      </c>
      <c r="G897" s="194" t="s">
        <v>247</v>
      </c>
      <c r="H897" s="527">
        <v>1470</v>
      </c>
      <c r="I897" s="527"/>
      <c r="J897" s="527">
        <f t="shared" si="332"/>
        <v>1470</v>
      </c>
      <c r="K897" s="145"/>
      <c r="L897" s="396"/>
      <c r="M897" s="396"/>
      <c r="N897" s="396"/>
      <c r="O897" s="145"/>
      <c r="P897" s="167">
        <f t="shared" si="329"/>
        <v>1470</v>
      </c>
      <c r="Q897" s="167">
        <f t="shared" si="330"/>
        <v>0</v>
      </c>
      <c r="R897" s="167">
        <f t="shared" si="330"/>
        <v>1470</v>
      </c>
    </row>
    <row r="898" spans="2:18" x14ac:dyDescent="0.2">
      <c r="B898" s="171">
        <f t="shared" si="325"/>
        <v>542</v>
      </c>
      <c r="C898" s="143"/>
      <c r="D898" s="144"/>
      <c r="E898" s="131"/>
      <c r="F898" s="131" t="s">
        <v>214</v>
      </c>
      <c r="G898" s="194" t="s">
        <v>261</v>
      </c>
      <c r="H898" s="527">
        <v>100</v>
      </c>
      <c r="I898" s="527"/>
      <c r="J898" s="527">
        <f t="shared" si="332"/>
        <v>100</v>
      </c>
      <c r="K898" s="145"/>
      <c r="L898" s="396"/>
      <c r="M898" s="396"/>
      <c r="N898" s="396"/>
      <c r="O898" s="145"/>
      <c r="P898" s="167">
        <f t="shared" si="329"/>
        <v>100</v>
      </c>
      <c r="Q898" s="167">
        <f t="shared" si="330"/>
        <v>0</v>
      </c>
      <c r="R898" s="167">
        <f t="shared" si="330"/>
        <v>100</v>
      </c>
    </row>
    <row r="899" spans="2:18" x14ac:dyDescent="0.2">
      <c r="B899" s="171">
        <f t="shared" si="325"/>
        <v>543</v>
      </c>
      <c r="C899" s="143"/>
      <c r="D899" s="144"/>
      <c r="E899" s="131"/>
      <c r="F899" s="131" t="s">
        <v>216</v>
      </c>
      <c r="G899" s="194" t="s">
        <v>248</v>
      </c>
      <c r="H899" s="527">
        <v>760</v>
      </c>
      <c r="I899" s="527"/>
      <c r="J899" s="527">
        <f t="shared" si="332"/>
        <v>760</v>
      </c>
      <c r="K899" s="145"/>
      <c r="L899" s="396"/>
      <c r="M899" s="396"/>
      <c r="N899" s="396"/>
      <c r="O899" s="145"/>
      <c r="P899" s="167">
        <f t="shared" si="329"/>
        <v>760</v>
      </c>
      <c r="Q899" s="167">
        <f t="shared" ref="Q899:R914" si="336">I899+M899</f>
        <v>0</v>
      </c>
      <c r="R899" s="167">
        <f t="shared" si="336"/>
        <v>760</v>
      </c>
    </row>
    <row r="900" spans="2:18" x14ac:dyDescent="0.2">
      <c r="B900" s="171">
        <f t="shared" si="325"/>
        <v>544</v>
      </c>
      <c r="C900" s="143"/>
      <c r="D900" s="144"/>
      <c r="E900" s="169"/>
      <c r="F900" s="436" t="s">
        <v>606</v>
      </c>
      <c r="G900" s="489" t="s">
        <v>662</v>
      </c>
      <c r="H900" s="527"/>
      <c r="I900" s="527"/>
      <c r="J900" s="527">
        <f t="shared" si="332"/>
        <v>0</v>
      </c>
      <c r="K900" s="145"/>
      <c r="L900" s="396">
        <f>3220-1680</f>
        <v>1540</v>
      </c>
      <c r="M900" s="396">
        <v>315</v>
      </c>
      <c r="N900" s="396">
        <f t="shared" si="326"/>
        <v>1855</v>
      </c>
      <c r="O900" s="145"/>
      <c r="P900" s="166">
        <f t="shared" si="329"/>
        <v>1540</v>
      </c>
      <c r="Q900" s="166">
        <f t="shared" si="336"/>
        <v>315</v>
      </c>
      <c r="R900" s="166">
        <f t="shared" si="336"/>
        <v>1855</v>
      </c>
    </row>
    <row r="901" spans="2:18" ht="15" x14ac:dyDescent="0.25">
      <c r="B901" s="171">
        <f t="shared" si="325"/>
        <v>545</v>
      </c>
      <c r="C901" s="143"/>
      <c r="D901" s="261" t="s">
        <v>353</v>
      </c>
      <c r="E901" s="268" t="s">
        <v>404</v>
      </c>
      <c r="F901" s="265" t="s">
        <v>409</v>
      </c>
      <c r="G901" s="266"/>
      <c r="H901" s="425">
        <f>SUM(H902:H904)</f>
        <v>29634</v>
      </c>
      <c r="I901" s="425">
        <f t="shared" ref="I901" si="337">SUM(I902:I904)</f>
        <v>0</v>
      </c>
      <c r="J901" s="425">
        <f t="shared" si="332"/>
        <v>29634</v>
      </c>
      <c r="K901" s="334"/>
      <c r="L901" s="854">
        <f>L908</f>
        <v>4850</v>
      </c>
      <c r="M901" s="854">
        <f t="shared" ref="M901" si="338">M908</f>
        <v>0</v>
      </c>
      <c r="N901" s="854">
        <f t="shared" si="326"/>
        <v>4850</v>
      </c>
      <c r="O901" s="334"/>
      <c r="P901" s="330">
        <f t="shared" si="329"/>
        <v>34484</v>
      </c>
      <c r="Q901" s="330">
        <f t="shared" si="336"/>
        <v>0</v>
      </c>
      <c r="R901" s="330">
        <f t="shared" si="336"/>
        <v>34484</v>
      </c>
    </row>
    <row r="902" spans="2:18" x14ac:dyDescent="0.2">
      <c r="B902" s="171">
        <f t="shared" si="325"/>
        <v>546</v>
      </c>
      <c r="C902" s="143"/>
      <c r="D902" s="144"/>
      <c r="E902" s="131"/>
      <c r="F902" s="144" t="s">
        <v>211</v>
      </c>
      <c r="G902" s="199" t="s">
        <v>505</v>
      </c>
      <c r="H902" s="388">
        <f>17980+899+788</f>
        <v>19667</v>
      </c>
      <c r="I902" s="388"/>
      <c r="J902" s="388">
        <f t="shared" si="332"/>
        <v>19667</v>
      </c>
      <c r="K902" s="145"/>
      <c r="L902" s="388"/>
      <c r="M902" s="388"/>
      <c r="N902" s="388"/>
      <c r="O902" s="145"/>
      <c r="P902" s="531">
        <f t="shared" si="329"/>
        <v>19667</v>
      </c>
      <c r="Q902" s="531">
        <f t="shared" si="336"/>
        <v>0</v>
      </c>
      <c r="R902" s="531">
        <f t="shared" si="336"/>
        <v>19667</v>
      </c>
    </row>
    <row r="903" spans="2:18" x14ac:dyDescent="0.2">
      <c r="B903" s="171">
        <f t="shared" si="325"/>
        <v>547</v>
      </c>
      <c r="C903" s="143"/>
      <c r="D903" s="144"/>
      <c r="E903" s="131"/>
      <c r="F903" s="144" t="s">
        <v>212</v>
      </c>
      <c r="G903" s="199" t="s">
        <v>259</v>
      </c>
      <c r="H903" s="388">
        <f>6435+322+430</f>
        <v>7187</v>
      </c>
      <c r="I903" s="388"/>
      <c r="J903" s="388">
        <f t="shared" si="332"/>
        <v>7187</v>
      </c>
      <c r="K903" s="145"/>
      <c r="L903" s="396"/>
      <c r="M903" s="396"/>
      <c r="N903" s="396"/>
      <c r="O903" s="145"/>
      <c r="P903" s="166">
        <f t="shared" si="329"/>
        <v>7187</v>
      </c>
      <c r="Q903" s="166">
        <f t="shared" si="336"/>
        <v>0</v>
      </c>
      <c r="R903" s="166">
        <f t="shared" si="336"/>
        <v>7187</v>
      </c>
    </row>
    <row r="904" spans="2:18" x14ac:dyDescent="0.2">
      <c r="B904" s="171">
        <f t="shared" si="325"/>
        <v>548</v>
      </c>
      <c r="C904" s="143"/>
      <c r="D904" s="144"/>
      <c r="E904" s="131"/>
      <c r="F904" s="144" t="s">
        <v>218</v>
      </c>
      <c r="G904" s="199" t="s">
        <v>340</v>
      </c>
      <c r="H904" s="388">
        <f>SUM(H905:H907)</f>
        <v>2780</v>
      </c>
      <c r="I904" s="388"/>
      <c r="J904" s="388">
        <f t="shared" si="332"/>
        <v>2780</v>
      </c>
      <c r="K904" s="145"/>
      <c r="L904" s="396"/>
      <c r="M904" s="396"/>
      <c r="N904" s="396"/>
      <c r="O904" s="145"/>
      <c r="P904" s="166">
        <f t="shared" si="329"/>
        <v>2780</v>
      </c>
      <c r="Q904" s="166">
        <f t="shared" si="336"/>
        <v>0</v>
      </c>
      <c r="R904" s="166">
        <f t="shared" si="336"/>
        <v>2780</v>
      </c>
    </row>
    <row r="905" spans="2:18" x14ac:dyDescent="0.2">
      <c r="B905" s="171">
        <f t="shared" si="325"/>
        <v>549</v>
      </c>
      <c r="C905" s="143"/>
      <c r="D905" s="144"/>
      <c r="E905" s="131"/>
      <c r="F905" s="131" t="s">
        <v>200</v>
      </c>
      <c r="G905" s="194" t="s">
        <v>247</v>
      </c>
      <c r="H905" s="527">
        <v>1850</v>
      </c>
      <c r="I905" s="527"/>
      <c r="J905" s="527">
        <f t="shared" si="332"/>
        <v>1850</v>
      </c>
      <c r="K905" s="145"/>
      <c r="L905" s="396"/>
      <c r="M905" s="396"/>
      <c r="N905" s="396"/>
      <c r="O905" s="145"/>
      <c r="P905" s="167">
        <f t="shared" si="329"/>
        <v>1850</v>
      </c>
      <c r="Q905" s="167">
        <f t="shared" si="336"/>
        <v>0</v>
      </c>
      <c r="R905" s="167">
        <f t="shared" si="336"/>
        <v>1850</v>
      </c>
    </row>
    <row r="906" spans="2:18" x14ac:dyDescent="0.2">
      <c r="B906" s="171">
        <f t="shared" si="325"/>
        <v>550</v>
      </c>
      <c r="C906" s="143"/>
      <c r="D906" s="144"/>
      <c r="E906" s="131"/>
      <c r="F906" s="131" t="s">
        <v>214</v>
      </c>
      <c r="G906" s="194" t="s">
        <v>261</v>
      </c>
      <c r="H906" s="527">
        <v>100</v>
      </c>
      <c r="I906" s="527"/>
      <c r="J906" s="527">
        <f t="shared" si="332"/>
        <v>100</v>
      </c>
      <c r="K906" s="145"/>
      <c r="L906" s="396"/>
      <c r="M906" s="396"/>
      <c r="N906" s="396"/>
      <c r="O906" s="145"/>
      <c r="P906" s="167">
        <f t="shared" si="329"/>
        <v>100</v>
      </c>
      <c r="Q906" s="167">
        <f t="shared" si="336"/>
        <v>0</v>
      </c>
      <c r="R906" s="167">
        <f t="shared" si="336"/>
        <v>100</v>
      </c>
    </row>
    <row r="907" spans="2:18" x14ac:dyDescent="0.2">
      <c r="B907" s="171">
        <f t="shared" si="325"/>
        <v>551</v>
      </c>
      <c r="C907" s="143"/>
      <c r="D907" s="144"/>
      <c r="E907" s="131"/>
      <c r="F907" s="131" t="s">
        <v>216</v>
      </c>
      <c r="G907" s="194" t="s">
        <v>248</v>
      </c>
      <c r="H907" s="527">
        <v>830</v>
      </c>
      <c r="I907" s="527"/>
      <c r="J907" s="527">
        <f t="shared" si="332"/>
        <v>830</v>
      </c>
      <c r="K907" s="145"/>
      <c r="L907" s="396"/>
      <c r="M907" s="396"/>
      <c r="N907" s="396"/>
      <c r="O907" s="145"/>
      <c r="P907" s="167">
        <f t="shared" si="329"/>
        <v>830</v>
      </c>
      <c r="Q907" s="167">
        <f t="shared" si="336"/>
        <v>0</v>
      </c>
      <c r="R907" s="167">
        <f t="shared" si="336"/>
        <v>830</v>
      </c>
    </row>
    <row r="908" spans="2:18" x14ac:dyDescent="0.2">
      <c r="B908" s="171">
        <f t="shared" si="325"/>
        <v>552</v>
      </c>
      <c r="C908" s="143"/>
      <c r="D908" s="144"/>
      <c r="E908" s="169"/>
      <c r="F908" s="436" t="s">
        <v>606</v>
      </c>
      <c r="G908" s="489" t="s">
        <v>729</v>
      </c>
      <c r="H908" s="527"/>
      <c r="I908" s="527"/>
      <c r="J908" s="527">
        <f t="shared" si="332"/>
        <v>0</v>
      </c>
      <c r="K908" s="145"/>
      <c r="L908" s="396">
        <v>4850</v>
      </c>
      <c r="M908" s="396"/>
      <c r="N908" s="396">
        <f t="shared" si="326"/>
        <v>4850</v>
      </c>
      <c r="O908" s="145"/>
      <c r="P908" s="166">
        <f t="shared" si="329"/>
        <v>4850</v>
      </c>
      <c r="Q908" s="166">
        <f t="shared" si="336"/>
        <v>0</v>
      </c>
      <c r="R908" s="166">
        <f t="shared" si="336"/>
        <v>4850</v>
      </c>
    </row>
    <row r="909" spans="2:18" ht="15" x14ac:dyDescent="0.25">
      <c r="B909" s="171">
        <f t="shared" si="325"/>
        <v>553</v>
      </c>
      <c r="C909" s="143"/>
      <c r="D909" s="261" t="s">
        <v>356</v>
      </c>
      <c r="E909" s="175" t="s">
        <v>404</v>
      </c>
      <c r="F909" s="147" t="s">
        <v>410</v>
      </c>
      <c r="G909" s="236"/>
      <c r="H909" s="425">
        <f>SUM(H910:H912)</f>
        <v>23895</v>
      </c>
      <c r="I909" s="425">
        <f t="shared" ref="I909" si="339">SUM(I910:I912)</f>
        <v>0</v>
      </c>
      <c r="J909" s="425">
        <f t="shared" si="332"/>
        <v>23895</v>
      </c>
      <c r="K909" s="334"/>
      <c r="L909" s="854">
        <f>L916</f>
        <v>2940</v>
      </c>
      <c r="M909" s="854">
        <f t="shared" ref="M909" si="340">M916</f>
        <v>0</v>
      </c>
      <c r="N909" s="854">
        <f t="shared" si="326"/>
        <v>2940</v>
      </c>
      <c r="O909" s="334"/>
      <c r="P909" s="330">
        <f t="shared" si="329"/>
        <v>26835</v>
      </c>
      <c r="Q909" s="330">
        <f t="shared" si="336"/>
        <v>0</v>
      </c>
      <c r="R909" s="330">
        <f t="shared" si="336"/>
        <v>26835</v>
      </c>
    </row>
    <row r="910" spans="2:18" x14ac:dyDescent="0.2">
      <c r="B910" s="171">
        <f t="shared" si="325"/>
        <v>554</v>
      </c>
      <c r="C910" s="143"/>
      <c r="D910" s="144"/>
      <c r="E910" s="131"/>
      <c r="F910" s="144" t="s">
        <v>211</v>
      </c>
      <c r="G910" s="199" t="s">
        <v>505</v>
      </c>
      <c r="H910" s="388">
        <f>16520+826-1462</f>
        <v>15884</v>
      </c>
      <c r="I910" s="388"/>
      <c r="J910" s="388">
        <f t="shared" si="332"/>
        <v>15884</v>
      </c>
      <c r="K910" s="145"/>
      <c r="L910" s="396"/>
      <c r="M910" s="396"/>
      <c r="N910" s="396"/>
      <c r="O910" s="145"/>
      <c r="P910" s="166">
        <f t="shared" si="329"/>
        <v>15884</v>
      </c>
      <c r="Q910" s="166">
        <f t="shared" si="336"/>
        <v>0</v>
      </c>
      <c r="R910" s="166">
        <f t="shared" si="336"/>
        <v>15884</v>
      </c>
    </row>
    <row r="911" spans="2:18" x14ac:dyDescent="0.2">
      <c r="B911" s="171">
        <f t="shared" si="325"/>
        <v>555</v>
      </c>
      <c r="C911" s="143"/>
      <c r="D911" s="144"/>
      <c r="E911" s="131"/>
      <c r="F911" s="144" t="s">
        <v>212</v>
      </c>
      <c r="G911" s="199" t="s">
        <v>259</v>
      </c>
      <c r="H911" s="388">
        <f>6036+302-497</f>
        <v>5841</v>
      </c>
      <c r="I911" s="388"/>
      <c r="J911" s="388">
        <f t="shared" si="332"/>
        <v>5841</v>
      </c>
      <c r="K911" s="145"/>
      <c r="L911" s="396"/>
      <c r="M911" s="396"/>
      <c r="N911" s="396"/>
      <c r="O911" s="145"/>
      <c r="P911" s="166">
        <f t="shared" si="329"/>
        <v>5841</v>
      </c>
      <c r="Q911" s="166">
        <f t="shared" si="336"/>
        <v>0</v>
      </c>
      <c r="R911" s="166">
        <f t="shared" si="336"/>
        <v>5841</v>
      </c>
    </row>
    <row r="912" spans="2:18" x14ac:dyDescent="0.2">
      <c r="B912" s="171">
        <f t="shared" si="325"/>
        <v>556</v>
      </c>
      <c r="C912" s="143"/>
      <c r="D912" s="144"/>
      <c r="E912" s="131"/>
      <c r="F912" s="144" t="s">
        <v>218</v>
      </c>
      <c r="G912" s="199" t="s">
        <v>340</v>
      </c>
      <c r="H912" s="388">
        <f>SUM(H913:H915)</f>
        <v>2170</v>
      </c>
      <c r="I912" s="388"/>
      <c r="J912" s="388">
        <f t="shared" si="332"/>
        <v>2170</v>
      </c>
      <c r="K912" s="145"/>
      <c r="L912" s="396"/>
      <c r="M912" s="396"/>
      <c r="N912" s="396"/>
      <c r="O912" s="145"/>
      <c r="P912" s="166">
        <f t="shared" si="329"/>
        <v>2170</v>
      </c>
      <c r="Q912" s="166">
        <f t="shared" si="336"/>
        <v>0</v>
      </c>
      <c r="R912" s="166">
        <f t="shared" si="336"/>
        <v>2170</v>
      </c>
    </row>
    <row r="913" spans="2:18" x14ac:dyDescent="0.2">
      <c r="B913" s="171">
        <f t="shared" si="325"/>
        <v>557</v>
      </c>
      <c r="C913" s="143"/>
      <c r="D913" s="144"/>
      <c r="E913" s="131"/>
      <c r="F913" s="131" t="s">
        <v>200</v>
      </c>
      <c r="G913" s="194" t="s">
        <v>247</v>
      </c>
      <c r="H913" s="527">
        <v>1230</v>
      </c>
      <c r="I913" s="527"/>
      <c r="J913" s="527">
        <f t="shared" si="332"/>
        <v>1230</v>
      </c>
      <c r="K913" s="145"/>
      <c r="L913" s="396"/>
      <c r="M913" s="396"/>
      <c r="N913" s="396"/>
      <c r="O913" s="145"/>
      <c r="P913" s="167">
        <f t="shared" si="329"/>
        <v>1230</v>
      </c>
      <c r="Q913" s="167">
        <f t="shared" si="336"/>
        <v>0</v>
      </c>
      <c r="R913" s="167">
        <f t="shared" si="336"/>
        <v>1230</v>
      </c>
    </row>
    <row r="914" spans="2:18" x14ac:dyDescent="0.2">
      <c r="B914" s="171">
        <f t="shared" si="325"/>
        <v>558</v>
      </c>
      <c r="C914" s="143"/>
      <c r="D914" s="144"/>
      <c r="E914" s="131"/>
      <c r="F914" s="131" t="s">
        <v>214</v>
      </c>
      <c r="G914" s="194" t="s">
        <v>261</v>
      </c>
      <c r="H914" s="527">
        <v>100</v>
      </c>
      <c r="I914" s="527"/>
      <c r="J914" s="527">
        <f t="shared" si="332"/>
        <v>100</v>
      </c>
      <c r="K914" s="145"/>
      <c r="L914" s="396"/>
      <c r="M914" s="396"/>
      <c r="N914" s="396"/>
      <c r="O914" s="145"/>
      <c r="P914" s="167">
        <f t="shared" si="329"/>
        <v>100</v>
      </c>
      <c r="Q914" s="167">
        <f t="shared" si="336"/>
        <v>0</v>
      </c>
      <c r="R914" s="167">
        <f t="shared" si="336"/>
        <v>100</v>
      </c>
    </row>
    <row r="915" spans="2:18" x14ac:dyDescent="0.2">
      <c r="B915" s="171">
        <f t="shared" si="325"/>
        <v>559</v>
      </c>
      <c r="C915" s="143"/>
      <c r="D915" s="144"/>
      <c r="E915" s="131"/>
      <c r="F915" s="131" t="s">
        <v>216</v>
      </c>
      <c r="G915" s="194" t="s">
        <v>248</v>
      </c>
      <c r="H915" s="527">
        <v>840</v>
      </c>
      <c r="I915" s="527"/>
      <c r="J915" s="527">
        <f t="shared" si="332"/>
        <v>840</v>
      </c>
      <c r="K915" s="145"/>
      <c r="L915" s="396"/>
      <c r="M915" s="396"/>
      <c r="N915" s="396"/>
      <c r="O915" s="145"/>
      <c r="P915" s="167">
        <f t="shared" si="329"/>
        <v>840</v>
      </c>
      <c r="Q915" s="167">
        <f t="shared" ref="Q915:R930" si="341">I915+M915</f>
        <v>0</v>
      </c>
      <c r="R915" s="167">
        <f t="shared" si="341"/>
        <v>840</v>
      </c>
    </row>
    <row r="916" spans="2:18" x14ac:dyDescent="0.2">
      <c r="B916" s="171">
        <f t="shared" si="325"/>
        <v>560</v>
      </c>
      <c r="C916" s="130"/>
      <c r="D916" s="131"/>
      <c r="E916" s="169"/>
      <c r="F916" s="436" t="s">
        <v>606</v>
      </c>
      <c r="G916" s="489" t="s">
        <v>657</v>
      </c>
      <c r="H916" s="399"/>
      <c r="I916" s="399"/>
      <c r="J916" s="399">
        <f t="shared" si="332"/>
        <v>0</v>
      </c>
      <c r="K916" s="339"/>
      <c r="L916" s="402">
        <f>2880+60</f>
        <v>2940</v>
      </c>
      <c r="M916" s="402"/>
      <c r="N916" s="402">
        <f t="shared" si="326"/>
        <v>2940</v>
      </c>
      <c r="O916" s="339"/>
      <c r="P916" s="166">
        <f t="shared" si="329"/>
        <v>2940</v>
      </c>
      <c r="Q916" s="166">
        <f t="shared" si="341"/>
        <v>0</v>
      </c>
      <c r="R916" s="166">
        <f t="shared" si="341"/>
        <v>2940</v>
      </c>
    </row>
    <row r="917" spans="2:18" ht="15" x14ac:dyDescent="0.25">
      <c r="B917" s="171">
        <f t="shared" si="325"/>
        <v>561</v>
      </c>
      <c r="C917" s="143"/>
      <c r="D917" s="261" t="s">
        <v>358</v>
      </c>
      <c r="E917" s="175" t="s">
        <v>404</v>
      </c>
      <c r="F917" s="147" t="s">
        <v>411</v>
      </c>
      <c r="G917" s="236"/>
      <c r="H917" s="488">
        <f>SUM(H918:H920)+H924</f>
        <v>14327</v>
      </c>
      <c r="I917" s="488">
        <f t="shared" ref="I917" si="342">SUM(I918:I920)+I924</f>
        <v>0</v>
      </c>
      <c r="J917" s="488">
        <f t="shared" si="332"/>
        <v>14327</v>
      </c>
      <c r="K917" s="334"/>
      <c r="L917" s="854"/>
      <c r="M917" s="854"/>
      <c r="N917" s="854"/>
      <c r="O917" s="334"/>
      <c r="P917" s="330">
        <f t="shared" si="329"/>
        <v>14327</v>
      </c>
      <c r="Q917" s="330">
        <f t="shared" si="341"/>
        <v>0</v>
      </c>
      <c r="R917" s="330">
        <f t="shared" si="341"/>
        <v>14327</v>
      </c>
    </row>
    <row r="918" spans="2:18" x14ac:dyDescent="0.2">
      <c r="B918" s="171">
        <f t="shared" si="325"/>
        <v>562</v>
      </c>
      <c r="C918" s="143"/>
      <c r="D918" s="144"/>
      <c r="E918" s="131"/>
      <c r="F918" s="144" t="s">
        <v>211</v>
      </c>
      <c r="G918" s="199" t="s">
        <v>505</v>
      </c>
      <c r="H918" s="388">
        <f>9850+493-1918</f>
        <v>8425</v>
      </c>
      <c r="I918" s="388"/>
      <c r="J918" s="388">
        <f t="shared" si="332"/>
        <v>8425</v>
      </c>
      <c r="K918" s="145"/>
      <c r="L918" s="396"/>
      <c r="M918" s="396"/>
      <c r="N918" s="396"/>
      <c r="O918" s="145"/>
      <c r="P918" s="166">
        <f t="shared" si="329"/>
        <v>8425</v>
      </c>
      <c r="Q918" s="166">
        <f t="shared" si="341"/>
        <v>0</v>
      </c>
      <c r="R918" s="166">
        <f t="shared" si="341"/>
        <v>8425</v>
      </c>
    </row>
    <row r="919" spans="2:18" x14ac:dyDescent="0.2">
      <c r="B919" s="171">
        <f t="shared" si="325"/>
        <v>563</v>
      </c>
      <c r="C919" s="143"/>
      <c r="D919" s="144"/>
      <c r="E919" s="131"/>
      <c r="F919" s="144" t="s">
        <v>212</v>
      </c>
      <c r="G919" s="199" t="s">
        <v>259</v>
      </c>
      <c r="H919" s="388">
        <f>3644+182-379</f>
        <v>3447</v>
      </c>
      <c r="I919" s="388"/>
      <c r="J919" s="388">
        <f t="shared" si="332"/>
        <v>3447</v>
      </c>
      <c r="K919" s="145"/>
      <c r="L919" s="396"/>
      <c r="M919" s="396"/>
      <c r="N919" s="396"/>
      <c r="O919" s="145"/>
      <c r="P919" s="166">
        <f t="shared" si="329"/>
        <v>3447</v>
      </c>
      <c r="Q919" s="166">
        <f t="shared" si="341"/>
        <v>0</v>
      </c>
      <c r="R919" s="166">
        <f t="shared" si="341"/>
        <v>3447</v>
      </c>
    </row>
    <row r="920" spans="2:18" x14ac:dyDescent="0.2">
      <c r="B920" s="171">
        <f t="shared" si="325"/>
        <v>564</v>
      </c>
      <c r="C920" s="143"/>
      <c r="D920" s="144"/>
      <c r="E920" s="131"/>
      <c r="F920" s="144" t="s">
        <v>218</v>
      </c>
      <c r="G920" s="199" t="s">
        <v>340</v>
      </c>
      <c r="H920" s="388">
        <f>SUM(H921:H923)</f>
        <v>1595</v>
      </c>
      <c r="I920" s="388"/>
      <c r="J920" s="388">
        <f t="shared" si="332"/>
        <v>1595</v>
      </c>
      <c r="K920" s="145"/>
      <c r="L920" s="396"/>
      <c r="M920" s="396"/>
      <c r="N920" s="396"/>
      <c r="O920" s="145"/>
      <c r="P920" s="166">
        <f t="shared" si="329"/>
        <v>1595</v>
      </c>
      <c r="Q920" s="166">
        <f t="shared" si="341"/>
        <v>0</v>
      </c>
      <c r="R920" s="166">
        <f t="shared" si="341"/>
        <v>1595</v>
      </c>
    </row>
    <row r="921" spans="2:18" x14ac:dyDescent="0.2">
      <c r="B921" s="171">
        <f t="shared" si="325"/>
        <v>565</v>
      </c>
      <c r="C921" s="143"/>
      <c r="D921" s="144"/>
      <c r="E921" s="131"/>
      <c r="F921" s="131" t="s">
        <v>200</v>
      </c>
      <c r="G921" s="194" t="s">
        <v>247</v>
      </c>
      <c r="H921" s="527">
        <v>815</v>
      </c>
      <c r="I921" s="527"/>
      <c r="J921" s="527">
        <f t="shared" si="332"/>
        <v>815</v>
      </c>
      <c r="K921" s="145"/>
      <c r="L921" s="396"/>
      <c r="M921" s="396"/>
      <c r="N921" s="396"/>
      <c r="O921" s="145"/>
      <c r="P921" s="167">
        <f t="shared" si="329"/>
        <v>815</v>
      </c>
      <c r="Q921" s="167">
        <f t="shared" si="341"/>
        <v>0</v>
      </c>
      <c r="R921" s="167">
        <f t="shared" si="341"/>
        <v>815</v>
      </c>
    </row>
    <row r="922" spans="2:18" x14ac:dyDescent="0.2">
      <c r="B922" s="171">
        <f t="shared" si="325"/>
        <v>566</v>
      </c>
      <c r="C922" s="143"/>
      <c r="D922" s="144"/>
      <c r="E922" s="131"/>
      <c r="F922" s="131" t="s">
        <v>214</v>
      </c>
      <c r="G922" s="194" t="s">
        <v>261</v>
      </c>
      <c r="H922" s="527">
        <v>60</v>
      </c>
      <c r="I922" s="527"/>
      <c r="J922" s="527">
        <f t="shared" si="332"/>
        <v>60</v>
      </c>
      <c r="K922" s="145"/>
      <c r="L922" s="396"/>
      <c r="M922" s="396"/>
      <c r="N922" s="396"/>
      <c r="O922" s="145"/>
      <c r="P922" s="167">
        <f t="shared" si="329"/>
        <v>60</v>
      </c>
      <c r="Q922" s="167">
        <f t="shared" si="341"/>
        <v>0</v>
      </c>
      <c r="R922" s="167">
        <f t="shared" si="341"/>
        <v>60</v>
      </c>
    </row>
    <row r="923" spans="2:18" x14ac:dyDescent="0.2">
      <c r="B923" s="171">
        <f t="shared" si="325"/>
        <v>567</v>
      </c>
      <c r="C923" s="143"/>
      <c r="D923" s="144"/>
      <c r="E923" s="131"/>
      <c r="F923" s="131" t="s">
        <v>216</v>
      </c>
      <c r="G923" s="194" t="s">
        <v>248</v>
      </c>
      <c r="H923" s="527">
        <v>720</v>
      </c>
      <c r="I923" s="527"/>
      <c r="J923" s="527">
        <f t="shared" si="332"/>
        <v>720</v>
      </c>
      <c r="K923" s="145"/>
      <c r="L923" s="396"/>
      <c r="M923" s="396"/>
      <c r="N923" s="396"/>
      <c r="O923" s="145"/>
      <c r="P923" s="167">
        <f t="shared" si="329"/>
        <v>720</v>
      </c>
      <c r="Q923" s="167">
        <f t="shared" si="341"/>
        <v>0</v>
      </c>
      <c r="R923" s="167">
        <f t="shared" si="341"/>
        <v>720</v>
      </c>
    </row>
    <row r="924" spans="2:18" x14ac:dyDescent="0.2">
      <c r="B924" s="171">
        <f t="shared" si="325"/>
        <v>568</v>
      </c>
      <c r="C924" s="143"/>
      <c r="D924" s="144"/>
      <c r="E924" s="169"/>
      <c r="F924" s="144" t="s">
        <v>217</v>
      </c>
      <c r="G924" s="199" t="s">
        <v>504</v>
      </c>
      <c r="H924" s="388">
        <v>860</v>
      </c>
      <c r="I924" s="388"/>
      <c r="J924" s="388">
        <f t="shared" si="332"/>
        <v>860</v>
      </c>
      <c r="K924" s="145"/>
      <c r="L924" s="396"/>
      <c r="M924" s="396"/>
      <c r="N924" s="396"/>
      <c r="O924" s="145"/>
      <c r="P924" s="166">
        <f t="shared" si="329"/>
        <v>860</v>
      </c>
      <c r="Q924" s="166">
        <f t="shared" si="341"/>
        <v>0</v>
      </c>
      <c r="R924" s="166">
        <f t="shared" si="341"/>
        <v>860</v>
      </c>
    </row>
    <row r="925" spans="2:18" ht="15" x14ac:dyDescent="0.25">
      <c r="B925" s="171">
        <f t="shared" si="325"/>
        <v>569</v>
      </c>
      <c r="C925" s="143"/>
      <c r="D925" s="261" t="s">
        <v>360</v>
      </c>
      <c r="E925" s="175" t="s">
        <v>404</v>
      </c>
      <c r="F925" s="147" t="s">
        <v>412</v>
      </c>
      <c r="G925" s="236"/>
      <c r="H925" s="425">
        <f>SUM(H926:H928)</f>
        <v>18768</v>
      </c>
      <c r="I925" s="425">
        <f t="shared" ref="I925" si="343">SUM(I926:I928)</f>
        <v>0</v>
      </c>
      <c r="J925" s="425">
        <f t="shared" si="332"/>
        <v>18768</v>
      </c>
      <c r="K925" s="334"/>
      <c r="L925" s="854">
        <f>L932</f>
        <v>600</v>
      </c>
      <c r="M925" s="854">
        <f t="shared" ref="M925" si="344">M932</f>
        <v>0</v>
      </c>
      <c r="N925" s="854">
        <f t="shared" si="326"/>
        <v>600</v>
      </c>
      <c r="O925" s="334"/>
      <c r="P925" s="330">
        <f t="shared" si="329"/>
        <v>19368</v>
      </c>
      <c r="Q925" s="330">
        <f t="shared" si="341"/>
        <v>0</v>
      </c>
      <c r="R925" s="330">
        <f t="shared" si="341"/>
        <v>19368</v>
      </c>
    </row>
    <row r="926" spans="2:18" x14ac:dyDescent="0.2">
      <c r="B926" s="171">
        <f t="shared" si="325"/>
        <v>570</v>
      </c>
      <c r="C926" s="143"/>
      <c r="D926" s="144"/>
      <c r="E926" s="131"/>
      <c r="F926" s="144" t="s">
        <v>211</v>
      </c>
      <c r="G926" s="199" t="s">
        <v>505</v>
      </c>
      <c r="H926" s="388">
        <f>12135+607-292</f>
        <v>12450</v>
      </c>
      <c r="I926" s="388"/>
      <c r="J926" s="388">
        <f t="shared" si="332"/>
        <v>12450</v>
      </c>
      <c r="K926" s="145"/>
      <c r="L926" s="396"/>
      <c r="M926" s="396"/>
      <c r="N926" s="396"/>
      <c r="O926" s="145"/>
      <c r="P926" s="166">
        <f t="shared" si="329"/>
        <v>12450</v>
      </c>
      <c r="Q926" s="166">
        <f t="shared" si="341"/>
        <v>0</v>
      </c>
      <c r="R926" s="166">
        <f t="shared" si="341"/>
        <v>12450</v>
      </c>
    </row>
    <row r="927" spans="2:18" x14ac:dyDescent="0.2">
      <c r="B927" s="171">
        <f t="shared" si="325"/>
        <v>571</v>
      </c>
      <c r="C927" s="143"/>
      <c r="D927" s="144"/>
      <c r="E927" s="131"/>
      <c r="F927" s="144" t="s">
        <v>212</v>
      </c>
      <c r="G927" s="199" t="s">
        <v>259</v>
      </c>
      <c r="H927" s="388">
        <f>4490+225-122</f>
        <v>4593</v>
      </c>
      <c r="I927" s="388"/>
      <c r="J927" s="388">
        <f t="shared" si="332"/>
        <v>4593</v>
      </c>
      <c r="K927" s="145"/>
      <c r="L927" s="396"/>
      <c r="M927" s="396"/>
      <c r="N927" s="396"/>
      <c r="O927" s="145"/>
      <c r="P927" s="166">
        <f t="shared" si="329"/>
        <v>4593</v>
      </c>
      <c r="Q927" s="166">
        <f t="shared" si="341"/>
        <v>0</v>
      </c>
      <c r="R927" s="166">
        <f t="shared" si="341"/>
        <v>4593</v>
      </c>
    </row>
    <row r="928" spans="2:18" x14ac:dyDescent="0.2">
      <c r="B928" s="171">
        <f t="shared" si="325"/>
        <v>572</v>
      </c>
      <c r="C928" s="143"/>
      <c r="D928" s="144"/>
      <c r="E928" s="131"/>
      <c r="F928" s="144" t="s">
        <v>218</v>
      </c>
      <c r="G928" s="199" t="s">
        <v>340</v>
      </c>
      <c r="H928" s="388">
        <f>SUM(H929:H931)</f>
        <v>1725</v>
      </c>
      <c r="I928" s="388"/>
      <c r="J928" s="388">
        <f t="shared" si="332"/>
        <v>1725</v>
      </c>
      <c r="K928" s="145"/>
      <c r="L928" s="396"/>
      <c r="M928" s="396"/>
      <c r="N928" s="396"/>
      <c r="O928" s="145"/>
      <c r="P928" s="166">
        <f t="shared" si="329"/>
        <v>1725</v>
      </c>
      <c r="Q928" s="166">
        <f t="shared" si="341"/>
        <v>0</v>
      </c>
      <c r="R928" s="166">
        <f t="shared" si="341"/>
        <v>1725</v>
      </c>
    </row>
    <row r="929" spans="2:18" x14ac:dyDescent="0.2">
      <c r="B929" s="619">
        <f t="shared" si="325"/>
        <v>573</v>
      </c>
      <c r="C929" s="620"/>
      <c r="D929" s="621"/>
      <c r="E929" s="306"/>
      <c r="F929" s="306" t="s">
        <v>200</v>
      </c>
      <c r="G929" s="223" t="s">
        <v>247</v>
      </c>
      <c r="H929" s="528">
        <v>815</v>
      </c>
      <c r="I929" s="528"/>
      <c r="J929" s="528">
        <f t="shared" si="332"/>
        <v>815</v>
      </c>
      <c r="K929" s="145"/>
      <c r="L929" s="396"/>
      <c r="M929" s="396"/>
      <c r="N929" s="396"/>
      <c r="O929" s="145"/>
      <c r="P929" s="167">
        <f t="shared" si="329"/>
        <v>815</v>
      </c>
      <c r="Q929" s="167">
        <f t="shared" si="341"/>
        <v>0</v>
      </c>
      <c r="R929" s="167">
        <f t="shared" si="341"/>
        <v>815</v>
      </c>
    </row>
    <row r="930" spans="2:18" x14ac:dyDescent="0.2">
      <c r="B930" s="623">
        <f t="shared" si="325"/>
        <v>574</v>
      </c>
      <c r="C930" s="289"/>
      <c r="D930" s="284"/>
      <c r="E930" s="290"/>
      <c r="F930" s="290" t="s">
        <v>214</v>
      </c>
      <c r="G930" s="202" t="s">
        <v>261</v>
      </c>
      <c r="H930" s="527">
        <v>100</v>
      </c>
      <c r="I930" s="527"/>
      <c r="J930" s="527">
        <f t="shared" si="332"/>
        <v>100</v>
      </c>
      <c r="K930" s="243"/>
      <c r="L930" s="388"/>
      <c r="M930" s="388"/>
      <c r="N930" s="388"/>
      <c r="O930" s="243"/>
      <c r="P930" s="168">
        <f t="shared" si="329"/>
        <v>100</v>
      </c>
      <c r="Q930" s="168">
        <f t="shared" si="341"/>
        <v>0</v>
      </c>
      <c r="R930" s="168">
        <f t="shared" si="341"/>
        <v>100</v>
      </c>
    </row>
    <row r="931" spans="2:18" x14ac:dyDescent="0.2">
      <c r="B931" s="623">
        <f t="shared" si="325"/>
        <v>575</v>
      </c>
      <c r="C931" s="289"/>
      <c r="D931" s="284"/>
      <c r="E931" s="290"/>
      <c r="F931" s="290" t="s">
        <v>216</v>
      </c>
      <c r="G931" s="202" t="s">
        <v>248</v>
      </c>
      <c r="H931" s="527">
        <v>810</v>
      </c>
      <c r="I931" s="527"/>
      <c r="J931" s="527">
        <f t="shared" si="332"/>
        <v>810</v>
      </c>
      <c r="K931" s="243"/>
      <c r="L931" s="388"/>
      <c r="M931" s="388"/>
      <c r="N931" s="388"/>
      <c r="O931" s="243"/>
      <c r="P931" s="168">
        <f t="shared" si="329"/>
        <v>810</v>
      </c>
      <c r="Q931" s="168">
        <f t="shared" ref="Q931:R946" si="345">I931+M931</f>
        <v>0</v>
      </c>
      <c r="R931" s="168">
        <f t="shared" si="345"/>
        <v>810</v>
      </c>
    </row>
    <row r="932" spans="2:18" x14ac:dyDescent="0.2">
      <c r="B932" s="623">
        <f t="shared" si="325"/>
        <v>576</v>
      </c>
      <c r="C932" s="289"/>
      <c r="D932" s="284"/>
      <c r="E932" s="290"/>
      <c r="F932" s="284" t="s">
        <v>606</v>
      </c>
      <c r="G932" s="203" t="s">
        <v>725</v>
      </c>
      <c r="H932" s="527"/>
      <c r="I932" s="527"/>
      <c r="J932" s="527">
        <f t="shared" si="332"/>
        <v>0</v>
      </c>
      <c r="K932" s="243"/>
      <c r="L932" s="388">
        <v>600</v>
      </c>
      <c r="M932" s="388"/>
      <c r="N932" s="388">
        <f t="shared" si="326"/>
        <v>600</v>
      </c>
      <c r="O932" s="243"/>
      <c r="P932" s="531">
        <f t="shared" si="329"/>
        <v>600</v>
      </c>
      <c r="Q932" s="531">
        <f t="shared" si="345"/>
        <v>0</v>
      </c>
      <c r="R932" s="531">
        <f t="shared" si="345"/>
        <v>600</v>
      </c>
    </row>
    <row r="933" spans="2:18" ht="15" x14ac:dyDescent="0.25">
      <c r="B933" s="623">
        <f t="shared" si="325"/>
        <v>577</v>
      </c>
      <c r="C933" s="289"/>
      <c r="D933" s="284"/>
      <c r="E933" s="624" t="s">
        <v>510</v>
      </c>
      <c r="F933" s="290"/>
      <c r="G933" s="202"/>
      <c r="H933" s="431">
        <f>H934+H955+H974+H996+H1015+H1034+H1055+H1075</f>
        <v>666135</v>
      </c>
      <c r="I933" s="431">
        <f t="shared" ref="I933" si="346">I934+I955+I974+I996+I1015+I1034+I1055+I1075</f>
        <v>-1000</v>
      </c>
      <c r="J933" s="431">
        <f t="shared" si="332"/>
        <v>665135</v>
      </c>
      <c r="K933" s="243"/>
      <c r="L933" s="388">
        <f>L934+L955+L974+L996+L1015+L1034+L1055+L1075</f>
        <v>86500</v>
      </c>
      <c r="M933" s="388">
        <f>M934+M955+M974+M996+M1015+M1034+M1055+M1075</f>
        <v>0</v>
      </c>
      <c r="N933" s="388">
        <f t="shared" si="326"/>
        <v>86500</v>
      </c>
      <c r="O933" s="243"/>
      <c r="P933" s="531">
        <f t="shared" si="329"/>
        <v>752635</v>
      </c>
      <c r="Q933" s="531">
        <f t="shared" si="345"/>
        <v>-1000</v>
      </c>
      <c r="R933" s="531">
        <f t="shared" si="345"/>
        <v>751635</v>
      </c>
    </row>
    <row r="934" spans="2:18" ht="15" x14ac:dyDescent="0.25">
      <c r="B934" s="623">
        <f t="shared" si="325"/>
        <v>578</v>
      </c>
      <c r="C934" s="289"/>
      <c r="D934" s="625" t="s">
        <v>362</v>
      </c>
      <c r="E934" s="175"/>
      <c r="F934" s="355" t="s">
        <v>377</v>
      </c>
      <c r="G934" s="236"/>
      <c r="H934" s="425">
        <f>H935+H945</f>
        <v>92290</v>
      </c>
      <c r="I934" s="425">
        <f t="shared" ref="I934" si="347">I935+I945</f>
        <v>0</v>
      </c>
      <c r="J934" s="425">
        <f t="shared" si="332"/>
        <v>92290</v>
      </c>
      <c r="K934" s="626"/>
      <c r="L934" s="426"/>
      <c r="M934" s="426"/>
      <c r="N934" s="426"/>
      <c r="O934" s="626"/>
      <c r="P934" s="345">
        <f t="shared" si="329"/>
        <v>92290</v>
      </c>
      <c r="Q934" s="345">
        <f t="shared" si="345"/>
        <v>0</v>
      </c>
      <c r="R934" s="345">
        <f t="shared" si="345"/>
        <v>92290</v>
      </c>
    </row>
    <row r="935" spans="2:18" ht="14.25" x14ac:dyDescent="0.2">
      <c r="B935" s="623">
        <f t="shared" si="325"/>
        <v>579</v>
      </c>
      <c r="C935" s="77"/>
      <c r="D935" s="627"/>
      <c r="E935" s="628" t="s">
        <v>688</v>
      </c>
      <c r="F935" s="629" t="s">
        <v>691</v>
      </c>
      <c r="G935" s="630"/>
      <c r="H935" s="524">
        <f>H936+H937+H938+H944</f>
        <v>36916</v>
      </c>
      <c r="I935" s="524">
        <f t="shared" ref="I935" si="348">I936+I937+I938+I944</f>
        <v>0</v>
      </c>
      <c r="J935" s="524">
        <f t="shared" si="332"/>
        <v>36916</v>
      </c>
      <c r="K935" s="631"/>
      <c r="L935" s="861"/>
      <c r="M935" s="861"/>
      <c r="N935" s="861"/>
      <c r="O935" s="631"/>
      <c r="P935" s="521">
        <f t="shared" si="329"/>
        <v>36916</v>
      </c>
      <c r="Q935" s="521">
        <f t="shared" si="345"/>
        <v>0</v>
      </c>
      <c r="R935" s="521">
        <f t="shared" si="345"/>
        <v>36916</v>
      </c>
    </row>
    <row r="936" spans="2:18" x14ac:dyDescent="0.2">
      <c r="B936" s="623">
        <f t="shared" si="325"/>
        <v>580</v>
      </c>
      <c r="C936" s="289"/>
      <c r="D936" s="284"/>
      <c r="E936" s="290"/>
      <c r="F936" s="284" t="s">
        <v>211</v>
      </c>
      <c r="G936" s="203" t="s">
        <v>505</v>
      </c>
      <c r="H936" s="530">
        <f>21840+1092</f>
        <v>22932</v>
      </c>
      <c r="I936" s="530"/>
      <c r="J936" s="530">
        <f t="shared" si="332"/>
        <v>22932</v>
      </c>
      <c r="K936" s="341"/>
      <c r="L936" s="530"/>
      <c r="M936" s="530"/>
      <c r="N936" s="530"/>
      <c r="O936" s="341"/>
      <c r="P936" s="531">
        <f t="shared" si="329"/>
        <v>22932</v>
      </c>
      <c r="Q936" s="531">
        <f t="shared" si="345"/>
        <v>0</v>
      </c>
      <c r="R936" s="531">
        <f t="shared" si="345"/>
        <v>22932</v>
      </c>
    </row>
    <row r="937" spans="2:18" x14ac:dyDescent="0.2">
      <c r="B937" s="171">
        <f t="shared" si="325"/>
        <v>581</v>
      </c>
      <c r="C937" s="143"/>
      <c r="D937" s="144"/>
      <c r="E937" s="131"/>
      <c r="F937" s="144" t="s">
        <v>212</v>
      </c>
      <c r="G937" s="199" t="s">
        <v>259</v>
      </c>
      <c r="H937" s="462">
        <f>7644+382</f>
        <v>8026</v>
      </c>
      <c r="I937" s="462"/>
      <c r="J937" s="462">
        <f t="shared" si="332"/>
        <v>8026</v>
      </c>
      <c r="K937" s="336"/>
      <c r="L937" s="870"/>
      <c r="M937" s="870"/>
      <c r="N937" s="870"/>
      <c r="O937" s="336"/>
      <c r="P937" s="622">
        <f t="shared" si="329"/>
        <v>8026</v>
      </c>
      <c r="Q937" s="622">
        <f t="shared" si="345"/>
        <v>0</v>
      </c>
      <c r="R937" s="622">
        <f t="shared" si="345"/>
        <v>8026</v>
      </c>
    </row>
    <row r="938" spans="2:18" x14ac:dyDescent="0.2">
      <c r="B938" s="171">
        <f t="shared" ref="B938:B1001" si="349">B937+1</f>
        <v>582</v>
      </c>
      <c r="C938" s="143"/>
      <c r="D938" s="144"/>
      <c r="E938" s="131"/>
      <c r="F938" s="144" t="s">
        <v>218</v>
      </c>
      <c r="G938" s="199" t="s">
        <v>340</v>
      </c>
      <c r="H938" s="530">
        <f>SUM(H939:H943)</f>
        <v>5858</v>
      </c>
      <c r="I938" s="530"/>
      <c r="J938" s="530">
        <f t="shared" si="332"/>
        <v>5858</v>
      </c>
      <c r="K938" s="336"/>
      <c r="L938" s="402"/>
      <c r="M938" s="402"/>
      <c r="N938" s="402"/>
      <c r="O938" s="336"/>
      <c r="P938" s="166">
        <f t="shared" si="329"/>
        <v>5858</v>
      </c>
      <c r="Q938" s="166">
        <f t="shared" si="345"/>
        <v>0</v>
      </c>
      <c r="R938" s="166">
        <f t="shared" si="345"/>
        <v>5858</v>
      </c>
    </row>
    <row r="939" spans="2:18" x14ac:dyDescent="0.2">
      <c r="B939" s="171">
        <f t="shared" si="349"/>
        <v>583</v>
      </c>
      <c r="C939" s="143"/>
      <c r="D939" s="144"/>
      <c r="E939" s="131"/>
      <c r="F939" s="131" t="s">
        <v>213</v>
      </c>
      <c r="G939" s="194" t="s">
        <v>255</v>
      </c>
      <c r="H939" s="399">
        <v>20</v>
      </c>
      <c r="I939" s="399"/>
      <c r="J939" s="399">
        <f t="shared" si="332"/>
        <v>20</v>
      </c>
      <c r="K939" s="336"/>
      <c r="L939" s="402"/>
      <c r="M939" s="402"/>
      <c r="N939" s="402"/>
      <c r="O939" s="336"/>
      <c r="P939" s="167">
        <f t="shared" si="329"/>
        <v>20</v>
      </c>
      <c r="Q939" s="167">
        <f t="shared" si="345"/>
        <v>0</v>
      </c>
      <c r="R939" s="167">
        <f t="shared" si="345"/>
        <v>20</v>
      </c>
    </row>
    <row r="940" spans="2:18" x14ac:dyDescent="0.2">
      <c r="B940" s="171">
        <f t="shared" si="349"/>
        <v>584</v>
      </c>
      <c r="C940" s="143"/>
      <c r="D940" s="144"/>
      <c r="E940" s="131"/>
      <c r="F940" s="131" t="s">
        <v>199</v>
      </c>
      <c r="G940" s="194" t="s">
        <v>318</v>
      </c>
      <c r="H940" s="399">
        <v>1824</v>
      </c>
      <c r="I940" s="399"/>
      <c r="J940" s="399">
        <f t="shared" si="332"/>
        <v>1824</v>
      </c>
      <c r="K940" s="336"/>
      <c r="L940" s="402"/>
      <c r="M940" s="402"/>
      <c r="N940" s="402"/>
      <c r="O940" s="336"/>
      <c r="P940" s="167">
        <f t="shared" si="329"/>
        <v>1824</v>
      </c>
      <c r="Q940" s="167">
        <f t="shared" si="345"/>
        <v>0</v>
      </c>
      <c r="R940" s="167">
        <f t="shared" si="345"/>
        <v>1824</v>
      </c>
    </row>
    <row r="941" spans="2:18" x14ac:dyDescent="0.2">
      <c r="B941" s="171">
        <f t="shared" si="349"/>
        <v>585</v>
      </c>
      <c r="C941" s="143"/>
      <c r="D941" s="144"/>
      <c r="E941" s="131"/>
      <c r="F941" s="131" t="s">
        <v>200</v>
      </c>
      <c r="G941" s="194" t="s">
        <v>247</v>
      </c>
      <c r="H941" s="399">
        <v>1530</v>
      </c>
      <c r="I941" s="399"/>
      <c r="J941" s="399">
        <f t="shared" si="332"/>
        <v>1530</v>
      </c>
      <c r="K941" s="336"/>
      <c r="L941" s="402"/>
      <c r="M941" s="402"/>
      <c r="N941" s="402"/>
      <c r="O941" s="336"/>
      <c r="P941" s="167">
        <f t="shared" si="329"/>
        <v>1530</v>
      </c>
      <c r="Q941" s="167">
        <f t="shared" si="345"/>
        <v>0</v>
      </c>
      <c r="R941" s="167">
        <f t="shared" si="345"/>
        <v>1530</v>
      </c>
    </row>
    <row r="942" spans="2:18" x14ac:dyDescent="0.2">
      <c r="B942" s="171">
        <f t="shared" si="349"/>
        <v>586</v>
      </c>
      <c r="C942" s="289"/>
      <c r="D942" s="284"/>
      <c r="E942" s="290"/>
      <c r="F942" s="290" t="s">
        <v>214</v>
      </c>
      <c r="G942" s="202" t="s">
        <v>261</v>
      </c>
      <c r="H942" s="399">
        <v>340</v>
      </c>
      <c r="I942" s="399"/>
      <c r="J942" s="399">
        <f t="shared" si="332"/>
        <v>340</v>
      </c>
      <c r="K942" s="336"/>
      <c r="L942" s="402"/>
      <c r="M942" s="402"/>
      <c r="N942" s="402"/>
      <c r="O942" s="336"/>
      <c r="P942" s="167">
        <f t="shared" si="329"/>
        <v>340</v>
      </c>
      <c r="Q942" s="167">
        <f t="shared" si="345"/>
        <v>0</v>
      </c>
      <c r="R942" s="167">
        <f t="shared" si="345"/>
        <v>340</v>
      </c>
    </row>
    <row r="943" spans="2:18" x14ac:dyDescent="0.2">
      <c r="B943" s="171">
        <f t="shared" si="349"/>
        <v>587</v>
      </c>
      <c r="C943" s="143"/>
      <c r="D943" s="144"/>
      <c r="E943" s="131"/>
      <c r="F943" s="131" t="s">
        <v>216</v>
      </c>
      <c r="G943" s="194" t="s">
        <v>248</v>
      </c>
      <c r="H943" s="399">
        <v>2144</v>
      </c>
      <c r="I943" s="399"/>
      <c r="J943" s="399">
        <f t="shared" si="332"/>
        <v>2144</v>
      </c>
      <c r="K943" s="336"/>
      <c r="L943" s="530"/>
      <c r="M943" s="530"/>
      <c r="N943" s="530"/>
      <c r="O943" s="336"/>
      <c r="P943" s="168">
        <f t="shared" si="329"/>
        <v>2144</v>
      </c>
      <c r="Q943" s="168">
        <f t="shared" si="345"/>
        <v>0</v>
      </c>
      <c r="R943" s="168">
        <f t="shared" si="345"/>
        <v>2144</v>
      </c>
    </row>
    <row r="944" spans="2:18" x14ac:dyDescent="0.2">
      <c r="B944" s="171">
        <f t="shared" si="349"/>
        <v>588</v>
      </c>
      <c r="C944" s="143"/>
      <c r="D944" s="144"/>
      <c r="E944" s="131"/>
      <c r="F944" s="144" t="s">
        <v>217</v>
      </c>
      <c r="G944" s="199" t="s">
        <v>371</v>
      </c>
      <c r="H944" s="530">
        <v>100</v>
      </c>
      <c r="I944" s="530"/>
      <c r="J944" s="530">
        <f t="shared" si="332"/>
        <v>100</v>
      </c>
      <c r="K944" s="337"/>
      <c r="L944" s="530"/>
      <c r="M944" s="530"/>
      <c r="N944" s="530"/>
      <c r="O944" s="337"/>
      <c r="P944" s="531">
        <f t="shared" si="329"/>
        <v>100</v>
      </c>
      <c r="Q944" s="531">
        <f t="shared" si="345"/>
        <v>0</v>
      </c>
      <c r="R944" s="531">
        <f t="shared" si="345"/>
        <v>100</v>
      </c>
    </row>
    <row r="945" spans="2:18" ht="14.25" x14ac:dyDescent="0.2">
      <c r="B945" s="171">
        <f t="shared" si="349"/>
        <v>589</v>
      </c>
      <c r="C945" s="76"/>
      <c r="D945" s="516"/>
      <c r="E945" s="522" t="s">
        <v>689</v>
      </c>
      <c r="F945" s="519" t="s">
        <v>690</v>
      </c>
      <c r="G945" s="518"/>
      <c r="H945" s="524">
        <f>H946+H947+H948+H954</f>
        <v>55374</v>
      </c>
      <c r="I945" s="524">
        <f t="shared" ref="I945" si="350">I946+I947+I948+I954</f>
        <v>0</v>
      </c>
      <c r="J945" s="524">
        <f t="shared" si="332"/>
        <v>55374</v>
      </c>
      <c r="K945" s="333"/>
      <c r="L945" s="861"/>
      <c r="M945" s="861"/>
      <c r="N945" s="861"/>
      <c r="O945" s="333"/>
      <c r="P945" s="521">
        <f t="shared" si="329"/>
        <v>55374</v>
      </c>
      <c r="Q945" s="521">
        <f t="shared" si="345"/>
        <v>0</v>
      </c>
      <c r="R945" s="521">
        <f t="shared" si="345"/>
        <v>55374</v>
      </c>
    </row>
    <row r="946" spans="2:18" x14ac:dyDescent="0.2">
      <c r="B946" s="171">
        <f t="shared" si="349"/>
        <v>590</v>
      </c>
      <c r="C946" s="143"/>
      <c r="D946" s="144"/>
      <c r="E946" s="169"/>
      <c r="F946" s="144" t="s">
        <v>211</v>
      </c>
      <c r="G946" s="199" t="s">
        <v>505</v>
      </c>
      <c r="H946" s="530">
        <f>32760+1638</f>
        <v>34398</v>
      </c>
      <c r="I946" s="530"/>
      <c r="J946" s="530">
        <f t="shared" si="332"/>
        <v>34398</v>
      </c>
      <c r="K946" s="336"/>
      <c r="L946" s="530"/>
      <c r="M946" s="530"/>
      <c r="N946" s="530"/>
      <c r="O946" s="336"/>
      <c r="P946" s="531">
        <f t="shared" si="329"/>
        <v>34398</v>
      </c>
      <c r="Q946" s="531">
        <f t="shared" si="345"/>
        <v>0</v>
      </c>
      <c r="R946" s="531">
        <f t="shared" si="345"/>
        <v>34398</v>
      </c>
    </row>
    <row r="947" spans="2:18" x14ac:dyDescent="0.2">
      <c r="B947" s="171">
        <f t="shared" si="349"/>
        <v>591</v>
      </c>
      <c r="C947" s="143"/>
      <c r="D947" s="144"/>
      <c r="E947" s="169"/>
      <c r="F947" s="144" t="s">
        <v>212</v>
      </c>
      <c r="G947" s="199" t="s">
        <v>259</v>
      </c>
      <c r="H947" s="530">
        <f>11466+573</f>
        <v>12039</v>
      </c>
      <c r="I947" s="530"/>
      <c r="J947" s="530">
        <f t="shared" si="332"/>
        <v>12039</v>
      </c>
      <c r="K947" s="336"/>
      <c r="L947" s="530"/>
      <c r="M947" s="530"/>
      <c r="N947" s="530"/>
      <c r="O947" s="336"/>
      <c r="P947" s="531">
        <f t="shared" ref="P947:P1010" si="351">H947+L947</f>
        <v>12039</v>
      </c>
      <c r="Q947" s="531">
        <f t="shared" ref="Q947:R962" si="352">I947+M947</f>
        <v>0</v>
      </c>
      <c r="R947" s="531">
        <f t="shared" si="352"/>
        <v>12039</v>
      </c>
    </row>
    <row r="948" spans="2:18" x14ac:dyDescent="0.2">
      <c r="B948" s="171">
        <f t="shared" si="349"/>
        <v>592</v>
      </c>
      <c r="C948" s="143"/>
      <c r="D948" s="144"/>
      <c r="E948" s="169"/>
      <c r="F948" s="144" t="s">
        <v>218</v>
      </c>
      <c r="G948" s="199" t="s">
        <v>340</v>
      </c>
      <c r="H948" s="402">
        <f>SUM(H949:H953)</f>
        <v>8787</v>
      </c>
      <c r="I948" s="402"/>
      <c r="J948" s="402">
        <f t="shared" si="332"/>
        <v>8787</v>
      </c>
      <c r="K948" s="336"/>
      <c r="L948" s="530"/>
      <c r="M948" s="530"/>
      <c r="N948" s="530"/>
      <c r="O948" s="336"/>
      <c r="P948" s="531">
        <f t="shared" si="351"/>
        <v>8787</v>
      </c>
      <c r="Q948" s="531">
        <f t="shared" si="352"/>
        <v>0</v>
      </c>
      <c r="R948" s="531">
        <f t="shared" si="352"/>
        <v>8787</v>
      </c>
    </row>
    <row r="949" spans="2:18" x14ac:dyDescent="0.2">
      <c r="B949" s="171">
        <f t="shared" si="349"/>
        <v>593</v>
      </c>
      <c r="C949" s="143"/>
      <c r="D949" s="144"/>
      <c r="E949" s="169"/>
      <c r="F949" s="131" t="s">
        <v>213</v>
      </c>
      <c r="G949" s="194" t="s">
        <v>255</v>
      </c>
      <c r="H949" s="434">
        <v>30</v>
      </c>
      <c r="I949" s="434"/>
      <c r="J949" s="434">
        <f t="shared" ref="J949:J1012" si="353">H949+I949</f>
        <v>30</v>
      </c>
      <c r="K949" s="336"/>
      <c r="L949" s="530"/>
      <c r="M949" s="530"/>
      <c r="N949" s="530"/>
      <c r="O949" s="336"/>
      <c r="P949" s="168">
        <f t="shared" si="351"/>
        <v>30</v>
      </c>
      <c r="Q949" s="168">
        <f t="shared" si="352"/>
        <v>0</v>
      </c>
      <c r="R949" s="168">
        <f t="shared" si="352"/>
        <v>30</v>
      </c>
    </row>
    <row r="950" spans="2:18" x14ac:dyDescent="0.2">
      <c r="B950" s="171">
        <f t="shared" si="349"/>
        <v>594</v>
      </c>
      <c r="C950" s="143"/>
      <c r="D950" s="144"/>
      <c r="E950" s="169"/>
      <c r="F950" s="131" t="s">
        <v>199</v>
      </c>
      <c r="G950" s="194" t="s">
        <v>318</v>
      </c>
      <c r="H950" s="434">
        <v>2736</v>
      </c>
      <c r="I950" s="434"/>
      <c r="J950" s="434">
        <f t="shared" si="353"/>
        <v>2736</v>
      </c>
      <c r="K950" s="336"/>
      <c r="L950" s="530"/>
      <c r="M950" s="530"/>
      <c r="N950" s="530"/>
      <c r="O950" s="336"/>
      <c r="P950" s="168">
        <f t="shared" si="351"/>
        <v>2736</v>
      </c>
      <c r="Q950" s="168">
        <f t="shared" si="352"/>
        <v>0</v>
      </c>
      <c r="R950" s="168">
        <f t="shared" si="352"/>
        <v>2736</v>
      </c>
    </row>
    <row r="951" spans="2:18" x14ac:dyDescent="0.2">
      <c r="B951" s="171">
        <f t="shared" si="349"/>
        <v>595</v>
      </c>
      <c r="C951" s="143"/>
      <c r="D951" s="144"/>
      <c r="E951" s="169"/>
      <c r="F951" s="131" t="s">
        <v>200</v>
      </c>
      <c r="G951" s="194" t="s">
        <v>247</v>
      </c>
      <c r="H951" s="434">
        <v>2295</v>
      </c>
      <c r="I951" s="434"/>
      <c r="J951" s="434">
        <f t="shared" si="353"/>
        <v>2295</v>
      </c>
      <c r="K951" s="336"/>
      <c r="L951" s="530"/>
      <c r="M951" s="530"/>
      <c r="N951" s="530"/>
      <c r="O951" s="336"/>
      <c r="P951" s="168">
        <f t="shared" si="351"/>
        <v>2295</v>
      </c>
      <c r="Q951" s="168">
        <f t="shared" si="352"/>
        <v>0</v>
      </c>
      <c r="R951" s="168">
        <f t="shared" si="352"/>
        <v>2295</v>
      </c>
    </row>
    <row r="952" spans="2:18" x14ac:dyDescent="0.2">
      <c r="B952" s="171">
        <f t="shared" si="349"/>
        <v>596</v>
      </c>
      <c r="C952" s="143"/>
      <c r="D952" s="144"/>
      <c r="E952" s="169"/>
      <c r="F952" s="290" t="s">
        <v>214</v>
      </c>
      <c r="G952" s="202" t="s">
        <v>261</v>
      </c>
      <c r="H952" s="434">
        <v>510</v>
      </c>
      <c r="I952" s="434"/>
      <c r="J952" s="434">
        <f t="shared" si="353"/>
        <v>510</v>
      </c>
      <c r="K952" s="336"/>
      <c r="L952" s="530"/>
      <c r="M952" s="530"/>
      <c r="N952" s="530"/>
      <c r="O952" s="336"/>
      <c r="P952" s="168">
        <f t="shared" si="351"/>
        <v>510</v>
      </c>
      <c r="Q952" s="168">
        <f t="shared" si="352"/>
        <v>0</v>
      </c>
      <c r="R952" s="168">
        <f t="shared" si="352"/>
        <v>510</v>
      </c>
    </row>
    <row r="953" spans="2:18" x14ac:dyDescent="0.2">
      <c r="B953" s="171">
        <f t="shared" si="349"/>
        <v>597</v>
      </c>
      <c r="C953" s="143"/>
      <c r="D953" s="144"/>
      <c r="E953" s="169"/>
      <c r="F953" s="131" t="s">
        <v>216</v>
      </c>
      <c r="G953" s="194" t="s">
        <v>248</v>
      </c>
      <c r="H953" s="434">
        <v>3216</v>
      </c>
      <c r="I953" s="434"/>
      <c r="J953" s="434">
        <f t="shared" si="353"/>
        <v>3216</v>
      </c>
      <c r="K953" s="336"/>
      <c r="L953" s="530"/>
      <c r="M953" s="530"/>
      <c r="N953" s="530"/>
      <c r="O953" s="336"/>
      <c r="P953" s="168">
        <f t="shared" si="351"/>
        <v>3216</v>
      </c>
      <c r="Q953" s="168">
        <f t="shared" si="352"/>
        <v>0</v>
      </c>
      <c r="R953" s="168">
        <f t="shared" si="352"/>
        <v>3216</v>
      </c>
    </row>
    <row r="954" spans="2:18" x14ac:dyDescent="0.2">
      <c r="B954" s="171">
        <f t="shared" si="349"/>
        <v>598</v>
      </c>
      <c r="C954" s="143"/>
      <c r="D954" s="144"/>
      <c r="E954" s="169"/>
      <c r="F954" s="144" t="s">
        <v>217</v>
      </c>
      <c r="G954" s="199" t="s">
        <v>371</v>
      </c>
      <c r="H954" s="402">
        <v>150</v>
      </c>
      <c r="I954" s="402"/>
      <c r="J954" s="402">
        <f t="shared" si="353"/>
        <v>150</v>
      </c>
      <c r="K954" s="336"/>
      <c r="L954" s="530"/>
      <c r="M954" s="530"/>
      <c r="N954" s="530"/>
      <c r="O954" s="336"/>
      <c r="P954" s="531">
        <f t="shared" si="351"/>
        <v>150</v>
      </c>
      <c r="Q954" s="531">
        <f t="shared" si="352"/>
        <v>0</v>
      </c>
      <c r="R954" s="531">
        <f t="shared" si="352"/>
        <v>150</v>
      </c>
    </row>
    <row r="955" spans="2:18" ht="15" x14ac:dyDescent="0.25">
      <c r="B955" s="171">
        <f t="shared" si="349"/>
        <v>599</v>
      </c>
      <c r="C955" s="143"/>
      <c r="D955" s="261" t="s">
        <v>364</v>
      </c>
      <c r="E955" s="268"/>
      <c r="F955" s="265" t="s">
        <v>378</v>
      </c>
      <c r="G955" s="266"/>
      <c r="H955" s="425">
        <f>H956+H965</f>
        <v>76838</v>
      </c>
      <c r="I955" s="425">
        <f t="shared" ref="I955" si="354">I956+I965</f>
        <v>-1000</v>
      </c>
      <c r="J955" s="425">
        <f t="shared" si="353"/>
        <v>75838</v>
      </c>
      <c r="K955" s="334"/>
      <c r="L955" s="426"/>
      <c r="M955" s="426"/>
      <c r="N955" s="426"/>
      <c r="O955" s="334"/>
      <c r="P955" s="345">
        <f t="shared" si="351"/>
        <v>76838</v>
      </c>
      <c r="Q955" s="345">
        <f t="shared" si="352"/>
        <v>-1000</v>
      </c>
      <c r="R955" s="345">
        <f t="shared" si="352"/>
        <v>75838</v>
      </c>
    </row>
    <row r="956" spans="2:18" ht="14.25" x14ac:dyDescent="0.2">
      <c r="B956" s="171">
        <f t="shared" si="349"/>
        <v>600</v>
      </c>
      <c r="C956" s="76"/>
      <c r="D956" s="516"/>
      <c r="E956" s="522" t="s">
        <v>688</v>
      </c>
      <c r="F956" s="519" t="s">
        <v>691</v>
      </c>
      <c r="G956" s="518"/>
      <c r="H956" s="520">
        <f>H957+H958+H959+H964</f>
        <v>33040</v>
      </c>
      <c r="I956" s="520">
        <f t="shared" ref="I956" si="355">I957+I958+I959+I964</f>
        <v>-748</v>
      </c>
      <c r="J956" s="520">
        <f t="shared" si="353"/>
        <v>32292</v>
      </c>
      <c r="K956" s="333"/>
      <c r="L956" s="861"/>
      <c r="M956" s="861"/>
      <c r="N956" s="861"/>
      <c r="O956" s="333"/>
      <c r="P956" s="521">
        <f t="shared" si="351"/>
        <v>33040</v>
      </c>
      <c r="Q956" s="521">
        <f t="shared" si="352"/>
        <v>-748</v>
      </c>
      <c r="R956" s="521">
        <f t="shared" si="352"/>
        <v>32292</v>
      </c>
    </row>
    <row r="957" spans="2:18" x14ac:dyDescent="0.2">
      <c r="B957" s="171">
        <f t="shared" si="349"/>
        <v>601</v>
      </c>
      <c r="C957" s="143"/>
      <c r="D957" s="144"/>
      <c r="E957" s="131"/>
      <c r="F957" s="144" t="s">
        <v>211</v>
      </c>
      <c r="G957" s="199" t="s">
        <v>505</v>
      </c>
      <c r="H957" s="530">
        <f>19145+957</f>
        <v>20102</v>
      </c>
      <c r="I957" s="530"/>
      <c r="J957" s="530">
        <f t="shared" si="353"/>
        <v>20102</v>
      </c>
      <c r="K957" s="336"/>
      <c r="L957" s="530"/>
      <c r="M957" s="530"/>
      <c r="N957" s="530"/>
      <c r="O957" s="336"/>
      <c r="P957" s="531">
        <f t="shared" si="351"/>
        <v>20102</v>
      </c>
      <c r="Q957" s="531">
        <f t="shared" si="352"/>
        <v>0</v>
      </c>
      <c r="R957" s="531">
        <f t="shared" si="352"/>
        <v>20102</v>
      </c>
    </row>
    <row r="958" spans="2:18" x14ac:dyDescent="0.2">
      <c r="B958" s="171">
        <f t="shared" si="349"/>
        <v>602</v>
      </c>
      <c r="C958" s="143"/>
      <c r="D958" s="144"/>
      <c r="E958" s="131"/>
      <c r="F958" s="144" t="s">
        <v>212</v>
      </c>
      <c r="G958" s="199" t="s">
        <v>259</v>
      </c>
      <c r="H958" s="530">
        <f>7105+355</f>
        <v>7460</v>
      </c>
      <c r="I958" s="530"/>
      <c r="J958" s="530">
        <f t="shared" si="353"/>
        <v>7460</v>
      </c>
      <c r="K958" s="336"/>
      <c r="L958" s="530"/>
      <c r="M958" s="530"/>
      <c r="N958" s="530"/>
      <c r="O958" s="336"/>
      <c r="P958" s="166">
        <f t="shared" si="351"/>
        <v>7460</v>
      </c>
      <c r="Q958" s="166">
        <f t="shared" si="352"/>
        <v>0</v>
      </c>
      <c r="R958" s="166">
        <f t="shared" si="352"/>
        <v>7460</v>
      </c>
    </row>
    <row r="959" spans="2:18" x14ac:dyDescent="0.2">
      <c r="B959" s="171">
        <f t="shared" si="349"/>
        <v>603</v>
      </c>
      <c r="C959" s="143"/>
      <c r="D959" s="144"/>
      <c r="E959" s="131"/>
      <c r="F959" s="144" t="s">
        <v>218</v>
      </c>
      <c r="G959" s="199" t="s">
        <v>340</v>
      </c>
      <c r="H959" s="530">
        <f>SUM(H960:H963)</f>
        <v>4730</v>
      </c>
      <c r="I959" s="530"/>
      <c r="J959" s="530">
        <f t="shared" si="353"/>
        <v>4730</v>
      </c>
      <c r="K959" s="336"/>
      <c r="L959" s="530"/>
      <c r="M959" s="530"/>
      <c r="N959" s="530"/>
      <c r="O959" s="336"/>
      <c r="P959" s="166">
        <f t="shared" si="351"/>
        <v>4730</v>
      </c>
      <c r="Q959" s="166">
        <f t="shared" si="352"/>
        <v>0</v>
      </c>
      <c r="R959" s="166">
        <f t="shared" si="352"/>
        <v>4730</v>
      </c>
    </row>
    <row r="960" spans="2:18" x14ac:dyDescent="0.2">
      <c r="B960" s="171">
        <f t="shared" si="349"/>
        <v>604</v>
      </c>
      <c r="C960" s="143"/>
      <c r="D960" s="144"/>
      <c r="E960" s="131"/>
      <c r="F960" s="131" t="s">
        <v>199</v>
      </c>
      <c r="G960" s="194" t="s">
        <v>318</v>
      </c>
      <c r="H960" s="399">
        <v>1290</v>
      </c>
      <c r="I960" s="399"/>
      <c r="J960" s="399">
        <f t="shared" si="353"/>
        <v>1290</v>
      </c>
      <c r="K960" s="336"/>
      <c r="L960" s="530"/>
      <c r="M960" s="530"/>
      <c r="N960" s="530"/>
      <c r="O960" s="336"/>
      <c r="P960" s="167">
        <f t="shared" si="351"/>
        <v>1290</v>
      </c>
      <c r="Q960" s="167">
        <f t="shared" si="352"/>
        <v>0</v>
      </c>
      <c r="R960" s="167">
        <f t="shared" si="352"/>
        <v>1290</v>
      </c>
    </row>
    <row r="961" spans="2:18" x14ac:dyDescent="0.2">
      <c r="B961" s="171">
        <f t="shared" si="349"/>
        <v>605</v>
      </c>
      <c r="C961" s="143"/>
      <c r="D961" s="144"/>
      <c r="E961" s="131"/>
      <c r="F961" s="131" t="s">
        <v>200</v>
      </c>
      <c r="G961" s="194" t="s">
        <v>247</v>
      </c>
      <c r="H961" s="399">
        <v>1290</v>
      </c>
      <c r="I961" s="399"/>
      <c r="J961" s="399">
        <f t="shared" si="353"/>
        <v>1290</v>
      </c>
      <c r="K961" s="336"/>
      <c r="L961" s="530"/>
      <c r="M961" s="530"/>
      <c r="N961" s="530"/>
      <c r="O961" s="336"/>
      <c r="P961" s="167">
        <f t="shared" si="351"/>
        <v>1290</v>
      </c>
      <c r="Q961" s="167">
        <f t="shared" si="352"/>
        <v>0</v>
      </c>
      <c r="R961" s="167">
        <f t="shared" si="352"/>
        <v>1290</v>
      </c>
    </row>
    <row r="962" spans="2:18" x14ac:dyDescent="0.2">
      <c r="B962" s="171">
        <f t="shared" si="349"/>
        <v>606</v>
      </c>
      <c r="C962" s="143"/>
      <c r="D962" s="144"/>
      <c r="E962" s="131"/>
      <c r="F962" s="131" t="s">
        <v>214</v>
      </c>
      <c r="G962" s="194" t="s">
        <v>261</v>
      </c>
      <c r="H962" s="399">
        <v>645</v>
      </c>
      <c r="I962" s="399"/>
      <c r="J962" s="399">
        <f t="shared" si="353"/>
        <v>645</v>
      </c>
      <c r="K962" s="336"/>
      <c r="L962" s="402"/>
      <c r="M962" s="402"/>
      <c r="N962" s="402"/>
      <c r="O962" s="336"/>
      <c r="P962" s="167">
        <f t="shared" si="351"/>
        <v>645</v>
      </c>
      <c r="Q962" s="167">
        <f t="shared" si="352"/>
        <v>0</v>
      </c>
      <c r="R962" s="167">
        <f t="shared" si="352"/>
        <v>645</v>
      </c>
    </row>
    <row r="963" spans="2:18" x14ac:dyDescent="0.2">
      <c r="B963" s="171">
        <f t="shared" si="349"/>
        <v>607</v>
      </c>
      <c r="C963" s="143"/>
      <c r="D963" s="144"/>
      <c r="E963" s="131"/>
      <c r="F963" s="131" t="s">
        <v>216</v>
      </c>
      <c r="G963" s="194" t="s">
        <v>248</v>
      </c>
      <c r="H963" s="399">
        <v>1505</v>
      </c>
      <c r="I963" s="399"/>
      <c r="J963" s="399">
        <f t="shared" si="353"/>
        <v>1505</v>
      </c>
      <c r="K963" s="336"/>
      <c r="L963" s="402"/>
      <c r="M963" s="402"/>
      <c r="N963" s="402"/>
      <c r="O963" s="336"/>
      <c r="P963" s="167">
        <f t="shared" si="351"/>
        <v>1505</v>
      </c>
      <c r="Q963" s="167">
        <f t="shared" ref="Q963:R978" si="356">I963+M963</f>
        <v>0</v>
      </c>
      <c r="R963" s="167">
        <f t="shared" si="356"/>
        <v>1505</v>
      </c>
    </row>
    <row r="964" spans="2:18" x14ac:dyDescent="0.2">
      <c r="B964" s="171">
        <f t="shared" si="349"/>
        <v>608</v>
      </c>
      <c r="C964" s="143"/>
      <c r="D964" s="144"/>
      <c r="E964" s="131"/>
      <c r="F964" s="144" t="s">
        <v>217</v>
      </c>
      <c r="G964" s="199" t="s">
        <v>504</v>
      </c>
      <c r="H964" s="530">
        <v>748</v>
      </c>
      <c r="I964" s="530">
        <v>-748</v>
      </c>
      <c r="J964" s="530">
        <f t="shared" si="353"/>
        <v>0</v>
      </c>
      <c r="K964" s="336"/>
      <c r="L964" s="402"/>
      <c r="M964" s="402"/>
      <c r="N964" s="402"/>
      <c r="O964" s="336"/>
      <c r="P964" s="166">
        <f t="shared" si="351"/>
        <v>748</v>
      </c>
      <c r="Q964" s="166">
        <f t="shared" si="356"/>
        <v>-748</v>
      </c>
      <c r="R964" s="166">
        <f t="shared" si="356"/>
        <v>0</v>
      </c>
    </row>
    <row r="965" spans="2:18" ht="14.25" x14ac:dyDescent="0.2">
      <c r="B965" s="171">
        <f t="shared" si="349"/>
        <v>609</v>
      </c>
      <c r="C965" s="76"/>
      <c r="D965" s="516"/>
      <c r="E965" s="522" t="s">
        <v>689</v>
      </c>
      <c r="F965" s="519" t="s">
        <v>690</v>
      </c>
      <c r="G965" s="518"/>
      <c r="H965" s="524">
        <f>H966+H967+H968+H973</f>
        <v>43798</v>
      </c>
      <c r="I965" s="524">
        <f t="shared" ref="I965" si="357">I966+I967+I968+I973</f>
        <v>-252</v>
      </c>
      <c r="J965" s="524">
        <f t="shared" si="353"/>
        <v>43546</v>
      </c>
      <c r="K965" s="333"/>
      <c r="L965" s="861"/>
      <c r="M965" s="861"/>
      <c r="N965" s="861"/>
      <c r="O965" s="333"/>
      <c r="P965" s="521">
        <f t="shared" si="351"/>
        <v>43798</v>
      </c>
      <c r="Q965" s="521">
        <f t="shared" si="356"/>
        <v>-252</v>
      </c>
      <c r="R965" s="521">
        <f t="shared" si="356"/>
        <v>43546</v>
      </c>
    </row>
    <row r="966" spans="2:18" x14ac:dyDescent="0.2">
      <c r="B966" s="171">
        <f t="shared" si="349"/>
        <v>610</v>
      </c>
      <c r="C966" s="143"/>
      <c r="D966" s="144"/>
      <c r="E966" s="169"/>
      <c r="F966" s="144" t="s">
        <v>211</v>
      </c>
      <c r="G966" s="199" t="s">
        <v>505</v>
      </c>
      <c r="H966" s="530">
        <f>25378+1269</f>
        <v>26647</v>
      </c>
      <c r="I966" s="530">
        <v>-740</v>
      </c>
      <c r="J966" s="530">
        <f t="shared" si="353"/>
        <v>25907</v>
      </c>
      <c r="K966" s="336"/>
      <c r="L966" s="530"/>
      <c r="M966" s="530"/>
      <c r="N966" s="530"/>
      <c r="O966" s="336"/>
      <c r="P966" s="531">
        <f t="shared" si="351"/>
        <v>26647</v>
      </c>
      <c r="Q966" s="531">
        <f t="shared" si="356"/>
        <v>-740</v>
      </c>
      <c r="R966" s="531">
        <f t="shared" si="356"/>
        <v>25907</v>
      </c>
    </row>
    <row r="967" spans="2:18" x14ac:dyDescent="0.2">
      <c r="B967" s="171">
        <f t="shared" si="349"/>
        <v>611</v>
      </c>
      <c r="C967" s="143"/>
      <c r="D967" s="144"/>
      <c r="E967" s="169"/>
      <c r="F967" s="144" t="s">
        <v>212</v>
      </c>
      <c r="G967" s="199" t="s">
        <v>259</v>
      </c>
      <c r="H967" s="530">
        <f>9418+471</f>
        <v>9889</v>
      </c>
      <c r="I967" s="530">
        <v>-260</v>
      </c>
      <c r="J967" s="530">
        <f t="shared" si="353"/>
        <v>9629</v>
      </c>
      <c r="K967" s="336"/>
      <c r="L967" s="530"/>
      <c r="M967" s="530"/>
      <c r="N967" s="530"/>
      <c r="O967" s="336"/>
      <c r="P967" s="531">
        <f t="shared" si="351"/>
        <v>9889</v>
      </c>
      <c r="Q967" s="531">
        <f t="shared" si="356"/>
        <v>-260</v>
      </c>
      <c r="R967" s="531">
        <f t="shared" si="356"/>
        <v>9629</v>
      </c>
    </row>
    <row r="968" spans="2:18" x14ac:dyDescent="0.2">
      <c r="B968" s="171">
        <f t="shared" si="349"/>
        <v>612</v>
      </c>
      <c r="C968" s="143"/>
      <c r="D968" s="144"/>
      <c r="E968" s="169"/>
      <c r="F968" s="144" t="s">
        <v>218</v>
      </c>
      <c r="G968" s="199" t="s">
        <v>340</v>
      </c>
      <c r="H968" s="530">
        <f>SUM(H969:H972)</f>
        <v>6270</v>
      </c>
      <c r="I968" s="530">
        <f>SUM(I969:I972)</f>
        <v>1740</v>
      </c>
      <c r="J968" s="530">
        <f t="shared" si="353"/>
        <v>8010</v>
      </c>
      <c r="K968" s="336"/>
      <c r="L968" s="530"/>
      <c r="M968" s="530"/>
      <c r="N968" s="530"/>
      <c r="O968" s="336"/>
      <c r="P968" s="531">
        <f t="shared" si="351"/>
        <v>6270</v>
      </c>
      <c r="Q968" s="531">
        <f t="shared" si="356"/>
        <v>1740</v>
      </c>
      <c r="R968" s="531">
        <f t="shared" si="356"/>
        <v>8010</v>
      </c>
    </row>
    <row r="969" spans="2:18" x14ac:dyDescent="0.2">
      <c r="B969" s="171">
        <f t="shared" si="349"/>
        <v>613</v>
      </c>
      <c r="C969" s="143"/>
      <c r="D969" s="144"/>
      <c r="E969" s="169"/>
      <c r="F969" s="131" t="s">
        <v>199</v>
      </c>
      <c r="G969" s="194" t="s">
        <v>318</v>
      </c>
      <c r="H969" s="434">
        <v>1710</v>
      </c>
      <c r="I969" s="434"/>
      <c r="J969" s="434">
        <f t="shared" si="353"/>
        <v>1710</v>
      </c>
      <c r="K969" s="336"/>
      <c r="L969" s="530"/>
      <c r="M969" s="530"/>
      <c r="N969" s="530"/>
      <c r="O969" s="336"/>
      <c r="P969" s="168">
        <f t="shared" si="351"/>
        <v>1710</v>
      </c>
      <c r="Q969" s="168">
        <f t="shared" si="356"/>
        <v>0</v>
      </c>
      <c r="R969" s="168">
        <f t="shared" si="356"/>
        <v>1710</v>
      </c>
    </row>
    <row r="970" spans="2:18" x14ac:dyDescent="0.2">
      <c r="B970" s="171">
        <f t="shared" si="349"/>
        <v>614</v>
      </c>
      <c r="C970" s="143"/>
      <c r="D970" s="144"/>
      <c r="E970" s="169"/>
      <c r="F970" s="131" t="s">
        <v>200</v>
      </c>
      <c r="G970" s="194" t="s">
        <v>247</v>
      </c>
      <c r="H970" s="434">
        <v>1710</v>
      </c>
      <c r="I970" s="434">
        <v>1740</v>
      </c>
      <c r="J970" s="434">
        <f t="shared" si="353"/>
        <v>3450</v>
      </c>
      <c r="K970" s="336"/>
      <c r="L970" s="530"/>
      <c r="M970" s="530"/>
      <c r="N970" s="530"/>
      <c r="O970" s="336"/>
      <c r="P970" s="168">
        <f t="shared" si="351"/>
        <v>1710</v>
      </c>
      <c r="Q970" s="168">
        <f t="shared" si="356"/>
        <v>1740</v>
      </c>
      <c r="R970" s="168">
        <f t="shared" si="356"/>
        <v>3450</v>
      </c>
    </row>
    <row r="971" spans="2:18" x14ac:dyDescent="0.2">
      <c r="B971" s="171">
        <f t="shared" si="349"/>
        <v>615</v>
      </c>
      <c r="C971" s="143"/>
      <c r="D971" s="144"/>
      <c r="E971" s="169"/>
      <c r="F971" s="290" t="s">
        <v>214</v>
      </c>
      <c r="G971" s="202" t="s">
        <v>261</v>
      </c>
      <c r="H971" s="434">
        <v>855</v>
      </c>
      <c r="I971" s="434"/>
      <c r="J971" s="434">
        <f t="shared" si="353"/>
        <v>855</v>
      </c>
      <c r="K971" s="336"/>
      <c r="L971" s="530"/>
      <c r="M971" s="530"/>
      <c r="N971" s="530"/>
      <c r="O971" s="336"/>
      <c r="P971" s="168">
        <f t="shared" si="351"/>
        <v>855</v>
      </c>
      <c r="Q971" s="168">
        <f t="shared" si="356"/>
        <v>0</v>
      </c>
      <c r="R971" s="168">
        <f t="shared" si="356"/>
        <v>855</v>
      </c>
    </row>
    <row r="972" spans="2:18" x14ac:dyDescent="0.2">
      <c r="B972" s="171">
        <f t="shared" si="349"/>
        <v>616</v>
      </c>
      <c r="C972" s="143"/>
      <c r="D972" s="144"/>
      <c r="E972" s="169"/>
      <c r="F972" s="131" t="s">
        <v>216</v>
      </c>
      <c r="G972" s="194" t="s">
        <v>248</v>
      </c>
      <c r="H972" s="434">
        <v>1995</v>
      </c>
      <c r="I972" s="434"/>
      <c r="J972" s="434">
        <f t="shared" si="353"/>
        <v>1995</v>
      </c>
      <c r="K972" s="336"/>
      <c r="L972" s="530"/>
      <c r="M972" s="530"/>
      <c r="N972" s="530"/>
      <c r="O972" s="336"/>
      <c r="P972" s="168">
        <f t="shared" si="351"/>
        <v>1995</v>
      </c>
      <c r="Q972" s="168">
        <f t="shared" si="356"/>
        <v>0</v>
      </c>
      <c r="R972" s="168">
        <f t="shared" si="356"/>
        <v>1995</v>
      </c>
    </row>
    <row r="973" spans="2:18" x14ac:dyDescent="0.2">
      <c r="B973" s="171">
        <f t="shared" si="349"/>
        <v>617</v>
      </c>
      <c r="C973" s="143"/>
      <c r="D973" s="144"/>
      <c r="E973" s="169"/>
      <c r="F973" s="144" t="s">
        <v>217</v>
      </c>
      <c r="G973" s="199" t="s">
        <v>371</v>
      </c>
      <c r="H973" s="402">
        <v>992</v>
      </c>
      <c r="I973" s="402">
        <v>-992</v>
      </c>
      <c r="J973" s="402">
        <f t="shared" si="353"/>
        <v>0</v>
      </c>
      <c r="K973" s="336"/>
      <c r="L973" s="530"/>
      <c r="M973" s="530"/>
      <c r="N973" s="530"/>
      <c r="O973" s="336"/>
      <c r="P973" s="531">
        <f t="shared" si="351"/>
        <v>992</v>
      </c>
      <c r="Q973" s="531">
        <f t="shared" si="356"/>
        <v>-992</v>
      </c>
      <c r="R973" s="531">
        <f t="shared" si="356"/>
        <v>0</v>
      </c>
    </row>
    <row r="974" spans="2:18" ht="15" x14ac:dyDescent="0.25">
      <c r="B974" s="171">
        <f t="shared" si="349"/>
        <v>618</v>
      </c>
      <c r="C974" s="143"/>
      <c r="D974" s="261" t="s">
        <v>468</v>
      </c>
      <c r="E974" s="175"/>
      <c r="F974" s="147" t="s">
        <v>379</v>
      </c>
      <c r="G974" s="236"/>
      <c r="H974" s="425">
        <f>H975+H986</f>
        <v>82893</v>
      </c>
      <c r="I974" s="425">
        <f t="shared" ref="I974" si="358">I975+I986</f>
        <v>0</v>
      </c>
      <c r="J974" s="425">
        <f t="shared" si="353"/>
        <v>82893</v>
      </c>
      <c r="K974" s="334"/>
      <c r="L974" s="854">
        <f>L985</f>
        <v>16000</v>
      </c>
      <c r="M974" s="854"/>
      <c r="N974" s="854">
        <f t="shared" ref="N974:N985" si="359">L974+M974</f>
        <v>16000</v>
      </c>
      <c r="O974" s="334"/>
      <c r="P974" s="330">
        <f t="shared" si="351"/>
        <v>98893</v>
      </c>
      <c r="Q974" s="330">
        <f t="shared" si="356"/>
        <v>0</v>
      </c>
      <c r="R974" s="330">
        <f t="shared" si="356"/>
        <v>98893</v>
      </c>
    </row>
    <row r="975" spans="2:18" ht="14.25" x14ac:dyDescent="0.2">
      <c r="B975" s="171">
        <f t="shared" si="349"/>
        <v>619</v>
      </c>
      <c r="C975" s="76"/>
      <c r="D975" s="516"/>
      <c r="E975" s="522" t="s">
        <v>688</v>
      </c>
      <c r="F975" s="519" t="s">
        <v>691</v>
      </c>
      <c r="G975" s="518"/>
      <c r="H975" s="520">
        <f>H976+H977+H978+H984</f>
        <v>37282</v>
      </c>
      <c r="I975" s="520">
        <f t="shared" ref="I975" si="360">I976+I977+I978+I984</f>
        <v>0</v>
      </c>
      <c r="J975" s="520">
        <f t="shared" si="353"/>
        <v>37282</v>
      </c>
      <c r="K975" s="333"/>
      <c r="L975" s="861"/>
      <c r="M975" s="861"/>
      <c r="N975" s="861"/>
      <c r="O975" s="333"/>
      <c r="P975" s="521">
        <f t="shared" si="351"/>
        <v>37282</v>
      </c>
      <c r="Q975" s="521">
        <f t="shared" si="356"/>
        <v>0</v>
      </c>
      <c r="R975" s="521">
        <f t="shared" si="356"/>
        <v>37282</v>
      </c>
    </row>
    <row r="976" spans="2:18" x14ac:dyDescent="0.2">
      <c r="B976" s="171">
        <f t="shared" si="349"/>
        <v>620</v>
      </c>
      <c r="C976" s="143"/>
      <c r="D976" s="144"/>
      <c r="E976" s="131"/>
      <c r="F976" s="144" t="s">
        <v>211</v>
      </c>
      <c r="G976" s="199" t="s">
        <v>505</v>
      </c>
      <c r="H976" s="530">
        <f>21010+1051</f>
        <v>22061</v>
      </c>
      <c r="I976" s="530"/>
      <c r="J976" s="530">
        <f t="shared" si="353"/>
        <v>22061</v>
      </c>
      <c r="K976" s="336"/>
      <c r="L976" s="402"/>
      <c r="M976" s="402"/>
      <c r="N976" s="402"/>
      <c r="O976" s="336"/>
      <c r="P976" s="166">
        <f t="shared" si="351"/>
        <v>22061</v>
      </c>
      <c r="Q976" s="166">
        <f t="shared" si="356"/>
        <v>0</v>
      </c>
      <c r="R976" s="166">
        <f t="shared" si="356"/>
        <v>22061</v>
      </c>
    </row>
    <row r="977" spans="2:18" x14ac:dyDescent="0.2">
      <c r="B977" s="171">
        <f t="shared" si="349"/>
        <v>621</v>
      </c>
      <c r="C977" s="143"/>
      <c r="D977" s="144"/>
      <c r="E977" s="131"/>
      <c r="F977" s="144" t="s">
        <v>212</v>
      </c>
      <c r="G977" s="199" t="s">
        <v>259</v>
      </c>
      <c r="H977" s="530">
        <f>7920+396</f>
        <v>8316</v>
      </c>
      <c r="I977" s="530"/>
      <c r="J977" s="530">
        <f t="shared" si="353"/>
        <v>8316</v>
      </c>
      <c r="K977" s="336"/>
      <c r="L977" s="402"/>
      <c r="M977" s="402"/>
      <c r="N977" s="402"/>
      <c r="O977" s="336"/>
      <c r="P977" s="166">
        <f t="shared" si="351"/>
        <v>8316</v>
      </c>
      <c r="Q977" s="166">
        <f t="shared" si="356"/>
        <v>0</v>
      </c>
      <c r="R977" s="166">
        <f t="shared" si="356"/>
        <v>8316</v>
      </c>
    </row>
    <row r="978" spans="2:18" x14ac:dyDescent="0.2">
      <c r="B978" s="171">
        <f t="shared" si="349"/>
        <v>622</v>
      </c>
      <c r="C978" s="143"/>
      <c r="D978" s="144"/>
      <c r="E978" s="131"/>
      <c r="F978" s="144" t="s">
        <v>218</v>
      </c>
      <c r="G978" s="199" t="s">
        <v>340</v>
      </c>
      <c r="H978" s="530">
        <f>SUM(H979:H983)</f>
        <v>6435</v>
      </c>
      <c r="I978" s="530"/>
      <c r="J978" s="530">
        <f t="shared" si="353"/>
        <v>6435</v>
      </c>
      <c r="K978" s="336"/>
      <c r="L978" s="402"/>
      <c r="M978" s="402"/>
      <c r="N978" s="402"/>
      <c r="O978" s="336"/>
      <c r="P978" s="166">
        <f t="shared" si="351"/>
        <v>6435</v>
      </c>
      <c r="Q978" s="166">
        <f t="shared" si="356"/>
        <v>0</v>
      </c>
      <c r="R978" s="166">
        <f t="shared" si="356"/>
        <v>6435</v>
      </c>
    </row>
    <row r="979" spans="2:18" x14ac:dyDescent="0.2">
      <c r="B979" s="171">
        <f t="shared" si="349"/>
        <v>623</v>
      </c>
      <c r="C979" s="143"/>
      <c r="D979" s="144"/>
      <c r="E979" s="131"/>
      <c r="F979" s="131" t="s">
        <v>213</v>
      </c>
      <c r="G979" s="194" t="s">
        <v>255</v>
      </c>
      <c r="H979" s="399">
        <v>20</v>
      </c>
      <c r="I979" s="399"/>
      <c r="J979" s="399">
        <f t="shared" si="353"/>
        <v>20</v>
      </c>
      <c r="K979" s="336"/>
      <c r="L979" s="402"/>
      <c r="M979" s="402"/>
      <c r="N979" s="402"/>
      <c r="O979" s="336"/>
      <c r="P979" s="167">
        <f t="shared" si="351"/>
        <v>20</v>
      </c>
      <c r="Q979" s="167">
        <f t="shared" ref="Q979:R994" si="361">I979+M979</f>
        <v>0</v>
      </c>
      <c r="R979" s="167">
        <f t="shared" si="361"/>
        <v>20</v>
      </c>
    </row>
    <row r="980" spans="2:18" x14ac:dyDescent="0.2">
      <c r="B980" s="171">
        <f t="shared" si="349"/>
        <v>624</v>
      </c>
      <c r="C980" s="143"/>
      <c r="D980" s="144"/>
      <c r="E980" s="131"/>
      <c r="F980" s="131" t="s">
        <v>199</v>
      </c>
      <c r="G980" s="194" t="s">
        <v>318</v>
      </c>
      <c r="H980" s="399">
        <v>3195</v>
      </c>
      <c r="I980" s="399"/>
      <c r="J980" s="399">
        <f t="shared" si="353"/>
        <v>3195</v>
      </c>
      <c r="K980" s="336"/>
      <c r="L980" s="402"/>
      <c r="M980" s="402"/>
      <c r="N980" s="402"/>
      <c r="O980" s="336"/>
      <c r="P980" s="167">
        <f t="shared" si="351"/>
        <v>3195</v>
      </c>
      <c r="Q980" s="167">
        <f t="shared" si="361"/>
        <v>0</v>
      </c>
      <c r="R980" s="167">
        <f t="shared" si="361"/>
        <v>3195</v>
      </c>
    </row>
    <row r="981" spans="2:18" x14ac:dyDescent="0.2">
      <c r="B981" s="171">
        <f t="shared" si="349"/>
        <v>625</v>
      </c>
      <c r="C981" s="143"/>
      <c r="D981" s="144"/>
      <c r="E981" s="131"/>
      <c r="F981" s="131" t="s">
        <v>200</v>
      </c>
      <c r="G981" s="194" t="s">
        <v>247</v>
      </c>
      <c r="H981" s="399">
        <v>1215</v>
      </c>
      <c r="I981" s="399"/>
      <c r="J981" s="399">
        <f t="shared" si="353"/>
        <v>1215</v>
      </c>
      <c r="K981" s="336"/>
      <c r="L981" s="402"/>
      <c r="M981" s="402"/>
      <c r="N981" s="402"/>
      <c r="O981" s="336"/>
      <c r="P981" s="167">
        <f t="shared" si="351"/>
        <v>1215</v>
      </c>
      <c r="Q981" s="167">
        <f t="shared" si="361"/>
        <v>0</v>
      </c>
      <c r="R981" s="167">
        <f t="shared" si="361"/>
        <v>1215</v>
      </c>
    </row>
    <row r="982" spans="2:18" x14ac:dyDescent="0.2">
      <c r="B982" s="171">
        <f t="shared" si="349"/>
        <v>626</v>
      </c>
      <c r="C982" s="143"/>
      <c r="D982" s="144"/>
      <c r="E982" s="131"/>
      <c r="F982" s="131" t="s">
        <v>214</v>
      </c>
      <c r="G982" s="194" t="s">
        <v>261</v>
      </c>
      <c r="H982" s="399">
        <v>1170</v>
      </c>
      <c r="I982" s="399"/>
      <c r="J982" s="399">
        <f t="shared" si="353"/>
        <v>1170</v>
      </c>
      <c r="K982" s="336"/>
      <c r="L982" s="402"/>
      <c r="M982" s="402"/>
      <c r="N982" s="402"/>
      <c r="O982" s="336"/>
      <c r="P982" s="167">
        <f t="shared" si="351"/>
        <v>1170</v>
      </c>
      <c r="Q982" s="167">
        <f t="shared" si="361"/>
        <v>0</v>
      </c>
      <c r="R982" s="167">
        <f t="shared" si="361"/>
        <v>1170</v>
      </c>
    </row>
    <row r="983" spans="2:18" x14ac:dyDescent="0.2">
      <c r="B983" s="171">
        <f t="shared" si="349"/>
        <v>627</v>
      </c>
      <c r="C983" s="143"/>
      <c r="D983" s="144"/>
      <c r="E983" s="131"/>
      <c r="F983" s="131" t="s">
        <v>216</v>
      </c>
      <c r="G983" s="194" t="s">
        <v>248</v>
      </c>
      <c r="H983" s="399">
        <v>835</v>
      </c>
      <c r="I983" s="399"/>
      <c r="J983" s="399">
        <f t="shared" si="353"/>
        <v>835</v>
      </c>
      <c r="K983" s="336"/>
      <c r="L983" s="402"/>
      <c r="M983" s="402"/>
      <c r="N983" s="402"/>
      <c r="O983" s="336"/>
      <c r="P983" s="167">
        <f t="shared" si="351"/>
        <v>835</v>
      </c>
      <c r="Q983" s="167">
        <f t="shared" si="361"/>
        <v>0</v>
      </c>
      <c r="R983" s="167">
        <f t="shared" si="361"/>
        <v>835</v>
      </c>
    </row>
    <row r="984" spans="2:18" x14ac:dyDescent="0.2">
      <c r="B984" s="171">
        <f t="shared" si="349"/>
        <v>628</v>
      </c>
      <c r="C984" s="143"/>
      <c r="D984" s="144"/>
      <c r="E984" s="131"/>
      <c r="F984" s="144" t="s">
        <v>217</v>
      </c>
      <c r="G984" s="199" t="s">
        <v>504</v>
      </c>
      <c r="H984" s="530">
        <v>470</v>
      </c>
      <c r="I984" s="530"/>
      <c r="J984" s="530">
        <f t="shared" si="353"/>
        <v>470</v>
      </c>
      <c r="K984" s="336"/>
      <c r="L984" s="402"/>
      <c r="M984" s="402"/>
      <c r="N984" s="402"/>
      <c r="O984" s="336"/>
      <c r="P984" s="166">
        <f t="shared" si="351"/>
        <v>470</v>
      </c>
      <c r="Q984" s="166">
        <f t="shared" si="361"/>
        <v>0</v>
      </c>
      <c r="R984" s="166">
        <f t="shared" si="361"/>
        <v>470</v>
      </c>
    </row>
    <row r="985" spans="2:18" x14ac:dyDescent="0.2">
      <c r="B985" s="171">
        <f t="shared" si="349"/>
        <v>629</v>
      </c>
      <c r="C985" s="143"/>
      <c r="D985" s="144"/>
      <c r="E985" s="169"/>
      <c r="F985" s="284" t="s">
        <v>606</v>
      </c>
      <c r="G985" s="199" t="s">
        <v>607</v>
      </c>
      <c r="H985" s="530"/>
      <c r="I985" s="530"/>
      <c r="J985" s="530">
        <f t="shared" si="353"/>
        <v>0</v>
      </c>
      <c r="K985" s="336"/>
      <c r="L985" s="402">
        <v>16000</v>
      </c>
      <c r="M985" s="871"/>
      <c r="N985" s="402">
        <f t="shared" si="359"/>
        <v>16000</v>
      </c>
      <c r="O985" s="336"/>
      <c r="P985" s="166">
        <f t="shared" si="351"/>
        <v>16000</v>
      </c>
      <c r="Q985" s="166">
        <f t="shared" si="361"/>
        <v>0</v>
      </c>
      <c r="R985" s="166">
        <f t="shared" si="361"/>
        <v>16000</v>
      </c>
    </row>
    <row r="986" spans="2:18" ht="14.25" x14ac:dyDescent="0.2">
      <c r="B986" s="171">
        <f t="shared" si="349"/>
        <v>630</v>
      </c>
      <c r="C986" s="76"/>
      <c r="D986" s="516"/>
      <c r="E986" s="522" t="s">
        <v>689</v>
      </c>
      <c r="F986" s="519" t="s">
        <v>690</v>
      </c>
      <c r="G986" s="518"/>
      <c r="H986" s="524">
        <f>H987+H988+H989+H995</f>
        <v>45611</v>
      </c>
      <c r="I986" s="524">
        <f t="shared" ref="I986" si="362">I987+I988+I989+I995</f>
        <v>0</v>
      </c>
      <c r="J986" s="524">
        <f t="shared" si="353"/>
        <v>45611</v>
      </c>
      <c r="K986" s="333"/>
      <c r="L986" s="861"/>
      <c r="M986" s="861"/>
      <c r="N986" s="861"/>
      <c r="O986" s="333"/>
      <c r="P986" s="521">
        <f t="shared" si="351"/>
        <v>45611</v>
      </c>
      <c r="Q986" s="521">
        <f t="shared" si="361"/>
        <v>0</v>
      </c>
      <c r="R986" s="521">
        <f t="shared" si="361"/>
        <v>45611</v>
      </c>
    </row>
    <row r="987" spans="2:18" x14ac:dyDescent="0.2">
      <c r="B987" s="171">
        <f t="shared" si="349"/>
        <v>631</v>
      </c>
      <c r="C987" s="143"/>
      <c r="D987" s="144"/>
      <c r="E987" s="169"/>
      <c r="F987" s="144" t="s">
        <v>211</v>
      </c>
      <c r="G987" s="199" t="s">
        <v>505</v>
      </c>
      <c r="H987" s="530">
        <f>25745+1287</f>
        <v>27032</v>
      </c>
      <c r="I987" s="530"/>
      <c r="J987" s="530">
        <f t="shared" si="353"/>
        <v>27032</v>
      </c>
      <c r="K987" s="336"/>
      <c r="L987" s="530"/>
      <c r="M987" s="530"/>
      <c r="N987" s="530"/>
      <c r="O987" s="336"/>
      <c r="P987" s="531">
        <f t="shared" si="351"/>
        <v>27032</v>
      </c>
      <c r="Q987" s="531">
        <f t="shared" si="361"/>
        <v>0</v>
      </c>
      <c r="R987" s="531">
        <f t="shared" si="361"/>
        <v>27032</v>
      </c>
    </row>
    <row r="988" spans="2:18" x14ac:dyDescent="0.2">
      <c r="B988" s="171">
        <f t="shared" si="349"/>
        <v>632</v>
      </c>
      <c r="C988" s="143"/>
      <c r="D988" s="144"/>
      <c r="E988" s="169"/>
      <c r="F988" s="144" t="s">
        <v>212</v>
      </c>
      <c r="G988" s="199" t="s">
        <v>259</v>
      </c>
      <c r="H988" s="530">
        <f>9680+484</f>
        <v>10164</v>
      </c>
      <c r="I988" s="530"/>
      <c r="J988" s="530">
        <f t="shared" si="353"/>
        <v>10164</v>
      </c>
      <c r="K988" s="336"/>
      <c r="L988" s="530"/>
      <c r="M988" s="530"/>
      <c r="N988" s="530"/>
      <c r="O988" s="336"/>
      <c r="P988" s="531">
        <f t="shared" si="351"/>
        <v>10164</v>
      </c>
      <c r="Q988" s="531">
        <f t="shared" si="361"/>
        <v>0</v>
      </c>
      <c r="R988" s="531">
        <f t="shared" si="361"/>
        <v>10164</v>
      </c>
    </row>
    <row r="989" spans="2:18" x14ac:dyDescent="0.2">
      <c r="B989" s="171">
        <f t="shared" si="349"/>
        <v>633</v>
      </c>
      <c r="C989" s="143"/>
      <c r="D989" s="144"/>
      <c r="E989" s="169"/>
      <c r="F989" s="144" t="s">
        <v>218</v>
      </c>
      <c r="G989" s="199" t="s">
        <v>340</v>
      </c>
      <c r="H989" s="530">
        <f>SUM(H990:H994)</f>
        <v>7835</v>
      </c>
      <c r="I989" s="530"/>
      <c r="J989" s="530">
        <f t="shared" si="353"/>
        <v>7835</v>
      </c>
      <c r="K989" s="336"/>
      <c r="L989" s="530"/>
      <c r="M989" s="530"/>
      <c r="N989" s="530"/>
      <c r="O989" s="336"/>
      <c r="P989" s="531">
        <f t="shared" si="351"/>
        <v>7835</v>
      </c>
      <c r="Q989" s="531">
        <f t="shared" si="361"/>
        <v>0</v>
      </c>
      <c r="R989" s="531">
        <f t="shared" si="361"/>
        <v>7835</v>
      </c>
    </row>
    <row r="990" spans="2:18" x14ac:dyDescent="0.2">
      <c r="B990" s="171">
        <f t="shared" si="349"/>
        <v>634</v>
      </c>
      <c r="C990" s="143"/>
      <c r="D990" s="144"/>
      <c r="E990" s="169"/>
      <c r="F990" s="131" t="s">
        <v>213</v>
      </c>
      <c r="G990" s="194" t="s">
        <v>255</v>
      </c>
      <c r="H990" s="434">
        <v>30</v>
      </c>
      <c r="I990" s="434"/>
      <c r="J990" s="434">
        <f t="shared" si="353"/>
        <v>30</v>
      </c>
      <c r="K990" s="336"/>
      <c r="L990" s="530"/>
      <c r="M990" s="530"/>
      <c r="N990" s="530"/>
      <c r="O990" s="336"/>
      <c r="P990" s="168">
        <f t="shared" si="351"/>
        <v>30</v>
      </c>
      <c r="Q990" s="168">
        <f t="shared" si="361"/>
        <v>0</v>
      </c>
      <c r="R990" s="168">
        <f t="shared" si="361"/>
        <v>30</v>
      </c>
    </row>
    <row r="991" spans="2:18" x14ac:dyDescent="0.2">
      <c r="B991" s="171">
        <f t="shared" si="349"/>
        <v>635</v>
      </c>
      <c r="C991" s="143"/>
      <c r="D991" s="144"/>
      <c r="E991" s="169"/>
      <c r="F991" s="131" t="s">
        <v>199</v>
      </c>
      <c r="G991" s="194" t="s">
        <v>318</v>
      </c>
      <c r="H991" s="434">
        <v>3875</v>
      </c>
      <c r="I991" s="434"/>
      <c r="J991" s="434">
        <f t="shared" si="353"/>
        <v>3875</v>
      </c>
      <c r="K991" s="336"/>
      <c r="L991" s="530"/>
      <c r="M991" s="530"/>
      <c r="N991" s="530"/>
      <c r="O991" s="336"/>
      <c r="P991" s="168">
        <f t="shared" si="351"/>
        <v>3875</v>
      </c>
      <c r="Q991" s="168">
        <f t="shared" si="361"/>
        <v>0</v>
      </c>
      <c r="R991" s="168">
        <f t="shared" si="361"/>
        <v>3875</v>
      </c>
    </row>
    <row r="992" spans="2:18" x14ac:dyDescent="0.2">
      <c r="B992" s="171">
        <f t="shared" si="349"/>
        <v>636</v>
      </c>
      <c r="C992" s="143"/>
      <c r="D992" s="144"/>
      <c r="E992" s="169"/>
      <c r="F992" s="131" t="s">
        <v>200</v>
      </c>
      <c r="G992" s="194" t="s">
        <v>247</v>
      </c>
      <c r="H992" s="434">
        <v>1485</v>
      </c>
      <c r="I992" s="434"/>
      <c r="J992" s="434">
        <f t="shared" si="353"/>
        <v>1485</v>
      </c>
      <c r="K992" s="336"/>
      <c r="L992" s="530"/>
      <c r="M992" s="530"/>
      <c r="N992" s="530"/>
      <c r="O992" s="336"/>
      <c r="P992" s="168">
        <f t="shared" si="351"/>
        <v>1485</v>
      </c>
      <c r="Q992" s="168">
        <f t="shared" si="361"/>
        <v>0</v>
      </c>
      <c r="R992" s="168">
        <f t="shared" si="361"/>
        <v>1485</v>
      </c>
    </row>
    <row r="993" spans="2:18" x14ac:dyDescent="0.2">
      <c r="B993" s="171">
        <f t="shared" si="349"/>
        <v>637</v>
      </c>
      <c r="C993" s="143"/>
      <c r="D993" s="144"/>
      <c r="E993" s="169"/>
      <c r="F993" s="290" t="s">
        <v>214</v>
      </c>
      <c r="G993" s="202" t="s">
        <v>261</v>
      </c>
      <c r="H993" s="434">
        <v>1430</v>
      </c>
      <c r="I993" s="434"/>
      <c r="J993" s="434">
        <f t="shared" si="353"/>
        <v>1430</v>
      </c>
      <c r="K993" s="336"/>
      <c r="L993" s="530"/>
      <c r="M993" s="530"/>
      <c r="N993" s="530"/>
      <c r="O993" s="336"/>
      <c r="P993" s="168">
        <f t="shared" si="351"/>
        <v>1430</v>
      </c>
      <c r="Q993" s="168">
        <f t="shared" si="361"/>
        <v>0</v>
      </c>
      <c r="R993" s="168">
        <f t="shared" si="361"/>
        <v>1430</v>
      </c>
    </row>
    <row r="994" spans="2:18" x14ac:dyDescent="0.2">
      <c r="B994" s="171">
        <f t="shared" si="349"/>
        <v>638</v>
      </c>
      <c r="C994" s="143"/>
      <c r="D994" s="144"/>
      <c r="E994" s="169"/>
      <c r="F994" s="131" t="s">
        <v>216</v>
      </c>
      <c r="G994" s="194" t="s">
        <v>248</v>
      </c>
      <c r="H994" s="434">
        <v>1015</v>
      </c>
      <c r="I994" s="434"/>
      <c r="J994" s="434">
        <f t="shared" si="353"/>
        <v>1015</v>
      </c>
      <c r="K994" s="336"/>
      <c r="L994" s="530"/>
      <c r="M994" s="530"/>
      <c r="N994" s="530"/>
      <c r="O994" s="336"/>
      <c r="P994" s="168">
        <f t="shared" si="351"/>
        <v>1015</v>
      </c>
      <c r="Q994" s="168">
        <f t="shared" si="361"/>
        <v>0</v>
      </c>
      <c r="R994" s="168">
        <f t="shared" si="361"/>
        <v>1015</v>
      </c>
    </row>
    <row r="995" spans="2:18" x14ac:dyDescent="0.2">
      <c r="B995" s="171">
        <f t="shared" si="349"/>
        <v>639</v>
      </c>
      <c r="C995" s="143"/>
      <c r="D995" s="144"/>
      <c r="E995" s="169"/>
      <c r="F995" s="144" t="s">
        <v>217</v>
      </c>
      <c r="G995" s="199" t="s">
        <v>371</v>
      </c>
      <c r="H995" s="402">
        <v>580</v>
      </c>
      <c r="I995" s="402"/>
      <c r="J995" s="402">
        <f t="shared" si="353"/>
        <v>580</v>
      </c>
      <c r="K995" s="336"/>
      <c r="L995" s="530"/>
      <c r="M995" s="530"/>
      <c r="N995" s="530"/>
      <c r="O995" s="336"/>
      <c r="P995" s="531">
        <f t="shared" si="351"/>
        <v>580</v>
      </c>
      <c r="Q995" s="531">
        <f t="shared" ref="Q995:R1010" si="363">I995+M995</f>
        <v>0</v>
      </c>
      <c r="R995" s="531">
        <f t="shared" si="363"/>
        <v>580</v>
      </c>
    </row>
    <row r="996" spans="2:18" ht="15" x14ac:dyDescent="0.25">
      <c r="B996" s="171">
        <f t="shared" si="349"/>
        <v>640</v>
      </c>
      <c r="C996" s="143"/>
      <c r="D996" s="261" t="s">
        <v>469</v>
      </c>
      <c r="E996" s="175"/>
      <c r="F996" s="147" t="s">
        <v>380</v>
      </c>
      <c r="G996" s="236"/>
      <c r="H996" s="425">
        <f>H997+H1006</f>
        <v>73526</v>
      </c>
      <c r="I996" s="425">
        <f t="shared" ref="I996" si="364">I997+I1006</f>
        <v>0</v>
      </c>
      <c r="J996" s="425">
        <f t="shared" si="353"/>
        <v>73526</v>
      </c>
      <c r="K996" s="334"/>
      <c r="L996" s="854"/>
      <c r="M996" s="854"/>
      <c r="N996" s="854"/>
      <c r="O996" s="334"/>
      <c r="P996" s="330">
        <f t="shared" si="351"/>
        <v>73526</v>
      </c>
      <c r="Q996" s="330">
        <f t="shared" si="363"/>
        <v>0</v>
      </c>
      <c r="R996" s="330">
        <f t="shared" si="363"/>
        <v>73526</v>
      </c>
    </row>
    <row r="997" spans="2:18" ht="14.25" x14ac:dyDescent="0.2">
      <c r="B997" s="171">
        <f t="shared" si="349"/>
        <v>641</v>
      </c>
      <c r="C997" s="76"/>
      <c r="D997" s="516"/>
      <c r="E997" s="522" t="s">
        <v>688</v>
      </c>
      <c r="F997" s="519" t="s">
        <v>691</v>
      </c>
      <c r="G997" s="518"/>
      <c r="H997" s="520">
        <f>H998+H999+H1000+H1005</f>
        <v>36762</v>
      </c>
      <c r="I997" s="520">
        <f t="shared" ref="I997" si="365">I998+I999+I1000+I1005</f>
        <v>0</v>
      </c>
      <c r="J997" s="520">
        <f t="shared" si="353"/>
        <v>36762</v>
      </c>
      <c r="K997" s="333"/>
      <c r="L997" s="861"/>
      <c r="M997" s="861"/>
      <c r="N997" s="861"/>
      <c r="O997" s="333"/>
      <c r="P997" s="521">
        <f t="shared" si="351"/>
        <v>36762</v>
      </c>
      <c r="Q997" s="521">
        <f t="shared" si="363"/>
        <v>0</v>
      </c>
      <c r="R997" s="521">
        <f t="shared" si="363"/>
        <v>36762</v>
      </c>
    </row>
    <row r="998" spans="2:18" x14ac:dyDescent="0.2">
      <c r="B998" s="171">
        <f t="shared" si="349"/>
        <v>642</v>
      </c>
      <c r="C998" s="143"/>
      <c r="D998" s="144"/>
      <c r="E998" s="131"/>
      <c r="F998" s="144" t="s">
        <v>211</v>
      </c>
      <c r="G998" s="199" t="s">
        <v>505</v>
      </c>
      <c r="H998" s="530">
        <f>16912+846-75</f>
        <v>17683</v>
      </c>
      <c r="I998" s="530"/>
      <c r="J998" s="530">
        <f t="shared" si="353"/>
        <v>17683</v>
      </c>
      <c r="K998" s="336"/>
      <c r="L998" s="402"/>
      <c r="M998" s="402"/>
      <c r="N998" s="402"/>
      <c r="O998" s="336"/>
      <c r="P998" s="166">
        <f t="shared" si="351"/>
        <v>17683</v>
      </c>
      <c r="Q998" s="166">
        <f t="shared" si="363"/>
        <v>0</v>
      </c>
      <c r="R998" s="166">
        <f t="shared" si="363"/>
        <v>17683</v>
      </c>
    </row>
    <row r="999" spans="2:18" x14ac:dyDescent="0.2">
      <c r="B999" s="171">
        <f t="shared" si="349"/>
        <v>643</v>
      </c>
      <c r="C999" s="143"/>
      <c r="D999" s="144"/>
      <c r="E999" s="131"/>
      <c r="F999" s="144" t="s">
        <v>212</v>
      </c>
      <c r="G999" s="199" t="s">
        <v>259</v>
      </c>
      <c r="H999" s="530">
        <f>5913+296</f>
        <v>6209</v>
      </c>
      <c r="I999" s="530"/>
      <c r="J999" s="530">
        <f t="shared" si="353"/>
        <v>6209</v>
      </c>
      <c r="K999" s="336"/>
      <c r="L999" s="402"/>
      <c r="M999" s="402"/>
      <c r="N999" s="402"/>
      <c r="O999" s="336"/>
      <c r="P999" s="166">
        <f t="shared" si="351"/>
        <v>6209</v>
      </c>
      <c r="Q999" s="166">
        <f t="shared" si="363"/>
        <v>0</v>
      </c>
      <c r="R999" s="166">
        <f t="shared" si="363"/>
        <v>6209</v>
      </c>
    </row>
    <row r="1000" spans="2:18" x14ac:dyDescent="0.2">
      <c r="B1000" s="171">
        <f t="shared" si="349"/>
        <v>644</v>
      </c>
      <c r="C1000" s="143"/>
      <c r="D1000" s="144"/>
      <c r="E1000" s="131"/>
      <c r="F1000" s="144" t="s">
        <v>218</v>
      </c>
      <c r="G1000" s="199" t="s">
        <v>340</v>
      </c>
      <c r="H1000" s="530">
        <f>SUM(H1001:H1004)</f>
        <v>12795</v>
      </c>
      <c r="I1000" s="530"/>
      <c r="J1000" s="530">
        <f t="shared" si="353"/>
        <v>12795</v>
      </c>
      <c r="K1000" s="336"/>
      <c r="L1000" s="402"/>
      <c r="M1000" s="402"/>
      <c r="N1000" s="402"/>
      <c r="O1000" s="336"/>
      <c r="P1000" s="166">
        <f t="shared" si="351"/>
        <v>12795</v>
      </c>
      <c r="Q1000" s="166">
        <f t="shared" si="363"/>
        <v>0</v>
      </c>
      <c r="R1000" s="166">
        <f t="shared" si="363"/>
        <v>12795</v>
      </c>
    </row>
    <row r="1001" spans="2:18" x14ac:dyDescent="0.2">
      <c r="B1001" s="171">
        <f t="shared" si="349"/>
        <v>645</v>
      </c>
      <c r="C1001" s="143"/>
      <c r="D1001" s="144"/>
      <c r="E1001" s="131"/>
      <c r="F1001" s="131" t="s">
        <v>199</v>
      </c>
      <c r="G1001" s="194" t="s">
        <v>318</v>
      </c>
      <c r="H1001" s="399">
        <f>8300-2500</f>
        <v>5800</v>
      </c>
      <c r="I1001" s="399"/>
      <c r="J1001" s="399">
        <f t="shared" si="353"/>
        <v>5800</v>
      </c>
      <c r="K1001" s="336"/>
      <c r="L1001" s="402"/>
      <c r="M1001" s="402"/>
      <c r="N1001" s="402"/>
      <c r="O1001" s="336"/>
      <c r="P1001" s="167">
        <f t="shared" si="351"/>
        <v>5800</v>
      </c>
      <c r="Q1001" s="167">
        <f t="shared" si="363"/>
        <v>0</v>
      </c>
      <c r="R1001" s="167">
        <f t="shared" si="363"/>
        <v>5800</v>
      </c>
    </row>
    <row r="1002" spans="2:18" x14ac:dyDescent="0.2">
      <c r="B1002" s="171">
        <f t="shared" ref="B1002:B1065" si="366">B1001+1</f>
        <v>646</v>
      </c>
      <c r="C1002" s="143"/>
      <c r="D1002" s="144"/>
      <c r="E1002" s="131"/>
      <c r="F1002" s="131" t="s">
        <v>200</v>
      </c>
      <c r="G1002" s="194" t="s">
        <v>247</v>
      </c>
      <c r="H1002" s="399">
        <f>1350+2000</f>
        <v>3350</v>
      </c>
      <c r="I1002" s="399"/>
      <c r="J1002" s="399">
        <f t="shared" si="353"/>
        <v>3350</v>
      </c>
      <c r="K1002" s="336"/>
      <c r="L1002" s="402"/>
      <c r="M1002" s="402"/>
      <c r="N1002" s="402"/>
      <c r="O1002" s="336"/>
      <c r="P1002" s="167">
        <f t="shared" si="351"/>
        <v>3350</v>
      </c>
      <c r="Q1002" s="167">
        <f t="shared" si="363"/>
        <v>0</v>
      </c>
      <c r="R1002" s="167">
        <f t="shared" si="363"/>
        <v>3350</v>
      </c>
    </row>
    <row r="1003" spans="2:18" x14ac:dyDescent="0.2">
      <c r="B1003" s="171">
        <f t="shared" si="366"/>
        <v>647</v>
      </c>
      <c r="C1003" s="143"/>
      <c r="D1003" s="144"/>
      <c r="E1003" s="131"/>
      <c r="F1003" s="131" t="s">
        <v>214</v>
      </c>
      <c r="G1003" s="194" t="s">
        <v>261</v>
      </c>
      <c r="H1003" s="399">
        <v>2100</v>
      </c>
      <c r="I1003" s="399"/>
      <c r="J1003" s="399">
        <f t="shared" si="353"/>
        <v>2100</v>
      </c>
      <c r="K1003" s="336"/>
      <c r="L1003" s="402"/>
      <c r="M1003" s="402"/>
      <c r="N1003" s="402"/>
      <c r="O1003" s="336"/>
      <c r="P1003" s="167">
        <f t="shared" si="351"/>
        <v>2100</v>
      </c>
      <c r="Q1003" s="167">
        <f t="shared" si="363"/>
        <v>0</v>
      </c>
      <c r="R1003" s="167">
        <f t="shared" si="363"/>
        <v>2100</v>
      </c>
    </row>
    <row r="1004" spans="2:18" x14ac:dyDescent="0.2">
      <c r="B1004" s="171">
        <f t="shared" si="366"/>
        <v>648</v>
      </c>
      <c r="C1004" s="143"/>
      <c r="D1004" s="144"/>
      <c r="E1004" s="131"/>
      <c r="F1004" s="131" t="s">
        <v>216</v>
      </c>
      <c r="G1004" s="194" t="s">
        <v>248</v>
      </c>
      <c r="H1004" s="399">
        <f>1045+500</f>
        <v>1545</v>
      </c>
      <c r="I1004" s="399"/>
      <c r="J1004" s="399">
        <f t="shared" si="353"/>
        <v>1545</v>
      </c>
      <c r="K1004" s="336"/>
      <c r="L1004" s="402"/>
      <c r="M1004" s="402"/>
      <c r="N1004" s="402"/>
      <c r="O1004" s="336"/>
      <c r="P1004" s="167">
        <f t="shared" si="351"/>
        <v>1545</v>
      </c>
      <c r="Q1004" s="167">
        <f t="shared" si="363"/>
        <v>0</v>
      </c>
      <c r="R1004" s="167">
        <f t="shared" si="363"/>
        <v>1545</v>
      </c>
    </row>
    <row r="1005" spans="2:18" x14ac:dyDescent="0.2">
      <c r="B1005" s="171"/>
      <c r="C1005" s="143"/>
      <c r="D1005" s="165"/>
      <c r="E1005" s="169"/>
      <c r="F1005" s="144" t="s">
        <v>217</v>
      </c>
      <c r="G1005" s="199" t="s">
        <v>371</v>
      </c>
      <c r="H1005" s="402">
        <v>75</v>
      </c>
      <c r="I1005" s="402"/>
      <c r="J1005" s="402">
        <f t="shared" si="353"/>
        <v>75</v>
      </c>
      <c r="K1005" s="336"/>
      <c r="L1005" s="530"/>
      <c r="M1005" s="530"/>
      <c r="N1005" s="530"/>
      <c r="O1005" s="336"/>
      <c r="P1005" s="531">
        <f t="shared" si="351"/>
        <v>75</v>
      </c>
      <c r="Q1005" s="531">
        <f t="shared" si="363"/>
        <v>0</v>
      </c>
      <c r="R1005" s="531">
        <f t="shared" si="363"/>
        <v>75</v>
      </c>
    </row>
    <row r="1006" spans="2:18" ht="14.25" x14ac:dyDescent="0.2">
      <c r="B1006" s="171">
        <f>B1004+1</f>
        <v>649</v>
      </c>
      <c r="C1006" s="76"/>
      <c r="D1006" s="516"/>
      <c r="E1006" s="522" t="s">
        <v>689</v>
      </c>
      <c r="F1006" s="519" t="s">
        <v>690</v>
      </c>
      <c r="G1006" s="518"/>
      <c r="H1006" s="524">
        <f>H1007+H1008+H1009+H1014</f>
        <v>36764</v>
      </c>
      <c r="I1006" s="524">
        <f t="shared" ref="I1006" si="367">I1007+I1008+I1009+I1014</f>
        <v>0</v>
      </c>
      <c r="J1006" s="524">
        <f t="shared" si="353"/>
        <v>36764</v>
      </c>
      <c r="K1006" s="333"/>
      <c r="L1006" s="861"/>
      <c r="M1006" s="861"/>
      <c r="N1006" s="861"/>
      <c r="O1006" s="333"/>
      <c r="P1006" s="521">
        <f t="shared" si="351"/>
        <v>36764</v>
      </c>
      <c r="Q1006" s="521">
        <f t="shared" si="363"/>
        <v>0</v>
      </c>
      <c r="R1006" s="521">
        <f t="shared" si="363"/>
        <v>36764</v>
      </c>
    </row>
    <row r="1007" spans="2:18" x14ac:dyDescent="0.2">
      <c r="B1007" s="171">
        <f t="shared" si="366"/>
        <v>650</v>
      </c>
      <c r="C1007" s="143"/>
      <c r="D1007" s="144"/>
      <c r="E1007" s="169"/>
      <c r="F1007" s="144" t="s">
        <v>211</v>
      </c>
      <c r="G1007" s="199" t="s">
        <v>505</v>
      </c>
      <c r="H1007" s="530">
        <f>16913+846-75</f>
        <v>17684</v>
      </c>
      <c r="I1007" s="530"/>
      <c r="J1007" s="530">
        <f t="shared" si="353"/>
        <v>17684</v>
      </c>
      <c r="K1007" s="336"/>
      <c r="L1007" s="530"/>
      <c r="M1007" s="530"/>
      <c r="N1007" s="530"/>
      <c r="O1007" s="336"/>
      <c r="P1007" s="531">
        <f t="shared" si="351"/>
        <v>17684</v>
      </c>
      <c r="Q1007" s="531">
        <f t="shared" si="363"/>
        <v>0</v>
      </c>
      <c r="R1007" s="531">
        <f t="shared" si="363"/>
        <v>17684</v>
      </c>
    </row>
    <row r="1008" spans="2:18" x14ac:dyDescent="0.2">
      <c r="B1008" s="171">
        <f t="shared" si="366"/>
        <v>651</v>
      </c>
      <c r="C1008" s="143"/>
      <c r="D1008" s="144"/>
      <c r="E1008" s="169"/>
      <c r="F1008" s="144" t="s">
        <v>212</v>
      </c>
      <c r="G1008" s="199" t="s">
        <v>259</v>
      </c>
      <c r="H1008" s="530">
        <f>5914+296</f>
        <v>6210</v>
      </c>
      <c r="I1008" s="530"/>
      <c r="J1008" s="530">
        <f t="shared" si="353"/>
        <v>6210</v>
      </c>
      <c r="K1008" s="336"/>
      <c r="L1008" s="530"/>
      <c r="M1008" s="530"/>
      <c r="N1008" s="530"/>
      <c r="O1008" s="336"/>
      <c r="P1008" s="531">
        <f t="shared" si="351"/>
        <v>6210</v>
      </c>
      <c r="Q1008" s="531">
        <f t="shared" si="363"/>
        <v>0</v>
      </c>
      <c r="R1008" s="531">
        <f t="shared" si="363"/>
        <v>6210</v>
      </c>
    </row>
    <row r="1009" spans="2:18" x14ac:dyDescent="0.2">
      <c r="B1009" s="171">
        <f t="shared" si="366"/>
        <v>652</v>
      </c>
      <c r="C1009" s="143"/>
      <c r="D1009" s="144"/>
      <c r="E1009" s="169"/>
      <c r="F1009" s="144" t="s">
        <v>218</v>
      </c>
      <c r="G1009" s="199" t="s">
        <v>340</v>
      </c>
      <c r="H1009" s="530">
        <f>SUM(H1010:H1013)</f>
        <v>12795</v>
      </c>
      <c r="I1009" s="530"/>
      <c r="J1009" s="530">
        <f t="shared" si="353"/>
        <v>12795</v>
      </c>
      <c r="K1009" s="336"/>
      <c r="L1009" s="530"/>
      <c r="M1009" s="530"/>
      <c r="N1009" s="530"/>
      <c r="O1009" s="336"/>
      <c r="P1009" s="531">
        <f t="shared" si="351"/>
        <v>12795</v>
      </c>
      <c r="Q1009" s="531">
        <f t="shared" si="363"/>
        <v>0</v>
      </c>
      <c r="R1009" s="531">
        <f t="shared" si="363"/>
        <v>12795</v>
      </c>
    </row>
    <row r="1010" spans="2:18" x14ac:dyDescent="0.2">
      <c r="B1010" s="171">
        <f t="shared" si="366"/>
        <v>653</v>
      </c>
      <c r="C1010" s="143"/>
      <c r="D1010" s="144"/>
      <c r="E1010" s="169"/>
      <c r="F1010" s="131" t="s">
        <v>199</v>
      </c>
      <c r="G1010" s="194" t="s">
        <v>318</v>
      </c>
      <c r="H1010" s="434">
        <f>8300-2500</f>
        <v>5800</v>
      </c>
      <c r="I1010" s="434"/>
      <c r="J1010" s="434">
        <f t="shared" si="353"/>
        <v>5800</v>
      </c>
      <c r="K1010" s="336"/>
      <c r="L1010" s="530"/>
      <c r="M1010" s="530"/>
      <c r="N1010" s="530"/>
      <c r="O1010" s="336"/>
      <c r="P1010" s="168">
        <f t="shared" si="351"/>
        <v>5800</v>
      </c>
      <c r="Q1010" s="168">
        <f t="shared" si="363"/>
        <v>0</v>
      </c>
      <c r="R1010" s="168">
        <f t="shared" si="363"/>
        <v>5800</v>
      </c>
    </row>
    <row r="1011" spans="2:18" x14ac:dyDescent="0.2">
      <c r="B1011" s="171">
        <f t="shared" si="366"/>
        <v>654</v>
      </c>
      <c r="C1011" s="143"/>
      <c r="D1011" s="144"/>
      <c r="E1011" s="169"/>
      <c r="F1011" s="131" t="s">
        <v>200</v>
      </c>
      <c r="G1011" s="194" t="s">
        <v>247</v>
      </c>
      <c r="H1011" s="434">
        <f>1350+2000</f>
        <v>3350</v>
      </c>
      <c r="I1011" s="434"/>
      <c r="J1011" s="434">
        <f t="shared" si="353"/>
        <v>3350</v>
      </c>
      <c r="K1011" s="336"/>
      <c r="L1011" s="530"/>
      <c r="M1011" s="530"/>
      <c r="N1011" s="530"/>
      <c r="O1011" s="336"/>
      <c r="P1011" s="168">
        <f t="shared" ref="P1011:P1074" si="368">H1011+L1011</f>
        <v>3350</v>
      </c>
      <c r="Q1011" s="168">
        <f t="shared" ref="Q1011:R1026" si="369">I1011+M1011</f>
        <v>0</v>
      </c>
      <c r="R1011" s="168">
        <f t="shared" si="369"/>
        <v>3350</v>
      </c>
    </row>
    <row r="1012" spans="2:18" x14ac:dyDescent="0.2">
      <c r="B1012" s="171">
        <f t="shared" si="366"/>
        <v>655</v>
      </c>
      <c r="C1012" s="143"/>
      <c r="D1012" s="144"/>
      <c r="E1012" s="169"/>
      <c r="F1012" s="290" t="s">
        <v>214</v>
      </c>
      <c r="G1012" s="202" t="s">
        <v>261</v>
      </c>
      <c r="H1012" s="434">
        <v>2100</v>
      </c>
      <c r="I1012" s="434"/>
      <c r="J1012" s="434">
        <f t="shared" si="353"/>
        <v>2100</v>
      </c>
      <c r="K1012" s="336"/>
      <c r="L1012" s="530"/>
      <c r="M1012" s="530"/>
      <c r="N1012" s="530"/>
      <c r="O1012" s="336"/>
      <c r="P1012" s="168">
        <f t="shared" si="368"/>
        <v>2100</v>
      </c>
      <c r="Q1012" s="168">
        <f t="shared" si="369"/>
        <v>0</v>
      </c>
      <c r="R1012" s="168">
        <f t="shared" si="369"/>
        <v>2100</v>
      </c>
    </row>
    <row r="1013" spans="2:18" x14ac:dyDescent="0.2">
      <c r="B1013" s="171">
        <f t="shared" si="366"/>
        <v>656</v>
      </c>
      <c r="C1013" s="143"/>
      <c r="D1013" s="144"/>
      <c r="E1013" s="169"/>
      <c r="F1013" s="131" t="s">
        <v>216</v>
      </c>
      <c r="G1013" s="194" t="s">
        <v>248</v>
      </c>
      <c r="H1013" s="434">
        <f>1045+500</f>
        <v>1545</v>
      </c>
      <c r="I1013" s="434"/>
      <c r="J1013" s="434">
        <f t="shared" ref="J1013:J1076" si="370">H1013+I1013</f>
        <v>1545</v>
      </c>
      <c r="K1013" s="336"/>
      <c r="L1013" s="530"/>
      <c r="M1013" s="530"/>
      <c r="N1013" s="530"/>
      <c r="O1013" s="336"/>
      <c r="P1013" s="168">
        <f t="shared" si="368"/>
        <v>1545</v>
      </c>
      <c r="Q1013" s="168">
        <f t="shared" si="369"/>
        <v>0</v>
      </c>
      <c r="R1013" s="168">
        <f t="shared" si="369"/>
        <v>1545</v>
      </c>
    </row>
    <row r="1014" spans="2:18" x14ac:dyDescent="0.2">
      <c r="B1014" s="171"/>
      <c r="C1014" s="143"/>
      <c r="D1014" s="144"/>
      <c r="E1014" s="169"/>
      <c r="F1014" s="144" t="s">
        <v>217</v>
      </c>
      <c r="G1014" s="199" t="s">
        <v>371</v>
      </c>
      <c r="H1014" s="402">
        <v>75</v>
      </c>
      <c r="I1014" s="402"/>
      <c r="J1014" s="402">
        <f t="shared" si="370"/>
        <v>75</v>
      </c>
      <c r="K1014" s="336"/>
      <c r="L1014" s="530"/>
      <c r="M1014" s="530"/>
      <c r="N1014" s="530"/>
      <c r="O1014" s="336"/>
      <c r="P1014" s="531">
        <f t="shared" si="368"/>
        <v>75</v>
      </c>
      <c r="Q1014" s="531">
        <f t="shared" si="369"/>
        <v>0</v>
      </c>
      <c r="R1014" s="531">
        <f t="shared" si="369"/>
        <v>75</v>
      </c>
    </row>
    <row r="1015" spans="2:18" ht="15" x14ac:dyDescent="0.25">
      <c r="B1015" s="171">
        <f>B1013+1</f>
        <v>657</v>
      </c>
      <c r="C1015" s="143"/>
      <c r="D1015" s="261" t="s">
        <v>470</v>
      </c>
      <c r="E1015" s="175"/>
      <c r="F1015" s="147" t="s">
        <v>381</v>
      </c>
      <c r="G1015" s="236"/>
      <c r="H1015" s="425">
        <f>H1016+H1025</f>
        <v>64761</v>
      </c>
      <c r="I1015" s="425">
        <f t="shared" ref="I1015" si="371">I1016+I1025</f>
        <v>0</v>
      </c>
      <c r="J1015" s="425">
        <f t="shared" si="370"/>
        <v>64761</v>
      </c>
      <c r="K1015" s="334"/>
      <c r="L1015" s="854"/>
      <c r="M1015" s="854"/>
      <c r="N1015" s="854"/>
      <c r="O1015" s="334"/>
      <c r="P1015" s="330">
        <f t="shared" si="368"/>
        <v>64761</v>
      </c>
      <c r="Q1015" s="330">
        <f t="shared" si="369"/>
        <v>0</v>
      </c>
      <c r="R1015" s="330">
        <f t="shared" si="369"/>
        <v>64761</v>
      </c>
    </row>
    <row r="1016" spans="2:18" ht="14.25" x14ac:dyDescent="0.2">
      <c r="B1016" s="171">
        <f t="shared" si="366"/>
        <v>658</v>
      </c>
      <c r="C1016" s="76"/>
      <c r="D1016" s="516"/>
      <c r="E1016" s="522" t="s">
        <v>688</v>
      </c>
      <c r="F1016" s="519" t="s">
        <v>691</v>
      </c>
      <c r="G1016" s="518"/>
      <c r="H1016" s="520">
        <f>H1017+H1019+H1018+H1024</f>
        <v>32380</v>
      </c>
      <c r="I1016" s="520">
        <f t="shared" ref="I1016" si="372">I1017+I1019+I1018+I1024</f>
        <v>0</v>
      </c>
      <c r="J1016" s="520">
        <f t="shared" si="370"/>
        <v>32380</v>
      </c>
      <c r="K1016" s="333"/>
      <c r="L1016" s="861"/>
      <c r="M1016" s="861"/>
      <c r="N1016" s="861"/>
      <c r="O1016" s="333"/>
      <c r="P1016" s="521">
        <f t="shared" si="368"/>
        <v>32380</v>
      </c>
      <c r="Q1016" s="521">
        <f t="shared" si="369"/>
        <v>0</v>
      </c>
      <c r="R1016" s="521">
        <f t="shared" si="369"/>
        <v>32380</v>
      </c>
    </row>
    <row r="1017" spans="2:18" x14ac:dyDescent="0.2">
      <c r="B1017" s="171">
        <f t="shared" si="366"/>
        <v>659</v>
      </c>
      <c r="C1017" s="143"/>
      <c r="D1017" s="144"/>
      <c r="E1017" s="131"/>
      <c r="F1017" s="144" t="s">
        <v>211</v>
      </c>
      <c r="G1017" s="199" t="s">
        <v>505</v>
      </c>
      <c r="H1017" s="530">
        <f>18007+900+600</f>
        <v>19507</v>
      </c>
      <c r="I1017" s="530"/>
      <c r="J1017" s="530">
        <f t="shared" si="370"/>
        <v>19507</v>
      </c>
      <c r="K1017" s="336"/>
      <c r="L1017" s="402"/>
      <c r="M1017" s="402"/>
      <c r="N1017" s="402"/>
      <c r="O1017" s="336"/>
      <c r="P1017" s="166">
        <f t="shared" si="368"/>
        <v>19507</v>
      </c>
      <c r="Q1017" s="166">
        <f t="shared" si="369"/>
        <v>0</v>
      </c>
      <c r="R1017" s="166">
        <f t="shared" si="369"/>
        <v>19507</v>
      </c>
    </row>
    <row r="1018" spans="2:18" x14ac:dyDescent="0.2">
      <c r="B1018" s="171">
        <f t="shared" si="366"/>
        <v>660</v>
      </c>
      <c r="C1018" s="143"/>
      <c r="D1018" s="144"/>
      <c r="E1018" s="131"/>
      <c r="F1018" s="144" t="s">
        <v>212</v>
      </c>
      <c r="G1018" s="199" t="s">
        <v>259</v>
      </c>
      <c r="H1018" s="530">
        <f>6779+339-600</f>
        <v>6518</v>
      </c>
      <c r="I1018" s="530"/>
      <c r="J1018" s="530">
        <f t="shared" si="370"/>
        <v>6518</v>
      </c>
      <c r="K1018" s="336"/>
      <c r="L1018" s="402"/>
      <c r="M1018" s="402"/>
      <c r="N1018" s="402"/>
      <c r="O1018" s="336"/>
      <c r="P1018" s="166">
        <f t="shared" si="368"/>
        <v>6518</v>
      </c>
      <c r="Q1018" s="166">
        <f t="shared" si="369"/>
        <v>0</v>
      </c>
      <c r="R1018" s="166">
        <f t="shared" si="369"/>
        <v>6518</v>
      </c>
    </row>
    <row r="1019" spans="2:18" x14ac:dyDescent="0.2">
      <c r="B1019" s="171">
        <f t="shared" si="366"/>
        <v>661</v>
      </c>
      <c r="C1019" s="143"/>
      <c r="D1019" s="144"/>
      <c r="E1019" s="131"/>
      <c r="F1019" s="144" t="s">
        <v>218</v>
      </c>
      <c r="G1019" s="199" t="s">
        <v>340</v>
      </c>
      <c r="H1019" s="530">
        <f>SUM(H1020:H1023)</f>
        <v>6255</v>
      </c>
      <c r="I1019" s="530"/>
      <c r="J1019" s="530">
        <f t="shared" si="370"/>
        <v>6255</v>
      </c>
      <c r="K1019" s="336"/>
      <c r="L1019" s="402"/>
      <c r="M1019" s="402"/>
      <c r="N1019" s="402"/>
      <c r="O1019" s="336"/>
      <c r="P1019" s="166">
        <f t="shared" si="368"/>
        <v>6255</v>
      </c>
      <c r="Q1019" s="166">
        <f t="shared" si="369"/>
        <v>0</v>
      </c>
      <c r="R1019" s="166">
        <f t="shared" si="369"/>
        <v>6255</v>
      </c>
    </row>
    <row r="1020" spans="2:18" x14ac:dyDescent="0.2">
      <c r="B1020" s="171">
        <f t="shared" si="366"/>
        <v>662</v>
      </c>
      <c r="C1020" s="143"/>
      <c r="D1020" s="144"/>
      <c r="E1020" s="131"/>
      <c r="F1020" s="131" t="s">
        <v>199</v>
      </c>
      <c r="G1020" s="194" t="s">
        <v>318</v>
      </c>
      <c r="H1020" s="399">
        <f>4445-560</f>
        <v>3885</v>
      </c>
      <c r="I1020" s="399"/>
      <c r="J1020" s="399">
        <f t="shared" si="370"/>
        <v>3885</v>
      </c>
      <c r="K1020" s="336"/>
      <c r="L1020" s="402"/>
      <c r="M1020" s="402"/>
      <c r="N1020" s="402"/>
      <c r="O1020" s="336"/>
      <c r="P1020" s="167">
        <f t="shared" si="368"/>
        <v>3885</v>
      </c>
      <c r="Q1020" s="167">
        <f t="shared" si="369"/>
        <v>0</v>
      </c>
      <c r="R1020" s="167">
        <f t="shared" si="369"/>
        <v>3885</v>
      </c>
    </row>
    <row r="1021" spans="2:18" x14ac:dyDescent="0.2">
      <c r="B1021" s="171">
        <f t="shared" si="366"/>
        <v>663</v>
      </c>
      <c r="C1021" s="143"/>
      <c r="D1021" s="144"/>
      <c r="E1021" s="131"/>
      <c r="F1021" s="131" t="s">
        <v>200</v>
      </c>
      <c r="G1021" s="194" t="s">
        <v>247</v>
      </c>
      <c r="H1021" s="399">
        <f>500+180</f>
        <v>680</v>
      </c>
      <c r="I1021" s="399"/>
      <c r="J1021" s="399">
        <f t="shared" si="370"/>
        <v>680</v>
      </c>
      <c r="K1021" s="337"/>
      <c r="L1021" s="530"/>
      <c r="M1021" s="530"/>
      <c r="N1021" s="530"/>
      <c r="O1021" s="337"/>
      <c r="P1021" s="168">
        <f t="shared" si="368"/>
        <v>680</v>
      </c>
      <c r="Q1021" s="168">
        <f t="shared" si="369"/>
        <v>0</v>
      </c>
      <c r="R1021" s="168">
        <f t="shared" si="369"/>
        <v>680</v>
      </c>
    </row>
    <row r="1022" spans="2:18" x14ac:dyDescent="0.2">
      <c r="B1022" s="171">
        <f t="shared" si="366"/>
        <v>664</v>
      </c>
      <c r="C1022" s="143"/>
      <c r="D1022" s="144"/>
      <c r="E1022" s="131"/>
      <c r="F1022" s="131" t="s">
        <v>214</v>
      </c>
      <c r="G1022" s="194" t="s">
        <v>261</v>
      </c>
      <c r="H1022" s="430">
        <v>200</v>
      </c>
      <c r="I1022" s="430"/>
      <c r="J1022" s="430">
        <f t="shared" si="370"/>
        <v>200</v>
      </c>
      <c r="K1022" s="336"/>
      <c r="L1022" s="870"/>
      <c r="M1022" s="870"/>
      <c r="N1022" s="870"/>
      <c r="O1022" s="336"/>
      <c r="P1022" s="267">
        <f t="shared" si="368"/>
        <v>200</v>
      </c>
      <c r="Q1022" s="267">
        <f t="shared" si="369"/>
        <v>0</v>
      </c>
      <c r="R1022" s="267">
        <f t="shared" si="369"/>
        <v>200</v>
      </c>
    </row>
    <row r="1023" spans="2:18" x14ac:dyDescent="0.2">
      <c r="B1023" s="171">
        <f t="shared" si="366"/>
        <v>665</v>
      </c>
      <c r="C1023" s="130"/>
      <c r="D1023" s="131"/>
      <c r="E1023" s="131"/>
      <c r="F1023" s="131" t="s">
        <v>216</v>
      </c>
      <c r="G1023" s="194" t="s">
        <v>248</v>
      </c>
      <c r="H1023" s="399">
        <f>1110+380</f>
        <v>1490</v>
      </c>
      <c r="I1023" s="399"/>
      <c r="J1023" s="399">
        <f t="shared" si="370"/>
        <v>1490</v>
      </c>
      <c r="K1023" s="339"/>
      <c r="L1023" s="434"/>
      <c r="M1023" s="434"/>
      <c r="N1023" s="434"/>
      <c r="O1023" s="339"/>
      <c r="P1023" s="167">
        <f t="shared" si="368"/>
        <v>1490</v>
      </c>
      <c r="Q1023" s="167">
        <f t="shared" si="369"/>
        <v>0</v>
      </c>
      <c r="R1023" s="167">
        <f t="shared" si="369"/>
        <v>1490</v>
      </c>
    </row>
    <row r="1024" spans="2:18" x14ac:dyDescent="0.2">
      <c r="B1024" s="171">
        <f t="shared" si="366"/>
        <v>666</v>
      </c>
      <c r="C1024" s="130"/>
      <c r="D1024" s="130"/>
      <c r="E1024" s="134"/>
      <c r="F1024" s="144" t="s">
        <v>217</v>
      </c>
      <c r="G1024" s="199" t="s">
        <v>507</v>
      </c>
      <c r="H1024" s="530">
        <v>100</v>
      </c>
      <c r="I1024" s="530"/>
      <c r="J1024" s="530">
        <f t="shared" si="370"/>
        <v>100</v>
      </c>
      <c r="K1024" s="343"/>
      <c r="L1024" s="399"/>
      <c r="M1024" s="399"/>
      <c r="N1024" s="399"/>
      <c r="O1024" s="343"/>
      <c r="P1024" s="531">
        <f t="shared" si="368"/>
        <v>100</v>
      </c>
      <c r="Q1024" s="531">
        <f t="shared" si="369"/>
        <v>0</v>
      </c>
      <c r="R1024" s="531">
        <f t="shared" si="369"/>
        <v>100</v>
      </c>
    </row>
    <row r="1025" spans="2:18" ht="14.25" x14ac:dyDescent="0.2">
      <c r="B1025" s="171">
        <f t="shared" si="366"/>
        <v>667</v>
      </c>
      <c r="C1025" s="76"/>
      <c r="D1025" s="516"/>
      <c r="E1025" s="522" t="s">
        <v>689</v>
      </c>
      <c r="F1025" s="519" t="s">
        <v>690</v>
      </c>
      <c r="G1025" s="518"/>
      <c r="H1025" s="524">
        <f>H1026+H1027+H1028+H1033</f>
        <v>32381</v>
      </c>
      <c r="I1025" s="524">
        <f t="shared" ref="I1025" si="373">I1026+I1027+I1028+I1033</f>
        <v>0</v>
      </c>
      <c r="J1025" s="524">
        <f t="shared" si="370"/>
        <v>32381</v>
      </c>
      <c r="K1025" s="333"/>
      <c r="L1025" s="861"/>
      <c r="M1025" s="861"/>
      <c r="N1025" s="861"/>
      <c r="O1025" s="333"/>
      <c r="P1025" s="521">
        <f t="shared" si="368"/>
        <v>32381</v>
      </c>
      <c r="Q1025" s="521">
        <f t="shared" si="369"/>
        <v>0</v>
      </c>
      <c r="R1025" s="521">
        <f t="shared" si="369"/>
        <v>32381</v>
      </c>
    </row>
    <row r="1026" spans="2:18" x14ac:dyDescent="0.2">
      <c r="B1026" s="171">
        <f t="shared" si="366"/>
        <v>668</v>
      </c>
      <c r="C1026" s="143"/>
      <c r="D1026" s="144"/>
      <c r="E1026" s="169"/>
      <c r="F1026" s="144" t="s">
        <v>211</v>
      </c>
      <c r="G1026" s="199" t="s">
        <v>505</v>
      </c>
      <c r="H1026" s="530">
        <f>18008+900+900</f>
        <v>19808</v>
      </c>
      <c r="I1026" s="530"/>
      <c r="J1026" s="530">
        <f t="shared" si="370"/>
        <v>19808</v>
      </c>
      <c r="K1026" s="336"/>
      <c r="L1026" s="530"/>
      <c r="M1026" s="530"/>
      <c r="N1026" s="530"/>
      <c r="O1026" s="336"/>
      <c r="P1026" s="531">
        <f t="shared" si="368"/>
        <v>19808</v>
      </c>
      <c r="Q1026" s="531">
        <f t="shared" si="369"/>
        <v>0</v>
      </c>
      <c r="R1026" s="531">
        <f t="shared" si="369"/>
        <v>19808</v>
      </c>
    </row>
    <row r="1027" spans="2:18" x14ac:dyDescent="0.2">
      <c r="B1027" s="171">
        <f t="shared" si="366"/>
        <v>669</v>
      </c>
      <c r="C1027" s="143"/>
      <c r="D1027" s="144"/>
      <c r="E1027" s="169"/>
      <c r="F1027" s="144" t="s">
        <v>212</v>
      </c>
      <c r="G1027" s="199" t="s">
        <v>259</v>
      </c>
      <c r="H1027" s="530">
        <f>6779+339-1300</f>
        <v>5818</v>
      </c>
      <c r="I1027" s="530"/>
      <c r="J1027" s="530">
        <f t="shared" si="370"/>
        <v>5818</v>
      </c>
      <c r="K1027" s="336"/>
      <c r="L1027" s="530"/>
      <c r="M1027" s="530"/>
      <c r="N1027" s="530"/>
      <c r="O1027" s="336"/>
      <c r="P1027" s="531">
        <f t="shared" si="368"/>
        <v>5818</v>
      </c>
      <c r="Q1027" s="531">
        <f t="shared" ref="Q1027:R1042" si="374">I1027+M1027</f>
        <v>0</v>
      </c>
      <c r="R1027" s="531">
        <f t="shared" si="374"/>
        <v>5818</v>
      </c>
    </row>
    <row r="1028" spans="2:18" x14ac:dyDescent="0.2">
      <c r="B1028" s="171">
        <f t="shared" si="366"/>
        <v>670</v>
      </c>
      <c r="C1028" s="143"/>
      <c r="D1028" s="144"/>
      <c r="E1028" s="169"/>
      <c r="F1028" s="144" t="s">
        <v>218</v>
      </c>
      <c r="G1028" s="199" t="s">
        <v>340</v>
      </c>
      <c r="H1028" s="530">
        <f>SUM(H1029:H1032)</f>
        <v>6655</v>
      </c>
      <c r="I1028" s="530"/>
      <c r="J1028" s="530">
        <f t="shared" si="370"/>
        <v>6655</v>
      </c>
      <c r="K1028" s="336"/>
      <c r="L1028" s="530"/>
      <c r="M1028" s="530"/>
      <c r="N1028" s="530"/>
      <c r="O1028" s="336"/>
      <c r="P1028" s="531">
        <f t="shared" si="368"/>
        <v>6655</v>
      </c>
      <c r="Q1028" s="531">
        <f t="shared" si="374"/>
        <v>0</v>
      </c>
      <c r="R1028" s="531">
        <f t="shared" si="374"/>
        <v>6655</v>
      </c>
    </row>
    <row r="1029" spans="2:18" x14ac:dyDescent="0.2">
      <c r="B1029" s="171">
        <f t="shared" si="366"/>
        <v>671</v>
      </c>
      <c r="C1029" s="143"/>
      <c r="D1029" s="144"/>
      <c r="E1029" s="169"/>
      <c r="F1029" s="131" t="s">
        <v>199</v>
      </c>
      <c r="G1029" s="194" t="s">
        <v>318</v>
      </c>
      <c r="H1029" s="434">
        <f>4445-160</f>
        <v>4285</v>
      </c>
      <c r="I1029" s="434"/>
      <c r="J1029" s="434">
        <f t="shared" si="370"/>
        <v>4285</v>
      </c>
      <c r="K1029" s="336"/>
      <c r="L1029" s="530"/>
      <c r="M1029" s="530"/>
      <c r="N1029" s="530"/>
      <c r="O1029" s="336"/>
      <c r="P1029" s="168">
        <f t="shared" si="368"/>
        <v>4285</v>
      </c>
      <c r="Q1029" s="168">
        <f t="shared" si="374"/>
        <v>0</v>
      </c>
      <c r="R1029" s="168">
        <f t="shared" si="374"/>
        <v>4285</v>
      </c>
    </row>
    <row r="1030" spans="2:18" x14ac:dyDescent="0.2">
      <c r="B1030" s="171">
        <f t="shared" si="366"/>
        <v>672</v>
      </c>
      <c r="C1030" s="143"/>
      <c r="D1030" s="144"/>
      <c r="E1030" s="169"/>
      <c r="F1030" s="131" t="s">
        <v>200</v>
      </c>
      <c r="G1030" s="194" t="s">
        <v>247</v>
      </c>
      <c r="H1030" s="434">
        <f>500+180</f>
        <v>680</v>
      </c>
      <c r="I1030" s="434"/>
      <c r="J1030" s="434">
        <f t="shared" si="370"/>
        <v>680</v>
      </c>
      <c r="K1030" s="336"/>
      <c r="L1030" s="530"/>
      <c r="M1030" s="530"/>
      <c r="N1030" s="530"/>
      <c r="O1030" s="336"/>
      <c r="P1030" s="168">
        <f t="shared" si="368"/>
        <v>680</v>
      </c>
      <c r="Q1030" s="168">
        <f t="shared" si="374"/>
        <v>0</v>
      </c>
      <c r="R1030" s="168">
        <f t="shared" si="374"/>
        <v>680</v>
      </c>
    </row>
    <row r="1031" spans="2:18" x14ac:dyDescent="0.2">
      <c r="B1031" s="171">
        <f t="shared" si="366"/>
        <v>673</v>
      </c>
      <c r="C1031" s="143"/>
      <c r="D1031" s="144"/>
      <c r="E1031" s="169"/>
      <c r="F1031" s="290" t="s">
        <v>214</v>
      </c>
      <c r="G1031" s="202" t="s">
        <v>261</v>
      </c>
      <c r="H1031" s="399">
        <v>200</v>
      </c>
      <c r="I1031" s="399"/>
      <c r="J1031" s="399">
        <f t="shared" si="370"/>
        <v>200</v>
      </c>
      <c r="K1031" s="336"/>
      <c r="L1031" s="530"/>
      <c r="M1031" s="530"/>
      <c r="N1031" s="530"/>
      <c r="O1031" s="336"/>
      <c r="P1031" s="168">
        <f t="shared" si="368"/>
        <v>200</v>
      </c>
      <c r="Q1031" s="168">
        <f t="shared" si="374"/>
        <v>0</v>
      </c>
      <c r="R1031" s="168">
        <f t="shared" si="374"/>
        <v>200</v>
      </c>
    </row>
    <row r="1032" spans="2:18" x14ac:dyDescent="0.2">
      <c r="B1032" s="171">
        <f t="shared" si="366"/>
        <v>674</v>
      </c>
      <c r="C1032" s="143"/>
      <c r="D1032" s="144"/>
      <c r="E1032" s="169"/>
      <c r="F1032" s="131" t="s">
        <v>216</v>
      </c>
      <c r="G1032" s="194" t="s">
        <v>248</v>
      </c>
      <c r="H1032" s="399">
        <f>1110+380</f>
        <v>1490</v>
      </c>
      <c r="I1032" s="399"/>
      <c r="J1032" s="399">
        <f t="shared" si="370"/>
        <v>1490</v>
      </c>
      <c r="K1032" s="336"/>
      <c r="L1032" s="530"/>
      <c r="M1032" s="530"/>
      <c r="N1032" s="530"/>
      <c r="O1032" s="336"/>
      <c r="P1032" s="168">
        <f t="shared" si="368"/>
        <v>1490</v>
      </c>
      <c r="Q1032" s="168">
        <f t="shared" si="374"/>
        <v>0</v>
      </c>
      <c r="R1032" s="168">
        <f t="shared" si="374"/>
        <v>1490</v>
      </c>
    </row>
    <row r="1033" spans="2:18" x14ac:dyDescent="0.2">
      <c r="B1033" s="171">
        <f t="shared" si="366"/>
        <v>675</v>
      </c>
      <c r="C1033" s="143"/>
      <c r="D1033" s="144"/>
      <c r="E1033" s="169"/>
      <c r="F1033" s="144" t="s">
        <v>217</v>
      </c>
      <c r="G1033" s="199" t="s">
        <v>371</v>
      </c>
      <c r="H1033" s="530">
        <v>100</v>
      </c>
      <c r="I1033" s="530"/>
      <c r="J1033" s="530">
        <f t="shared" si="370"/>
        <v>100</v>
      </c>
      <c r="K1033" s="336"/>
      <c r="L1033" s="530"/>
      <c r="M1033" s="530"/>
      <c r="N1033" s="530"/>
      <c r="O1033" s="336"/>
      <c r="P1033" s="531">
        <f t="shared" si="368"/>
        <v>100</v>
      </c>
      <c r="Q1033" s="531">
        <f t="shared" si="374"/>
        <v>0</v>
      </c>
      <c r="R1033" s="531">
        <f t="shared" si="374"/>
        <v>100</v>
      </c>
    </row>
    <row r="1034" spans="2:18" ht="15" x14ac:dyDescent="0.25">
      <c r="B1034" s="171">
        <f t="shared" si="366"/>
        <v>676</v>
      </c>
      <c r="C1034" s="130"/>
      <c r="D1034" s="263">
        <v>20</v>
      </c>
      <c r="E1034" s="268"/>
      <c r="F1034" s="265" t="s">
        <v>382</v>
      </c>
      <c r="G1034" s="266"/>
      <c r="H1034" s="427">
        <f>H1035+H1044</f>
        <v>70589</v>
      </c>
      <c r="I1034" s="427">
        <f t="shared" ref="I1034" si="375">I1035+I1044</f>
        <v>0</v>
      </c>
      <c r="J1034" s="427">
        <f t="shared" si="370"/>
        <v>70589</v>
      </c>
      <c r="K1034" s="342"/>
      <c r="L1034" s="866">
        <f>L1035+L1044</f>
        <v>13500</v>
      </c>
      <c r="M1034" s="866"/>
      <c r="N1034" s="866">
        <f t="shared" ref="N1034:N1056" si="376">L1034+M1034</f>
        <v>13500</v>
      </c>
      <c r="O1034" s="342"/>
      <c r="P1034" s="346">
        <f t="shared" si="368"/>
        <v>84089</v>
      </c>
      <c r="Q1034" s="346">
        <f t="shared" si="374"/>
        <v>0</v>
      </c>
      <c r="R1034" s="346">
        <f t="shared" si="374"/>
        <v>84089</v>
      </c>
    </row>
    <row r="1035" spans="2:18" ht="14.25" x14ac:dyDescent="0.2">
      <c r="B1035" s="171">
        <f t="shared" si="366"/>
        <v>677</v>
      </c>
      <c r="C1035" s="76"/>
      <c r="D1035" s="516"/>
      <c r="E1035" s="522" t="s">
        <v>688</v>
      </c>
      <c r="F1035" s="519" t="s">
        <v>691</v>
      </c>
      <c r="G1035" s="518"/>
      <c r="H1035" s="520">
        <f>H1036+H1037+H1038+H1042</f>
        <v>31654</v>
      </c>
      <c r="I1035" s="520">
        <f t="shared" ref="I1035" si="377">I1036+I1037+I1038+I1042</f>
        <v>0</v>
      </c>
      <c r="J1035" s="520">
        <f t="shared" si="370"/>
        <v>31654</v>
      </c>
      <c r="K1035" s="333"/>
      <c r="L1035" s="524">
        <f>L1043</f>
        <v>3500</v>
      </c>
      <c r="M1035" s="524"/>
      <c r="N1035" s="524">
        <f t="shared" si="376"/>
        <v>3500</v>
      </c>
      <c r="O1035" s="333"/>
      <c r="P1035" s="521">
        <f t="shared" si="368"/>
        <v>35154</v>
      </c>
      <c r="Q1035" s="521">
        <f t="shared" si="374"/>
        <v>0</v>
      </c>
      <c r="R1035" s="521">
        <f t="shared" si="374"/>
        <v>35154</v>
      </c>
    </row>
    <row r="1036" spans="2:18" x14ac:dyDescent="0.2">
      <c r="B1036" s="171">
        <f t="shared" si="366"/>
        <v>678</v>
      </c>
      <c r="C1036" s="130"/>
      <c r="D1036" s="130"/>
      <c r="E1036" s="134"/>
      <c r="F1036" s="144" t="s">
        <v>211</v>
      </c>
      <c r="G1036" s="199" t="s">
        <v>505</v>
      </c>
      <c r="H1036" s="530">
        <f>17505+875</f>
        <v>18380</v>
      </c>
      <c r="I1036" s="530"/>
      <c r="J1036" s="530">
        <f t="shared" si="370"/>
        <v>18380</v>
      </c>
      <c r="K1036" s="339"/>
      <c r="L1036" s="399"/>
      <c r="M1036" s="399"/>
      <c r="N1036" s="399"/>
      <c r="O1036" s="339"/>
      <c r="P1036" s="531">
        <f t="shared" si="368"/>
        <v>18380</v>
      </c>
      <c r="Q1036" s="531">
        <f t="shared" si="374"/>
        <v>0</v>
      </c>
      <c r="R1036" s="531">
        <f t="shared" si="374"/>
        <v>18380</v>
      </c>
    </row>
    <row r="1037" spans="2:18" x14ac:dyDescent="0.2">
      <c r="B1037" s="171">
        <f t="shared" si="366"/>
        <v>679</v>
      </c>
      <c r="C1037" s="130"/>
      <c r="D1037" s="130"/>
      <c r="E1037" s="134"/>
      <c r="F1037" s="144" t="s">
        <v>212</v>
      </c>
      <c r="G1037" s="199" t="s">
        <v>259</v>
      </c>
      <c r="H1037" s="530">
        <f>6357+318</f>
        <v>6675</v>
      </c>
      <c r="I1037" s="530"/>
      <c r="J1037" s="530">
        <f t="shared" si="370"/>
        <v>6675</v>
      </c>
      <c r="K1037" s="339"/>
      <c r="L1037" s="399"/>
      <c r="M1037" s="399"/>
      <c r="N1037" s="399"/>
      <c r="O1037" s="339"/>
      <c r="P1037" s="531">
        <f t="shared" si="368"/>
        <v>6675</v>
      </c>
      <c r="Q1037" s="531">
        <f t="shared" si="374"/>
        <v>0</v>
      </c>
      <c r="R1037" s="531">
        <f t="shared" si="374"/>
        <v>6675</v>
      </c>
    </row>
    <row r="1038" spans="2:18" x14ac:dyDescent="0.2">
      <c r="B1038" s="171">
        <f t="shared" si="366"/>
        <v>680</v>
      </c>
      <c r="C1038" s="130"/>
      <c r="D1038" s="130"/>
      <c r="E1038" s="134"/>
      <c r="F1038" s="144" t="s">
        <v>218</v>
      </c>
      <c r="G1038" s="199" t="s">
        <v>340</v>
      </c>
      <c r="H1038" s="530">
        <f>SUM(H1039:H1041)</f>
        <v>6579</v>
      </c>
      <c r="I1038" s="530"/>
      <c r="J1038" s="530">
        <f t="shared" si="370"/>
        <v>6579</v>
      </c>
      <c r="K1038" s="339"/>
      <c r="L1038" s="399"/>
      <c r="M1038" s="399"/>
      <c r="N1038" s="399"/>
      <c r="O1038" s="339"/>
      <c r="P1038" s="531">
        <f t="shared" si="368"/>
        <v>6579</v>
      </c>
      <c r="Q1038" s="531">
        <f t="shared" si="374"/>
        <v>0</v>
      </c>
      <c r="R1038" s="531">
        <f t="shared" si="374"/>
        <v>6579</v>
      </c>
    </row>
    <row r="1039" spans="2:18" x14ac:dyDescent="0.2">
      <c r="B1039" s="171">
        <f t="shared" si="366"/>
        <v>681</v>
      </c>
      <c r="C1039" s="130"/>
      <c r="D1039" s="130"/>
      <c r="E1039" s="134"/>
      <c r="F1039" s="131" t="s">
        <v>199</v>
      </c>
      <c r="G1039" s="194" t="s">
        <v>318</v>
      </c>
      <c r="H1039" s="399">
        <v>2147</v>
      </c>
      <c r="I1039" s="399"/>
      <c r="J1039" s="399">
        <f t="shared" si="370"/>
        <v>2147</v>
      </c>
      <c r="K1039" s="339"/>
      <c r="L1039" s="399"/>
      <c r="M1039" s="399"/>
      <c r="N1039" s="399"/>
      <c r="O1039" s="339"/>
      <c r="P1039" s="168">
        <f t="shared" si="368"/>
        <v>2147</v>
      </c>
      <c r="Q1039" s="168">
        <f t="shared" si="374"/>
        <v>0</v>
      </c>
      <c r="R1039" s="168">
        <f t="shared" si="374"/>
        <v>2147</v>
      </c>
    </row>
    <row r="1040" spans="2:18" x14ac:dyDescent="0.2">
      <c r="B1040" s="171">
        <f t="shared" si="366"/>
        <v>682</v>
      </c>
      <c r="C1040" s="130"/>
      <c r="D1040" s="130"/>
      <c r="E1040" s="134"/>
      <c r="F1040" s="131" t="s">
        <v>200</v>
      </c>
      <c r="G1040" s="194" t="s">
        <v>247</v>
      </c>
      <c r="H1040" s="399">
        <v>2970</v>
      </c>
      <c r="I1040" s="399"/>
      <c r="J1040" s="399">
        <f t="shared" si="370"/>
        <v>2970</v>
      </c>
      <c r="K1040" s="339"/>
      <c r="L1040" s="399"/>
      <c r="M1040" s="399"/>
      <c r="N1040" s="399"/>
      <c r="O1040" s="339"/>
      <c r="P1040" s="168">
        <f t="shared" si="368"/>
        <v>2970</v>
      </c>
      <c r="Q1040" s="168">
        <f t="shared" si="374"/>
        <v>0</v>
      </c>
      <c r="R1040" s="168">
        <f t="shared" si="374"/>
        <v>2970</v>
      </c>
    </row>
    <row r="1041" spans="2:18" x14ac:dyDescent="0.2">
      <c r="B1041" s="171">
        <f t="shared" si="366"/>
        <v>683</v>
      </c>
      <c r="C1041" s="130"/>
      <c r="D1041" s="130"/>
      <c r="E1041" s="134"/>
      <c r="F1041" s="131" t="s">
        <v>216</v>
      </c>
      <c r="G1041" s="194" t="s">
        <v>248</v>
      </c>
      <c r="H1041" s="399">
        <v>1462</v>
      </c>
      <c r="I1041" s="399"/>
      <c r="J1041" s="399">
        <f t="shared" si="370"/>
        <v>1462</v>
      </c>
      <c r="K1041" s="339"/>
      <c r="L1041" s="399"/>
      <c r="M1041" s="399"/>
      <c r="N1041" s="399"/>
      <c r="O1041" s="339"/>
      <c r="P1041" s="168">
        <f t="shared" si="368"/>
        <v>1462</v>
      </c>
      <c r="Q1041" s="168">
        <f t="shared" si="374"/>
        <v>0</v>
      </c>
      <c r="R1041" s="168">
        <f t="shared" si="374"/>
        <v>1462</v>
      </c>
    </row>
    <row r="1042" spans="2:18" x14ac:dyDescent="0.2">
      <c r="B1042" s="171">
        <f t="shared" si="366"/>
        <v>684</v>
      </c>
      <c r="C1042" s="130"/>
      <c r="D1042" s="130"/>
      <c r="E1042" s="134"/>
      <c r="F1042" s="144" t="s">
        <v>217</v>
      </c>
      <c r="G1042" s="199" t="s">
        <v>384</v>
      </c>
      <c r="H1042" s="530">
        <v>20</v>
      </c>
      <c r="I1042" s="530"/>
      <c r="J1042" s="530">
        <f t="shared" si="370"/>
        <v>20</v>
      </c>
      <c r="K1042" s="339"/>
      <c r="L1042" s="399"/>
      <c r="M1042" s="399"/>
      <c r="N1042" s="399"/>
      <c r="O1042" s="339"/>
      <c r="P1042" s="531">
        <f t="shared" si="368"/>
        <v>20</v>
      </c>
      <c r="Q1042" s="531">
        <f t="shared" si="374"/>
        <v>0</v>
      </c>
      <c r="R1042" s="531">
        <f t="shared" si="374"/>
        <v>20</v>
      </c>
    </row>
    <row r="1043" spans="2:18" x14ac:dyDescent="0.2">
      <c r="B1043" s="171">
        <f t="shared" si="366"/>
        <v>685</v>
      </c>
      <c r="C1043" s="130"/>
      <c r="D1043" s="159"/>
      <c r="E1043" s="161"/>
      <c r="F1043" s="284" t="s">
        <v>606</v>
      </c>
      <c r="G1043" s="199" t="s">
        <v>730</v>
      </c>
      <c r="H1043" s="530"/>
      <c r="I1043" s="530"/>
      <c r="J1043" s="530">
        <f t="shared" si="370"/>
        <v>0</v>
      </c>
      <c r="K1043" s="339"/>
      <c r="L1043" s="530">
        <v>3500</v>
      </c>
      <c r="M1043" s="530"/>
      <c r="N1043" s="530">
        <f t="shared" si="376"/>
        <v>3500</v>
      </c>
      <c r="O1043" s="339"/>
      <c r="P1043" s="531">
        <f t="shared" si="368"/>
        <v>3500</v>
      </c>
      <c r="Q1043" s="531">
        <f t="shared" ref="Q1043:R1058" si="378">I1043+M1043</f>
        <v>0</v>
      </c>
      <c r="R1043" s="531">
        <f t="shared" si="378"/>
        <v>3500</v>
      </c>
    </row>
    <row r="1044" spans="2:18" ht="14.25" x14ac:dyDescent="0.2">
      <c r="B1044" s="171">
        <f t="shared" si="366"/>
        <v>686</v>
      </c>
      <c r="C1044" s="76"/>
      <c r="D1044" s="516"/>
      <c r="E1044" s="522" t="s">
        <v>689</v>
      </c>
      <c r="F1044" s="519" t="s">
        <v>690</v>
      </c>
      <c r="G1044" s="518"/>
      <c r="H1044" s="524">
        <f>H1045+H1046+H1047+H1053</f>
        <v>38935</v>
      </c>
      <c r="I1044" s="524">
        <f>I1045+I1046+I1047+I1053</f>
        <v>0</v>
      </c>
      <c r="J1044" s="524">
        <f t="shared" si="370"/>
        <v>38935</v>
      </c>
      <c r="K1044" s="333"/>
      <c r="L1044" s="524">
        <f>L1054</f>
        <v>10000</v>
      </c>
      <c r="M1044" s="524"/>
      <c r="N1044" s="524">
        <f t="shared" si="376"/>
        <v>10000</v>
      </c>
      <c r="O1044" s="333"/>
      <c r="P1044" s="521">
        <f t="shared" si="368"/>
        <v>48935</v>
      </c>
      <c r="Q1044" s="521">
        <f t="shared" si="378"/>
        <v>0</v>
      </c>
      <c r="R1044" s="521">
        <f t="shared" si="378"/>
        <v>48935</v>
      </c>
    </row>
    <row r="1045" spans="2:18" x14ac:dyDescent="0.2">
      <c r="B1045" s="171">
        <f t="shared" si="366"/>
        <v>687</v>
      </c>
      <c r="C1045" s="143"/>
      <c r="D1045" s="144"/>
      <c r="E1045" s="169"/>
      <c r="F1045" s="144" t="s">
        <v>211</v>
      </c>
      <c r="G1045" s="199" t="s">
        <v>505</v>
      </c>
      <c r="H1045" s="530">
        <f>21452+1073-3000</f>
        <v>19525</v>
      </c>
      <c r="I1045" s="530">
        <v>-2590</v>
      </c>
      <c r="J1045" s="530">
        <f t="shared" si="370"/>
        <v>16935</v>
      </c>
      <c r="K1045" s="336"/>
      <c r="L1045" s="530"/>
      <c r="M1045" s="530"/>
      <c r="N1045" s="530"/>
      <c r="O1045" s="336"/>
      <c r="P1045" s="531">
        <f t="shared" si="368"/>
        <v>19525</v>
      </c>
      <c r="Q1045" s="531">
        <f t="shared" si="378"/>
        <v>-2590</v>
      </c>
      <c r="R1045" s="531">
        <f t="shared" si="378"/>
        <v>16935</v>
      </c>
    </row>
    <row r="1046" spans="2:18" x14ac:dyDescent="0.2">
      <c r="B1046" s="171">
        <f t="shared" si="366"/>
        <v>688</v>
      </c>
      <c r="C1046" s="143"/>
      <c r="D1046" s="144"/>
      <c r="E1046" s="169"/>
      <c r="F1046" s="144" t="s">
        <v>212</v>
      </c>
      <c r="G1046" s="199" t="s">
        <v>259</v>
      </c>
      <c r="H1046" s="530">
        <f>7770+389</f>
        <v>8159</v>
      </c>
      <c r="I1046" s="530">
        <v>-910</v>
      </c>
      <c r="J1046" s="530">
        <f t="shared" si="370"/>
        <v>7249</v>
      </c>
      <c r="K1046" s="336"/>
      <c r="L1046" s="530"/>
      <c r="M1046" s="530"/>
      <c r="N1046" s="530"/>
      <c r="O1046" s="336"/>
      <c r="P1046" s="531">
        <f t="shared" si="368"/>
        <v>8159</v>
      </c>
      <c r="Q1046" s="531">
        <f t="shared" si="378"/>
        <v>-910</v>
      </c>
      <c r="R1046" s="531">
        <f t="shared" si="378"/>
        <v>7249</v>
      </c>
    </row>
    <row r="1047" spans="2:18" x14ac:dyDescent="0.2">
      <c r="B1047" s="171">
        <f t="shared" si="366"/>
        <v>689</v>
      </c>
      <c r="C1047" s="143"/>
      <c r="D1047" s="144"/>
      <c r="E1047" s="169"/>
      <c r="F1047" s="144" t="s">
        <v>218</v>
      </c>
      <c r="G1047" s="199" t="s">
        <v>340</v>
      </c>
      <c r="H1047" s="530">
        <f>SUM(H1048:H1052)</f>
        <v>11221</v>
      </c>
      <c r="I1047" s="530">
        <f>SUM(I1048:I1052)</f>
        <v>3500</v>
      </c>
      <c r="J1047" s="530">
        <f t="shared" si="370"/>
        <v>14721</v>
      </c>
      <c r="K1047" s="336"/>
      <c r="L1047" s="530"/>
      <c r="M1047" s="530"/>
      <c r="N1047" s="530"/>
      <c r="O1047" s="336"/>
      <c r="P1047" s="531">
        <f t="shared" si="368"/>
        <v>11221</v>
      </c>
      <c r="Q1047" s="531">
        <f t="shared" si="378"/>
        <v>3500</v>
      </c>
      <c r="R1047" s="531">
        <f t="shared" si="378"/>
        <v>14721</v>
      </c>
    </row>
    <row r="1048" spans="2:18" x14ac:dyDescent="0.2">
      <c r="B1048" s="171">
        <f t="shared" si="366"/>
        <v>690</v>
      </c>
      <c r="C1048" s="143"/>
      <c r="D1048" s="144"/>
      <c r="E1048" s="169"/>
      <c r="F1048" s="131" t="s">
        <v>213</v>
      </c>
      <c r="G1048" s="194" t="s">
        <v>255</v>
      </c>
      <c r="H1048" s="434">
        <v>50</v>
      </c>
      <c r="I1048" s="434"/>
      <c r="J1048" s="434">
        <f t="shared" si="370"/>
        <v>50</v>
      </c>
      <c r="K1048" s="336"/>
      <c r="L1048" s="530"/>
      <c r="M1048" s="530"/>
      <c r="N1048" s="530"/>
      <c r="O1048" s="336"/>
      <c r="P1048" s="168">
        <f t="shared" si="368"/>
        <v>50</v>
      </c>
      <c r="Q1048" s="168">
        <f t="shared" si="378"/>
        <v>0</v>
      </c>
      <c r="R1048" s="168">
        <f t="shared" si="378"/>
        <v>50</v>
      </c>
    </row>
    <row r="1049" spans="2:18" x14ac:dyDescent="0.2">
      <c r="B1049" s="171">
        <f t="shared" si="366"/>
        <v>691</v>
      </c>
      <c r="C1049" s="143"/>
      <c r="D1049" s="144"/>
      <c r="E1049" s="169"/>
      <c r="F1049" s="131" t="s">
        <v>199</v>
      </c>
      <c r="G1049" s="194" t="s">
        <v>318</v>
      </c>
      <c r="H1049" s="434">
        <f>2623+1000</f>
        <v>3623</v>
      </c>
      <c r="I1049" s="434">
        <v>1800</v>
      </c>
      <c r="J1049" s="434">
        <f t="shared" si="370"/>
        <v>5423</v>
      </c>
      <c r="K1049" s="336"/>
      <c r="L1049" s="530"/>
      <c r="M1049" s="530"/>
      <c r="N1049" s="530"/>
      <c r="O1049" s="336"/>
      <c r="P1049" s="168">
        <f t="shared" si="368"/>
        <v>3623</v>
      </c>
      <c r="Q1049" s="168">
        <f t="shared" si="378"/>
        <v>1800</v>
      </c>
      <c r="R1049" s="168">
        <f t="shared" si="378"/>
        <v>5423</v>
      </c>
    </row>
    <row r="1050" spans="2:18" x14ac:dyDescent="0.2">
      <c r="B1050" s="171">
        <f t="shared" si="366"/>
        <v>692</v>
      </c>
      <c r="C1050" s="143"/>
      <c r="D1050" s="144"/>
      <c r="E1050" s="169"/>
      <c r="F1050" s="131" t="s">
        <v>200</v>
      </c>
      <c r="G1050" s="194" t="s">
        <v>247</v>
      </c>
      <c r="H1050" s="434">
        <f>3680+2000</f>
        <v>5680</v>
      </c>
      <c r="I1050" s="434"/>
      <c r="J1050" s="434">
        <f t="shared" si="370"/>
        <v>5680</v>
      </c>
      <c r="K1050" s="336"/>
      <c r="L1050" s="530"/>
      <c r="M1050" s="530"/>
      <c r="N1050" s="530"/>
      <c r="O1050" s="336"/>
      <c r="P1050" s="168">
        <f t="shared" si="368"/>
        <v>5680</v>
      </c>
      <c r="Q1050" s="168">
        <f t="shared" si="378"/>
        <v>0</v>
      </c>
      <c r="R1050" s="168">
        <f t="shared" si="378"/>
        <v>5680</v>
      </c>
    </row>
    <row r="1051" spans="2:18" x14ac:dyDescent="0.2">
      <c r="B1051" s="171">
        <f t="shared" si="366"/>
        <v>693</v>
      </c>
      <c r="C1051" s="143"/>
      <c r="D1051" s="144"/>
      <c r="E1051" s="169"/>
      <c r="F1051" s="290" t="s">
        <v>214</v>
      </c>
      <c r="G1051" s="202" t="s">
        <v>261</v>
      </c>
      <c r="H1051" s="399">
        <v>80</v>
      </c>
      <c r="I1051" s="399">
        <v>700</v>
      </c>
      <c r="J1051" s="399">
        <f t="shared" si="370"/>
        <v>780</v>
      </c>
      <c r="K1051" s="336"/>
      <c r="L1051" s="530"/>
      <c r="M1051" s="530"/>
      <c r="N1051" s="530"/>
      <c r="O1051" s="336"/>
      <c r="P1051" s="168">
        <f t="shared" si="368"/>
        <v>80</v>
      </c>
      <c r="Q1051" s="168">
        <f t="shared" si="378"/>
        <v>700</v>
      </c>
      <c r="R1051" s="168">
        <f t="shared" si="378"/>
        <v>780</v>
      </c>
    </row>
    <row r="1052" spans="2:18" x14ac:dyDescent="0.2">
      <c r="B1052" s="171">
        <f t="shared" si="366"/>
        <v>694</v>
      </c>
      <c r="C1052" s="143"/>
      <c r="D1052" s="144"/>
      <c r="E1052" s="169"/>
      <c r="F1052" s="131" t="s">
        <v>216</v>
      </c>
      <c r="G1052" s="194" t="s">
        <v>248</v>
      </c>
      <c r="H1052" s="399">
        <v>1788</v>
      </c>
      <c r="I1052" s="399">
        <v>1000</v>
      </c>
      <c r="J1052" s="399">
        <f t="shared" si="370"/>
        <v>2788</v>
      </c>
      <c r="K1052" s="336"/>
      <c r="L1052" s="530"/>
      <c r="M1052" s="530"/>
      <c r="N1052" s="530"/>
      <c r="O1052" s="336"/>
      <c r="P1052" s="168">
        <f t="shared" si="368"/>
        <v>1788</v>
      </c>
      <c r="Q1052" s="168">
        <f t="shared" si="378"/>
        <v>1000</v>
      </c>
      <c r="R1052" s="168">
        <f t="shared" si="378"/>
        <v>2788</v>
      </c>
    </row>
    <row r="1053" spans="2:18" x14ac:dyDescent="0.2">
      <c r="B1053" s="171">
        <f t="shared" si="366"/>
        <v>695</v>
      </c>
      <c r="C1053" s="143"/>
      <c r="D1053" s="144"/>
      <c r="E1053" s="169"/>
      <c r="F1053" s="144" t="s">
        <v>217</v>
      </c>
      <c r="G1053" s="199" t="s">
        <v>371</v>
      </c>
      <c r="H1053" s="530">
        <v>30</v>
      </c>
      <c r="I1053" s="530"/>
      <c r="J1053" s="530">
        <f t="shared" si="370"/>
        <v>30</v>
      </c>
      <c r="K1053" s="336"/>
      <c r="L1053" s="530"/>
      <c r="M1053" s="530"/>
      <c r="N1053" s="530"/>
      <c r="O1053" s="336"/>
      <c r="P1053" s="531">
        <f t="shared" si="368"/>
        <v>30</v>
      </c>
      <c r="Q1053" s="531">
        <f t="shared" si="378"/>
        <v>0</v>
      </c>
      <c r="R1053" s="531">
        <f t="shared" si="378"/>
        <v>30</v>
      </c>
    </row>
    <row r="1054" spans="2:18" x14ac:dyDescent="0.2">
      <c r="B1054" s="171">
        <f t="shared" si="366"/>
        <v>696</v>
      </c>
      <c r="C1054" s="143"/>
      <c r="D1054" s="657"/>
      <c r="E1054" s="169"/>
      <c r="F1054" s="165" t="s">
        <v>606</v>
      </c>
      <c r="G1054" s="199" t="s">
        <v>607</v>
      </c>
      <c r="H1054" s="530"/>
      <c r="I1054" s="530"/>
      <c r="J1054" s="530">
        <f t="shared" si="370"/>
        <v>0</v>
      </c>
      <c r="K1054" s="336"/>
      <c r="L1054" s="530">
        <v>10000</v>
      </c>
      <c r="M1054" s="872"/>
      <c r="N1054" s="530">
        <f t="shared" si="376"/>
        <v>10000</v>
      </c>
      <c r="O1054" s="336"/>
      <c r="P1054" s="531">
        <f t="shared" si="368"/>
        <v>10000</v>
      </c>
      <c r="Q1054" s="531">
        <f t="shared" si="378"/>
        <v>0</v>
      </c>
      <c r="R1054" s="531">
        <f t="shared" si="378"/>
        <v>10000</v>
      </c>
    </row>
    <row r="1055" spans="2:18" ht="15" x14ac:dyDescent="0.25">
      <c r="B1055" s="171">
        <f t="shared" si="366"/>
        <v>697</v>
      </c>
      <c r="C1055" s="130"/>
      <c r="D1055" s="263">
        <v>21</v>
      </c>
      <c r="E1055" s="175"/>
      <c r="F1055" s="147" t="s">
        <v>414</v>
      </c>
      <c r="G1055" s="236"/>
      <c r="H1055" s="425">
        <f>H1056+H1066</f>
        <v>93238</v>
      </c>
      <c r="I1055" s="425">
        <f t="shared" ref="I1055" si="379">I1056+I1066</f>
        <v>0</v>
      </c>
      <c r="J1055" s="425">
        <f t="shared" si="370"/>
        <v>93238</v>
      </c>
      <c r="K1055" s="342"/>
      <c r="L1055" s="426">
        <f>L1056+L1066</f>
        <v>22000</v>
      </c>
      <c r="M1055" s="426"/>
      <c r="N1055" s="426">
        <f t="shared" si="376"/>
        <v>22000</v>
      </c>
      <c r="O1055" s="342"/>
      <c r="P1055" s="345">
        <f t="shared" si="368"/>
        <v>115238</v>
      </c>
      <c r="Q1055" s="345">
        <f t="shared" si="378"/>
        <v>0</v>
      </c>
      <c r="R1055" s="345">
        <f t="shared" si="378"/>
        <v>115238</v>
      </c>
    </row>
    <row r="1056" spans="2:18" ht="14.25" x14ac:dyDescent="0.2">
      <c r="B1056" s="171">
        <f t="shared" si="366"/>
        <v>698</v>
      </c>
      <c r="C1056" s="76"/>
      <c r="D1056" s="516"/>
      <c r="E1056" s="522" t="s">
        <v>688</v>
      </c>
      <c r="F1056" s="519" t="s">
        <v>691</v>
      </c>
      <c r="G1056" s="518"/>
      <c r="H1056" s="520">
        <f>H1057+H1058+H1059+H1064</f>
        <v>42193</v>
      </c>
      <c r="I1056" s="520">
        <f t="shared" ref="I1056" si="380">I1057+I1058+I1059+I1064</f>
        <v>0</v>
      </c>
      <c r="J1056" s="520">
        <f t="shared" si="370"/>
        <v>42193</v>
      </c>
      <c r="K1056" s="333"/>
      <c r="L1056" s="524">
        <f>L1065</f>
        <v>22000</v>
      </c>
      <c r="M1056" s="524"/>
      <c r="N1056" s="524">
        <f t="shared" si="376"/>
        <v>22000</v>
      </c>
      <c r="O1056" s="333"/>
      <c r="P1056" s="521">
        <f t="shared" si="368"/>
        <v>64193</v>
      </c>
      <c r="Q1056" s="521">
        <f t="shared" si="378"/>
        <v>0</v>
      </c>
      <c r="R1056" s="521">
        <f t="shared" si="378"/>
        <v>64193</v>
      </c>
    </row>
    <row r="1057" spans="2:20" x14ac:dyDescent="0.2">
      <c r="B1057" s="171">
        <f t="shared" si="366"/>
        <v>699</v>
      </c>
      <c r="C1057" s="130"/>
      <c r="D1057" s="130"/>
      <c r="E1057" s="134"/>
      <c r="F1057" s="144" t="s">
        <v>211</v>
      </c>
      <c r="G1057" s="199" t="s">
        <v>505</v>
      </c>
      <c r="H1057" s="530">
        <f>17775+889</f>
        <v>18664</v>
      </c>
      <c r="I1057" s="530"/>
      <c r="J1057" s="530">
        <f t="shared" si="370"/>
        <v>18664</v>
      </c>
      <c r="K1057" s="339"/>
      <c r="L1057" s="399"/>
      <c r="M1057" s="399"/>
      <c r="N1057" s="399"/>
      <c r="O1057" s="339"/>
      <c r="P1057" s="531">
        <f t="shared" si="368"/>
        <v>18664</v>
      </c>
      <c r="Q1057" s="531">
        <f t="shared" si="378"/>
        <v>0</v>
      </c>
      <c r="R1057" s="531">
        <f t="shared" si="378"/>
        <v>18664</v>
      </c>
    </row>
    <row r="1058" spans="2:20" x14ac:dyDescent="0.2">
      <c r="B1058" s="171">
        <f t="shared" si="366"/>
        <v>700</v>
      </c>
      <c r="C1058" s="130"/>
      <c r="D1058" s="130"/>
      <c r="E1058" s="134"/>
      <c r="F1058" s="144" t="s">
        <v>212</v>
      </c>
      <c r="G1058" s="199" t="s">
        <v>259</v>
      </c>
      <c r="H1058" s="530">
        <f>6218+311</f>
        <v>6529</v>
      </c>
      <c r="I1058" s="530"/>
      <c r="J1058" s="530">
        <f t="shared" si="370"/>
        <v>6529</v>
      </c>
      <c r="K1058" s="339"/>
      <c r="L1058" s="399"/>
      <c r="M1058" s="399"/>
      <c r="N1058" s="399"/>
      <c r="O1058" s="339"/>
      <c r="P1058" s="531">
        <f t="shared" si="368"/>
        <v>6529</v>
      </c>
      <c r="Q1058" s="531">
        <f t="shared" si="378"/>
        <v>0</v>
      </c>
      <c r="R1058" s="531">
        <f t="shared" si="378"/>
        <v>6529</v>
      </c>
    </row>
    <row r="1059" spans="2:20" x14ac:dyDescent="0.2">
      <c r="B1059" s="171">
        <f t="shared" si="366"/>
        <v>701</v>
      </c>
      <c r="C1059" s="130"/>
      <c r="D1059" s="130"/>
      <c r="E1059" s="134"/>
      <c r="F1059" s="144" t="s">
        <v>218</v>
      </c>
      <c r="G1059" s="199" t="s">
        <v>340</v>
      </c>
      <c r="H1059" s="530">
        <f>SUM(H1060:H1063)</f>
        <v>16900</v>
      </c>
      <c r="I1059" s="530"/>
      <c r="J1059" s="530">
        <f t="shared" si="370"/>
        <v>16900</v>
      </c>
      <c r="K1059" s="339"/>
      <c r="L1059" s="399"/>
      <c r="M1059" s="399"/>
      <c r="N1059" s="399"/>
      <c r="O1059" s="339"/>
      <c r="P1059" s="531">
        <f t="shared" si="368"/>
        <v>16900</v>
      </c>
      <c r="Q1059" s="531">
        <f t="shared" ref="Q1059:R1074" si="381">I1059+M1059</f>
        <v>0</v>
      </c>
      <c r="R1059" s="531">
        <f t="shared" si="381"/>
        <v>16900</v>
      </c>
    </row>
    <row r="1060" spans="2:20" x14ac:dyDescent="0.2">
      <c r="B1060" s="171">
        <f t="shared" si="366"/>
        <v>702</v>
      </c>
      <c r="C1060" s="130"/>
      <c r="D1060" s="130"/>
      <c r="E1060" s="134"/>
      <c r="F1060" s="131" t="s">
        <v>199</v>
      </c>
      <c r="G1060" s="194" t="s">
        <v>318</v>
      </c>
      <c r="H1060" s="399">
        <v>12840</v>
      </c>
      <c r="I1060" s="399"/>
      <c r="J1060" s="399">
        <f t="shared" si="370"/>
        <v>12840</v>
      </c>
      <c r="K1060" s="339"/>
      <c r="L1060" s="399"/>
      <c r="M1060" s="399"/>
      <c r="N1060" s="399"/>
      <c r="O1060" s="339"/>
      <c r="P1060" s="168">
        <f t="shared" si="368"/>
        <v>12840</v>
      </c>
      <c r="Q1060" s="168">
        <f t="shared" si="381"/>
        <v>0</v>
      </c>
      <c r="R1060" s="168">
        <f t="shared" si="381"/>
        <v>12840</v>
      </c>
    </row>
    <row r="1061" spans="2:20" x14ac:dyDescent="0.2">
      <c r="B1061" s="171">
        <f t="shared" si="366"/>
        <v>703</v>
      </c>
      <c r="C1061" s="130"/>
      <c r="D1061" s="130"/>
      <c r="E1061" s="134"/>
      <c r="F1061" s="131" t="s">
        <v>200</v>
      </c>
      <c r="G1061" s="194" t="s">
        <v>247</v>
      </c>
      <c r="H1061" s="399">
        <v>1625</v>
      </c>
      <c r="I1061" s="399"/>
      <c r="J1061" s="399">
        <f t="shared" si="370"/>
        <v>1625</v>
      </c>
      <c r="K1061" s="339"/>
      <c r="L1061" s="399"/>
      <c r="M1061" s="399"/>
      <c r="N1061" s="399"/>
      <c r="O1061" s="339"/>
      <c r="P1061" s="168">
        <f t="shared" si="368"/>
        <v>1625</v>
      </c>
      <c r="Q1061" s="168">
        <f t="shared" si="381"/>
        <v>0</v>
      </c>
      <c r="R1061" s="168">
        <f t="shared" si="381"/>
        <v>1625</v>
      </c>
    </row>
    <row r="1062" spans="2:20" x14ac:dyDescent="0.2">
      <c r="B1062" s="171">
        <f t="shared" si="366"/>
        <v>704</v>
      </c>
      <c r="C1062" s="130"/>
      <c r="D1062" s="130"/>
      <c r="E1062" s="134"/>
      <c r="F1062" s="131" t="s">
        <v>214</v>
      </c>
      <c r="G1062" s="194" t="s">
        <v>261</v>
      </c>
      <c r="H1062" s="399">
        <f>410+150</f>
        <v>560</v>
      </c>
      <c r="I1062" s="399"/>
      <c r="J1062" s="399">
        <f t="shared" si="370"/>
        <v>560</v>
      </c>
      <c r="K1062" s="339"/>
      <c r="L1062" s="399"/>
      <c r="M1062" s="399"/>
      <c r="N1062" s="399"/>
      <c r="O1062" s="339"/>
      <c r="P1062" s="168">
        <f t="shared" si="368"/>
        <v>560</v>
      </c>
      <c r="Q1062" s="168">
        <f t="shared" si="381"/>
        <v>0</v>
      </c>
      <c r="R1062" s="168">
        <f t="shared" si="381"/>
        <v>560</v>
      </c>
    </row>
    <row r="1063" spans="2:20" x14ac:dyDescent="0.2">
      <c r="B1063" s="171">
        <f t="shared" si="366"/>
        <v>705</v>
      </c>
      <c r="C1063" s="130"/>
      <c r="D1063" s="130"/>
      <c r="E1063" s="134"/>
      <c r="F1063" s="131" t="s">
        <v>216</v>
      </c>
      <c r="G1063" s="194" t="s">
        <v>248</v>
      </c>
      <c r="H1063" s="399">
        <f>2175-300</f>
        <v>1875</v>
      </c>
      <c r="I1063" s="399"/>
      <c r="J1063" s="399">
        <f t="shared" si="370"/>
        <v>1875</v>
      </c>
      <c r="K1063" s="339"/>
      <c r="L1063" s="399"/>
      <c r="M1063" s="399"/>
      <c r="N1063" s="399"/>
      <c r="O1063" s="339"/>
      <c r="P1063" s="168">
        <f t="shared" si="368"/>
        <v>1875</v>
      </c>
      <c r="Q1063" s="168">
        <f t="shared" si="381"/>
        <v>0</v>
      </c>
      <c r="R1063" s="168">
        <f t="shared" si="381"/>
        <v>1875</v>
      </c>
    </row>
    <row r="1064" spans="2:20" x14ac:dyDescent="0.2">
      <c r="B1064" s="171">
        <f t="shared" si="366"/>
        <v>706</v>
      </c>
      <c r="C1064" s="130"/>
      <c r="D1064" s="130"/>
      <c r="E1064" s="134"/>
      <c r="F1064" s="144" t="s">
        <v>217</v>
      </c>
      <c r="G1064" s="199" t="s">
        <v>384</v>
      </c>
      <c r="H1064" s="530">
        <v>100</v>
      </c>
      <c r="I1064" s="530"/>
      <c r="J1064" s="530">
        <f t="shared" si="370"/>
        <v>100</v>
      </c>
      <c r="K1064" s="339"/>
      <c r="L1064" s="399"/>
      <c r="M1064" s="399"/>
      <c r="N1064" s="399"/>
      <c r="O1064" s="339"/>
      <c r="P1064" s="531">
        <f t="shared" si="368"/>
        <v>100</v>
      </c>
      <c r="Q1064" s="531">
        <f t="shared" si="381"/>
        <v>0</v>
      </c>
      <c r="R1064" s="531">
        <f t="shared" si="381"/>
        <v>100</v>
      </c>
    </row>
    <row r="1065" spans="2:20" x14ac:dyDescent="0.2">
      <c r="B1065" s="171">
        <f t="shared" si="366"/>
        <v>707</v>
      </c>
      <c r="C1065" s="130"/>
      <c r="D1065" s="130"/>
      <c r="E1065" s="161"/>
      <c r="F1065" s="284" t="s">
        <v>606</v>
      </c>
      <c r="G1065" s="199" t="s">
        <v>654</v>
      </c>
      <c r="H1065" s="530"/>
      <c r="I1065" s="530"/>
      <c r="J1065" s="530">
        <f t="shared" si="370"/>
        <v>0</v>
      </c>
      <c r="K1065" s="339"/>
      <c r="L1065" s="530">
        <v>22000</v>
      </c>
      <c r="M1065" s="872"/>
      <c r="N1065" s="530">
        <f t="shared" ref="N1065:N1089" si="382">L1065+M1065</f>
        <v>22000</v>
      </c>
      <c r="O1065" s="339"/>
      <c r="P1065" s="531">
        <f t="shared" si="368"/>
        <v>22000</v>
      </c>
      <c r="Q1065" s="531">
        <f t="shared" si="381"/>
        <v>0</v>
      </c>
      <c r="R1065" s="531">
        <f t="shared" si="381"/>
        <v>22000</v>
      </c>
    </row>
    <row r="1066" spans="2:20" ht="14.25" x14ac:dyDescent="0.2">
      <c r="B1066" s="171">
        <f t="shared" ref="B1066:B1115" si="383">B1065+1</f>
        <v>708</v>
      </c>
      <c r="C1066" s="76"/>
      <c r="D1066" s="516"/>
      <c r="E1066" s="522" t="s">
        <v>689</v>
      </c>
      <c r="F1066" s="519" t="s">
        <v>690</v>
      </c>
      <c r="G1066" s="518"/>
      <c r="H1066" s="520">
        <f>H1067+H1068+H1069+H1074</f>
        <v>51045</v>
      </c>
      <c r="I1066" s="520">
        <f t="shared" ref="I1066" si="384">I1067+I1068+I1069+I1074</f>
        <v>0</v>
      </c>
      <c r="J1066" s="520">
        <f t="shared" si="370"/>
        <v>51045</v>
      </c>
      <c r="K1066" s="333"/>
      <c r="L1066" s="861"/>
      <c r="M1066" s="861"/>
      <c r="N1066" s="861"/>
      <c r="O1066" s="333"/>
      <c r="P1066" s="521">
        <f t="shared" si="368"/>
        <v>51045</v>
      </c>
      <c r="Q1066" s="521">
        <f t="shared" si="381"/>
        <v>0</v>
      </c>
      <c r="R1066" s="521">
        <f t="shared" si="381"/>
        <v>51045</v>
      </c>
    </row>
    <row r="1067" spans="2:20" x14ac:dyDescent="0.2">
      <c r="B1067" s="171">
        <f t="shared" si="383"/>
        <v>709</v>
      </c>
      <c r="C1067" s="130"/>
      <c r="D1067" s="130"/>
      <c r="E1067" s="134"/>
      <c r="F1067" s="144" t="s">
        <v>211</v>
      </c>
      <c r="G1067" s="199" t="s">
        <v>505</v>
      </c>
      <c r="H1067" s="530">
        <f>21945+1097</f>
        <v>23042</v>
      </c>
      <c r="I1067" s="530"/>
      <c r="J1067" s="530">
        <f t="shared" si="370"/>
        <v>23042</v>
      </c>
      <c r="K1067" s="339"/>
      <c r="L1067" s="399"/>
      <c r="M1067" s="399"/>
      <c r="N1067" s="399"/>
      <c r="O1067" s="339"/>
      <c r="P1067" s="531">
        <f t="shared" si="368"/>
        <v>23042</v>
      </c>
      <c r="Q1067" s="531">
        <f t="shared" si="381"/>
        <v>0</v>
      </c>
      <c r="R1067" s="531">
        <f t="shared" si="381"/>
        <v>23042</v>
      </c>
    </row>
    <row r="1068" spans="2:20" x14ac:dyDescent="0.2">
      <c r="B1068" s="171">
        <f t="shared" si="383"/>
        <v>710</v>
      </c>
      <c r="C1068" s="130"/>
      <c r="D1068" s="130"/>
      <c r="E1068" s="134"/>
      <c r="F1068" s="144" t="s">
        <v>212</v>
      </c>
      <c r="G1068" s="199" t="s">
        <v>259</v>
      </c>
      <c r="H1068" s="530">
        <f>7665+383</f>
        <v>8048</v>
      </c>
      <c r="I1068" s="530"/>
      <c r="J1068" s="530">
        <f t="shared" si="370"/>
        <v>8048</v>
      </c>
      <c r="K1068" s="339"/>
      <c r="L1068" s="399"/>
      <c r="M1068" s="399"/>
      <c r="N1068" s="399"/>
      <c r="O1068" s="339"/>
      <c r="P1068" s="531">
        <f t="shared" si="368"/>
        <v>8048</v>
      </c>
      <c r="Q1068" s="531">
        <f t="shared" si="381"/>
        <v>0</v>
      </c>
      <c r="R1068" s="531">
        <f t="shared" si="381"/>
        <v>8048</v>
      </c>
      <c r="T1068" s="17"/>
    </row>
    <row r="1069" spans="2:20" x14ac:dyDescent="0.2">
      <c r="B1069" s="171">
        <f t="shared" si="383"/>
        <v>711</v>
      </c>
      <c r="C1069" s="130"/>
      <c r="D1069" s="130"/>
      <c r="E1069" s="134"/>
      <c r="F1069" s="144" t="s">
        <v>218</v>
      </c>
      <c r="G1069" s="199" t="s">
        <v>340</v>
      </c>
      <c r="H1069" s="530">
        <f>SUM(H1070:H1073)</f>
        <v>19855</v>
      </c>
      <c r="I1069" s="530"/>
      <c r="J1069" s="530">
        <f t="shared" si="370"/>
        <v>19855</v>
      </c>
      <c r="K1069" s="339"/>
      <c r="L1069" s="399"/>
      <c r="M1069" s="399"/>
      <c r="N1069" s="399"/>
      <c r="O1069" s="339"/>
      <c r="P1069" s="531">
        <f t="shared" si="368"/>
        <v>19855</v>
      </c>
      <c r="Q1069" s="531">
        <f t="shared" si="381"/>
        <v>0</v>
      </c>
      <c r="R1069" s="531">
        <f t="shared" si="381"/>
        <v>19855</v>
      </c>
    </row>
    <row r="1070" spans="2:20" x14ac:dyDescent="0.2">
      <c r="B1070" s="171">
        <f t="shared" si="383"/>
        <v>712</v>
      </c>
      <c r="C1070" s="130"/>
      <c r="D1070" s="130"/>
      <c r="E1070" s="134"/>
      <c r="F1070" s="131" t="s">
        <v>199</v>
      </c>
      <c r="G1070" s="194" t="s">
        <v>318</v>
      </c>
      <c r="H1070" s="399">
        <v>15150</v>
      </c>
      <c r="I1070" s="399"/>
      <c r="J1070" s="399">
        <f t="shared" si="370"/>
        <v>15150</v>
      </c>
      <c r="K1070" s="339"/>
      <c r="L1070" s="399"/>
      <c r="M1070" s="399"/>
      <c r="N1070" s="399"/>
      <c r="O1070" s="339"/>
      <c r="P1070" s="168">
        <f t="shared" si="368"/>
        <v>15150</v>
      </c>
      <c r="Q1070" s="168">
        <f t="shared" si="381"/>
        <v>0</v>
      </c>
      <c r="R1070" s="168">
        <f t="shared" si="381"/>
        <v>15150</v>
      </c>
    </row>
    <row r="1071" spans="2:20" x14ac:dyDescent="0.2">
      <c r="B1071" s="171">
        <f t="shared" si="383"/>
        <v>713</v>
      </c>
      <c r="C1071" s="130"/>
      <c r="D1071" s="130"/>
      <c r="E1071" s="134"/>
      <c r="F1071" s="131" t="s">
        <v>200</v>
      </c>
      <c r="G1071" s="194" t="s">
        <v>247</v>
      </c>
      <c r="H1071" s="399">
        <v>1725</v>
      </c>
      <c r="I1071" s="399"/>
      <c r="J1071" s="399">
        <f t="shared" si="370"/>
        <v>1725</v>
      </c>
      <c r="K1071" s="339"/>
      <c r="L1071" s="399"/>
      <c r="M1071" s="399"/>
      <c r="N1071" s="399"/>
      <c r="O1071" s="339"/>
      <c r="P1071" s="168">
        <f t="shared" si="368"/>
        <v>1725</v>
      </c>
      <c r="Q1071" s="168">
        <f t="shared" si="381"/>
        <v>0</v>
      </c>
      <c r="R1071" s="168">
        <f t="shared" si="381"/>
        <v>1725</v>
      </c>
    </row>
    <row r="1072" spans="2:20" x14ac:dyDescent="0.2">
      <c r="B1072" s="171">
        <f t="shared" si="383"/>
        <v>714</v>
      </c>
      <c r="C1072" s="130"/>
      <c r="D1072" s="130"/>
      <c r="E1072" s="134"/>
      <c r="F1072" s="131" t="s">
        <v>214</v>
      </c>
      <c r="G1072" s="194" t="s">
        <v>261</v>
      </c>
      <c r="H1072" s="399">
        <f>410+150</f>
        <v>560</v>
      </c>
      <c r="I1072" s="399"/>
      <c r="J1072" s="399">
        <f t="shared" si="370"/>
        <v>560</v>
      </c>
      <c r="K1072" s="339"/>
      <c r="L1072" s="399"/>
      <c r="M1072" s="399"/>
      <c r="N1072" s="399"/>
      <c r="O1072" s="339"/>
      <c r="P1072" s="168">
        <f t="shared" si="368"/>
        <v>560</v>
      </c>
      <c r="Q1072" s="168">
        <f t="shared" si="381"/>
        <v>0</v>
      </c>
      <c r="R1072" s="168">
        <f t="shared" si="381"/>
        <v>560</v>
      </c>
    </row>
    <row r="1073" spans="2:18" x14ac:dyDescent="0.2">
      <c r="B1073" s="171">
        <f t="shared" si="383"/>
        <v>715</v>
      </c>
      <c r="C1073" s="130"/>
      <c r="D1073" s="130"/>
      <c r="E1073" s="134"/>
      <c r="F1073" s="131" t="s">
        <v>216</v>
      </c>
      <c r="G1073" s="194" t="s">
        <v>248</v>
      </c>
      <c r="H1073" s="399">
        <v>2420</v>
      </c>
      <c r="I1073" s="399"/>
      <c r="J1073" s="399">
        <f t="shared" si="370"/>
        <v>2420</v>
      </c>
      <c r="K1073" s="339"/>
      <c r="L1073" s="399"/>
      <c r="M1073" s="399"/>
      <c r="N1073" s="399"/>
      <c r="O1073" s="339"/>
      <c r="P1073" s="168">
        <f t="shared" si="368"/>
        <v>2420</v>
      </c>
      <c r="Q1073" s="168">
        <f t="shared" si="381"/>
        <v>0</v>
      </c>
      <c r="R1073" s="168">
        <f t="shared" si="381"/>
        <v>2420</v>
      </c>
    </row>
    <row r="1074" spans="2:18" x14ac:dyDescent="0.2">
      <c r="B1074" s="171">
        <f t="shared" si="383"/>
        <v>716</v>
      </c>
      <c r="C1074" s="130"/>
      <c r="D1074" s="130"/>
      <c r="E1074" s="134"/>
      <c r="F1074" s="144" t="s">
        <v>217</v>
      </c>
      <c r="G1074" s="199" t="s">
        <v>384</v>
      </c>
      <c r="H1074" s="530">
        <v>100</v>
      </c>
      <c r="I1074" s="530"/>
      <c r="J1074" s="530">
        <f t="shared" si="370"/>
        <v>100</v>
      </c>
      <c r="K1074" s="339"/>
      <c r="L1074" s="399"/>
      <c r="M1074" s="399"/>
      <c r="N1074" s="399"/>
      <c r="O1074" s="339"/>
      <c r="P1074" s="531">
        <f t="shared" si="368"/>
        <v>100</v>
      </c>
      <c r="Q1074" s="531">
        <f t="shared" si="381"/>
        <v>0</v>
      </c>
      <c r="R1074" s="531">
        <f t="shared" si="381"/>
        <v>100</v>
      </c>
    </row>
    <row r="1075" spans="2:18" ht="15" x14ac:dyDescent="0.25">
      <c r="B1075" s="171">
        <f t="shared" si="383"/>
        <v>717</v>
      </c>
      <c r="C1075" s="130"/>
      <c r="D1075" s="262">
        <v>22</v>
      </c>
      <c r="E1075" s="175"/>
      <c r="F1075" s="147" t="s">
        <v>415</v>
      </c>
      <c r="G1075" s="236"/>
      <c r="H1075" s="425">
        <f>H1076+H1080</f>
        <v>112000</v>
      </c>
      <c r="I1075" s="425">
        <f t="shared" ref="I1075" si="385">I1076+I1080</f>
        <v>0</v>
      </c>
      <c r="J1075" s="425">
        <f t="shared" si="370"/>
        <v>112000</v>
      </c>
      <c r="K1075" s="342"/>
      <c r="L1075" s="426">
        <f>L1076+L1080</f>
        <v>35000</v>
      </c>
      <c r="M1075" s="426"/>
      <c r="N1075" s="426">
        <f t="shared" si="382"/>
        <v>35000</v>
      </c>
      <c r="O1075" s="342"/>
      <c r="P1075" s="345">
        <f t="shared" ref="P1075:P1082" si="386">H1075+L1075</f>
        <v>147000</v>
      </c>
      <c r="Q1075" s="345">
        <f t="shared" ref="Q1075:R1082" si="387">I1075+M1075</f>
        <v>0</v>
      </c>
      <c r="R1075" s="345">
        <f t="shared" si="387"/>
        <v>147000</v>
      </c>
    </row>
    <row r="1076" spans="2:18" ht="14.25" x14ac:dyDescent="0.2">
      <c r="B1076" s="171">
        <f t="shared" si="383"/>
        <v>718</v>
      </c>
      <c r="C1076" s="76"/>
      <c r="D1076" s="516"/>
      <c r="E1076" s="522" t="s">
        <v>688</v>
      </c>
      <c r="F1076" s="519" t="s">
        <v>691</v>
      </c>
      <c r="G1076" s="518"/>
      <c r="H1076" s="520">
        <f>H1077</f>
        <v>44800</v>
      </c>
      <c r="I1076" s="520">
        <f t="shared" ref="I1076:I1077" si="388">I1077</f>
        <v>0</v>
      </c>
      <c r="J1076" s="520">
        <f t="shared" si="370"/>
        <v>44800</v>
      </c>
      <c r="K1076" s="333"/>
      <c r="L1076" s="524">
        <f>L1079</f>
        <v>35000</v>
      </c>
      <c r="M1076" s="524"/>
      <c r="N1076" s="524">
        <f t="shared" si="382"/>
        <v>35000</v>
      </c>
      <c r="O1076" s="333"/>
      <c r="P1076" s="521">
        <f t="shared" si="386"/>
        <v>79800</v>
      </c>
      <c r="Q1076" s="521">
        <f t="shared" si="387"/>
        <v>0</v>
      </c>
      <c r="R1076" s="521">
        <f t="shared" si="387"/>
        <v>79800</v>
      </c>
    </row>
    <row r="1077" spans="2:18" x14ac:dyDescent="0.2">
      <c r="B1077" s="171">
        <f t="shared" si="383"/>
        <v>719</v>
      </c>
      <c r="C1077" s="130"/>
      <c r="D1077" s="130"/>
      <c r="E1077" s="134"/>
      <c r="F1077" s="144" t="s">
        <v>218</v>
      </c>
      <c r="G1077" s="199" t="s">
        <v>340</v>
      </c>
      <c r="H1077" s="530">
        <f>H1078</f>
        <v>44800</v>
      </c>
      <c r="I1077" s="530">
        <f t="shared" si="388"/>
        <v>0</v>
      </c>
      <c r="J1077" s="530">
        <f t="shared" ref="J1077:J1115" si="389">H1077+I1077</f>
        <v>44800</v>
      </c>
      <c r="K1077" s="339"/>
      <c r="L1077" s="399"/>
      <c r="M1077" s="399"/>
      <c r="N1077" s="399"/>
      <c r="O1077" s="339"/>
      <c r="P1077" s="531">
        <f t="shared" si="386"/>
        <v>44800</v>
      </c>
      <c r="Q1077" s="531">
        <f t="shared" si="387"/>
        <v>0</v>
      </c>
      <c r="R1077" s="531">
        <f t="shared" si="387"/>
        <v>44800</v>
      </c>
    </row>
    <row r="1078" spans="2:18" x14ac:dyDescent="0.2">
      <c r="B1078" s="171">
        <f t="shared" si="383"/>
        <v>720</v>
      </c>
      <c r="C1078" s="130"/>
      <c r="D1078" s="130"/>
      <c r="E1078" s="134"/>
      <c r="F1078" s="131" t="s">
        <v>216</v>
      </c>
      <c r="G1078" s="194" t="s">
        <v>416</v>
      </c>
      <c r="H1078" s="399">
        <v>44800</v>
      </c>
      <c r="I1078" s="399"/>
      <c r="J1078" s="399">
        <f t="shared" si="389"/>
        <v>44800</v>
      </c>
      <c r="K1078" s="339"/>
      <c r="L1078" s="399"/>
      <c r="M1078" s="399"/>
      <c r="N1078" s="399"/>
      <c r="O1078" s="339"/>
      <c r="P1078" s="168">
        <f t="shared" si="386"/>
        <v>44800</v>
      </c>
      <c r="Q1078" s="168">
        <f t="shared" si="387"/>
        <v>0</v>
      </c>
      <c r="R1078" s="168">
        <f t="shared" si="387"/>
        <v>44800</v>
      </c>
    </row>
    <row r="1079" spans="2:18" x14ac:dyDescent="0.2">
      <c r="B1079" s="171">
        <f t="shared" si="383"/>
        <v>721</v>
      </c>
      <c r="C1079" s="130"/>
      <c r="D1079" s="130"/>
      <c r="E1079" s="134"/>
      <c r="F1079" s="284" t="s">
        <v>606</v>
      </c>
      <c r="G1079" s="199" t="s">
        <v>716</v>
      </c>
      <c r="H1079" s="399"/>
      <c r="I1079" s="399"/>
      <c r="J1079" s="399"/>
      <c r="K1079" s="339"/>
      <c r="L1079" s="530">
        <v>35000</v>
      </c>
      <c r="M1079" s="530"/>
      <c r="N1079" s="530">
        <f t="shared" si="382"/>
        <v>35000</v>
      </c>
      <c r="O1079" s="339"/>
      <c r="P1079" s="531">
        <f t="shared" si="386"/>
        <v>35000</v>
      </c>
      <c r="Q1079" s="531">
        <f t="shared" si="387"/>
        <v>0</v>
      </c>
      <c r="R1079" s="531">
        <f t="shared" si="387"/>
        <v>35000</v>
      </c>
    </row>
    <row r="1080" spans="2:18" ht="15" x14ac:dyDescent="0.25">
      <c r="B1080" s="171">
        <f t="shared" si="383"/>
        <v>722</v>
      </c>
      <c r="C1080" s="76"/>
      <c r="D1080" s="516"/>
      <c r="E1080" s="522" t="s">
        <v>689</v>
      </c>
      <c r="F1080" s="519" t="s">
        <v>690</v>
      </c>
      <c r="G1080" s="518"/>
      <c r="H1080" s="517">
        <f>H1081</f>
        <v>67200</v>
      </c>
      <c r="I1080" s="517">
        <f t="shared" ref="I1080" si="390">I1081</f>
        <v>0</v>
      </c>
      <c r="J1080" s="517">
        <f t="shared" si="389"/>
        <v>67200</v>
      </c>
      <c r="K1080" s="333"/>
      <c r="L1080" s="861"/>
      <c r="M1080" s="861"/>
      <c r="N1080" s="861"/>
      <c r="O1080" s="333"/>
      <c r="P1080" s="521">
        <f t="shared" si="386"/>
        <v>67200</v>
      </c>
      <c r="Q1080" s="521">
        <f t="shared" si="387"/>
        <v>0</v>
      </c>
      <c r="R1080" s="521">
        <f t="shared" si="387"/>
        <v>67200</v>
      </c>
    </row>
    <row r="1081" spans="2:18" x14ac:dyDescent="0.2">
      <c r="B1081" s="171">
        <f t="shared" si="383"/>
        <v>723</v>
      </c>
      <c r="C1081" s="130"/>
      <c r="D1081" s="130"/>
      <c r="E1081" s="134"/>
      <c r="F1081" s="144" t="s">
        <v>218</v>
      </c>
      <c r="G1081" s="199" t="s">
        <v>340</v>
      </c>
      <c r="H1081" s="530">
        <f>SUM(H1082:H1082)</f>
        <v>67200</v>
      </c>
      <c r="I1081" s="530">
        <f t="shared" ref="I1081" si="391">SUM(I1082:I1082)</f>
        <v>0</v>
      </c>
      <c r="J1081" s="530">
        <f t="shared" si="389"/>
        <v>67200</v>
      </c>
      <c r="K1081" s="339"/>
      <c r="L1081" s="399"/>
      <c r="M1081" s="399"/>
      <c r="N1081" s="399"/>
      <c r="O1081" s="339"/>
      <c r="P1081" s="531">
        <f t="shared" si="386"/>
        <v>67200</v>
      </c>
      <c r="Q1081" s="531">
        <f t="shared" si="387"/>
        <v>0</v>
      </c>
      <c r="R1081" s="531">
        <f t="shared" si="387"/>
        <v>67200</v>
      </c>
    </row>
    <row r="1082" spans="2:18" x14ac:dyDescent="0.2">
      <c r="B1082" s="171">
        <f t="shared" si="383"/>
        <v>724</v>
      </c>
      <c r="C1082" s="130"/>
      <c r="D1082" s="130"/>
      <c r="E1082" s="134"/>
      <c r="F1082" s="131" t="s">
        <v>216</v>
      </c>
      <c r="G1082" s="194" t="s">
        <v>248</v>
      </c>
      <c r="H1082" s="399">
        <v>67200</v>
      </c>
      <c r="I1082" s="399"/>
      <c r="J1082" s="399">
        <f t="shared" si="389"/>
        <v>67200</v>
      </c>
      <c r="K1082" s="339"/>
      <c r="L1082" s="399"/>
      <c r="M1082" s="399"/>
      <c r="N1082" s="399"/>
      <c r="O1082" s="339"/>
      <c r="P1082" s="168">
        <f t="shared" si="386"/>
        <v>67200</v>
      </c>
      <c r="Q1082" s="168">
        <f t="shared" si="387"/>
        <v>0</v>
      </c>
      <c r="R1082" s="168">
        <f t="shared" si="387"/>
        <v>67200</v>
      </c>
    </row>
    <row r="1083" spans="2:18" x14ac:dyDescent="0.2">
      <c r="B1083" s="171">
        <f t="shared" si="383"/>
        <v>725</v>
      </c>
      <c r="C1083" s="130"/>
      <c r="D1083" s="130"/>
      <c r="E1083" s="134"/>
      <c r="F1083" s="144"/>
      <c r="G1083" s="199"/>
      <c r="H1083" s="530"/>
      <c r="I1083" s="530"/>
      <c r="J1083" s="530"/>
      <c r="K1083" s="339"/>
      <c r="L1083" s="399"/>
      <c r="M1083" s="399"/>
      <c r="N1083" s="399"/>
      <c r="O1083" s="339"/>
      <c r="P1083" s="531"/>
      <c r="Q1083" s="531"/>
      <c r="R1083" s="531"/>
    </row>
    <row r="1084" spans="2:18" x14ac:dyDescent="0.2">
      <c r="B1084" s="171">
        <f t="shared" si="383"/>
        <v>726</v>
      </c>
      <c r="C1084" s="130"/>
      <c r="D1084" s="130"/>
      <c r="E1084" s="134"/>
      <c r="F1084" s="504">
        <v>640</v>
      </c>
      <c r="G1084" s="286" t="s">
        <v>375</v>
      </c>
      <c r="H1084" s="428">
        <v>23391</v>
      </c>
      <c r="I1084" s="428"/>
      <c r="J1084" s="428">
        <f t="shared" si="389"/>
        <v>23391</v>
      </c>
      <c r="K1084" s="132"/>
      <c r="L1084" s="867"/>
      <c r="M1084" s="867"/>
      <c r="N1084" s="867"/>
      <c r="O1084" s="132"/>
      <c r="P1084" s="287">
        <f>H1084+L1084</f>
        <v>23391</v>
      </c>
      <c r="Q1084" s="287">
        <f t="shared" ref="Q1084:R1087" si="392">I1084+M1084</f>
        <v>0</v>
      </c>
      <c r="R1084" s="287">
        <f t="shared" si="392"/>
        <v>23391</v>
      </c>
    </row>
    <row r="1085" spans="2:18" x14ac:dyDescent="0.2">
      <c r="B1085" s="171">
        <f t="shared" si="383"/>
        <v>727</v>
      </c>
      <c r="C1085" s="130"/>
      <c r="D1085" s="130"/>
      <c r="E1085" s="134"/>
      <c r="F1085" s="504">
        <v>640</v>
      </c>
      <c r="G1085" s="286" t="s">
        <v>376</v>
      </c>
      <c r="H1085" s="428">
        <v>19514</v>
      </c>
      <c r="I1085" s="428"/>
      <c r="J1085" s="428">
        <f t="shared" si="389"/>
        <v>19514</v>
      </c>
      <c r="K1085" s="132"/>
      <c r="L1085" s="867"/>
      <c r="M1085" s="867"/>
      <c r="N1085" s="867"/>
      <c r="O1085" s="132"/>
      <c r="P1085" s="287">
        <f>H1085+L1085</f>
        <v>19514</v>
      </c>
      <c r="Q1085" s="287">
        <f t="shared" si="392"/>
        <v>0</v>
      </c>
      <c r="R1085" s="287">
        <f t="shared" si="392"/>
        <v>19514</v>
      </c>
    </row>
    <row r="1086" spans="2:18" x14ac:dyDescent="0.2">
      <c r="B1086" s="171">
        <f t="shared" si="383"/>
        <v>728</v>
      </c>
      <c r="C1086" s="130"/>
      <c r="D1086" s="130"/>
      <c r="E1086" s="134"/>
      <c r="F1086" s="504">
        <v>640</v>
      </c>
      <c r="G1086" s="286" t="s">
        <v>508</v>
      </c>
      <c r="H1086" s="428">
        <v>8400</v>
      </c>
      <c r="I1086" s="428"/>
      <c r="J1086" s="428">
        <f t="shared" si="389"/>
        <v>8400</v>
      </c>
      <c r="K1086" s="132"/>
      <c r="L1086" s="867"/>
      <c r="M1086" s="867"/>
      <c r="N1086" s="867"/>
      <c r="O1086" s="132"/>
      <c r="P1086" s="287">
        <f>H1086+L1086</f>
        <v>8400</v>
      </c>
      <c r="Q1086" s="287">
        <f t="shared" si="392"/>
        <v>0</v>
      </c>
      <c r="R1086" s="287">
        <f t="shared" si="392"/>
        <v>8400</v>
      </c>
    </row>
    <row r="1087" spans="2:18" x14ac:dyDescent="0.2">
      <c r="B1087" s="171">
        <f t="shared" si="383"/>
        <v>729</v>
      </c>
      <c r="C1087" s="130"/>
      <c r="D1087" s="130"/>
      <c r="E1087" s="134"/>
      <c r="F1087" s="504">
        <v>640</v>
      </c>
      <c r="G1087" s="286" t="s">
        <v>509</v>
      </c>
      <c r="H1087" s="428">
        <v>5557</v>
      </c>
      <c r="I1087" s="428"/>
      <c r="J1087" s="428">
        <f t="shared" si="389"/>
        <v>5557</v>
      </c>
      <c r="K1087" s="132"/>
      <c r="L1087" s="867"/>
      <c r="M1087" s="867"/>
      <c r="N1087" s="867"/>
      <c r="O1087" s="132"/>
      <c r="P1087" s="287">
        <f>H1087+L1087</f>
        <v>5557</v>
      </c>
      <c r="Q1087" s="287">
        <f t="shared" si="392"/>
        <v>0</v>
      </c>
      <c r="R1087" s="287">
        <f t="shared" si="392"/>
        <v>5557</v>
      </c>
    </row>
    <row r="1088" spans="2:18" x14ac:dyDescent="0.2">
      <c r="B1088" s="171">
        <f t="shared" si="383"/>
        <v>730</v>
      </c>
      <c r="C1088" s="130"/>
      <c r="D1088" s="130"/>
      <c r="E1088" s="134"/>
      <c r="F1088" s="134"/>
      <c r="G1088" s="199"/>
      <c r="H1088" s="527"/>
      <c r="I1088" s="527"/>
      <c r="J1088" s="527"/>
      <c r="K1088" s="132"/>
      <c r="L1088" s="527"/>
      <c r="M1088" s="527"/>
      <c r="N1088" s="527"/>
      <c r="O1088" s="132"/>
      <c r="P1088" s="168"/>
      <c r="Q1088" s="168"/>
      <c r="R1088" s="168"/>
    </row>
    <row r="1089" spans="2:18" ht="15.75" x14ac:dyDescent="0.25">
      <c r="B1089" s="171">
        <f t="shared" si="383"/>
        <v>731</v>
      </c>
      <c r="C1089" s="23">
        <v>5</v>
      </c>
      <c r="D1089" s="127" t="s">
        <v>223</v>
      </c>
      <c r="E1089" s="24"/>
      <c r="F1089" s="24"/>
      <c r="G1089" s="193"/>
      <c r="H1089" s="413">
        <f>H1090+H1101+H1105+H1106</f>
        <v>238459</v>
      </c>
      <c r="I1089" s="413">
        <f t="shared" ref="I1089" si="393">I1090+I1101+I1105+I1106</f>
        <v>5069</v>
      </c>
      <c r="J1089" s="413">
        <f t="shared" si="389"/>
        <v>243528</v>
      </c>
      <c r="K1089" s="347"/>
      <c r="L1089" s="379"/>
      <c r="M1089" s="379"/>
      <c r="N1089" s="379">
        <f t="shared" si="382"/>
        <v>0</v>
      </c>
      <c r="O1089" s="347"/>
      <c r="P1089" s="390">
        <f t="shared" ref="P1089:P1115" si="394">H1089+L1089</f>
        <v>238459</v>
      </c>
      <c r="Q1089" s="390">
        <f t="shared" ref="Q1089:R1104" si="395">I1089+M1089</f>
        <v>5069</v>
      </c>
      <c r="R1089" s="390">
        <f t="shared" si="395"/>
        <v>243528</v>
      </c>
    </row>
    <row r="1090" spans="2:18" ht="15" x14ac:dyDescent="0.25">
      <c r="B1090" s="171">
        <f t="shared" si="383"/>
        <v>732</v>
      </c>
      <c r="C1090" s="143"/>
      <c r="D1090" s="176"/>
      <c r="E1090" s="515" t="s">
        <v>679</v>
      </c>
      <c r="F1090" s="230" t="s">
        <v>254</v>
      </c>
      <c r="G1090" s="231"/>
      <c r="H1090" s="429">
        <f>H1091+H1092+H1093+H1100</f>
        <v>192030</v>
      </c>
      <c r="I1090" s="429">
        <f t="shared" ref="I1090" si="396">I1091+I1092+I1093+I1100</f>
        <v>5069</v>
      </c>
      <c r="J1090" s="429">
        <f t="shared" si="389"/>
        <v>197099</v>
      </c>
      <c r="K1090" s="331"/>
      <c r="L1090" s="853"/>
      <c r="M1090" s="853"/>
      <c r="N1090" s="853"/>
      <c r="O1090" s="331"/>
      <c r="P1090" s="332">
        <f t="shared" si="394"/>
        <v>192030</v>
      </c>
      <c r="Q1090" s="332">
        <f t="shared" si="395"/>
        <v>5069</v>
      </c>
      <c r="R1090" s="332">
        <f t="shared" si="395"/>
        <v>197099</v>
      </c>
    </row>
    <row r="1091" spans="2:18" x14ac:dyDescent="0.2">
      <c r="B1091" s="171">
        <f t="shared" si="383"/>
        <v>733</v>
      </c>
      <c r="C1091" s="143"/>
      <c r="D1091" s="144"/>
      <c r="E1091" s="144"/>
      <c r="F1091" s="144" t="s">
        <v>211</v>
      </c>
      <c r="G1091" s="199" t="s">
        <v>505</v>
      </c>
      <c r="H1091" s="530">
        <f>109730-11000</f>
        <v>98730</v>
      </c>
      <c r="I1091" s="530"/>
      <c r="J1091" s="530">
        <f t="shared" si="389"/>
        <v>98730</v>
      </c>
      <c r="K1091" s="336"/>
      <c r="L1091" s="402"/>
      <c r="M1091" s="402"/>
      <c r="N1091" s="402"/>
      <c r="O1091" s="336"/>
      <c r="P1091" s="166">
        <f t="shared" si="394"/>
        <v>98730</v>
      </c>
      <c r="Q1091" s="166">
        <f t="shared" si="395"/>
        <v>0</v>
      </c>
      <c r="R1091" s="166">
        <f t="shared" si="395"/>
        <v>98730</v>
      </c>
    </row>
    <row r="1092" spans="2:18" x14ac:dyDescent="0.2">
      <c r="B1092" s="171">
        <f t="shared" si="383"/>
        <v>734</v>
      </c>
      <c r="C1092" s="143"/>
      <c r="D1092" s="144"/>
      <c r="E1092" s="144"/>
      <c r="F1092" s="144" t="s">
        <v>212</v>
      </c>
      <c r="G1092" s="199" t="s">
        <v>259</v>
      </c>
      <c r="H1092" s="530">
        <v>39950</v>
      </c>
      <c r="I1092" s="530">
        <v>1375</v>
      </c>
      <c r="J1092" s="530">
        <f t="shared" si="389"/>
        <v>41325</v>
      </c>
      <c r="K1092" s="336"/>
      <c r="L1092" s="402"/>
      <c r="M1092" s="402"/>
      <c r="N1092" s="402"/>
      <c r="O1092" s="336"/>
      <c r="P1092" s="166">
        <f t="shared" si="394"/>
        <v>39950</v>
      </c>
      <c r="Q1092" s="166">
        <f t="shared" si="395"/>
        <v>1375</v>
      </c>
      <c r="R1092" s="166">
        <f t="shared" si="395"/>
        <v>41325</v>
      </c>
    </row>
    <row r="1093" spans="2:18" x14ac:dyDescent="0.2">
      <c r="B1093" s="171">
        <f t="shared" si="383"/>
        <v>735</v>
      </c>
      <c r="C1093" s="143"/>
      <c r="D1093" s="144"/>
      <c r="E1093" s="144"/>
      <c r="F1093" s="144" t="s">
        <v>218</v>
      </c>
      <c r="G1093" s="199" t="s">
        <v>340</v>
      </c>
      <c r="H1093" s="530">
        <f>H1094+H1095+H1096+H1097+H1098+H1099</f>
        <v>50550</v>
      </c>
      <c r="I1093" s="530"/>
      <c r="J1093" s="530">
        <f t="shared" si="389"/>
        <v>50550</v>
      </c>
      <c r="K1093" s="336"/>
      <c r="L1093" s="402"/>
      <c r="M1093" s="402"/>
      <c r="N1093" s="402"/>
      <c r="O1093" s="336"/>
      <c r="P1093" s="166">
        <f t="shared" si="394"/>
        <v>50550</v>
      </c>
      <c r="Q1093" s="166">
        <f t="shared" si="395"/>
        <v>0</v>
      </c>
      <c r="R1093" s="166">
        <f t="shared" si="395"/>
        <v>50550</v>
      </c>
    </row>
    <row r="1094" spans="2:18" x14ac:dyDescent="0.2">
      <c r="B1094" s="171">
        <f t="shared" si="383"/>
        <v>736</v>
      </c>
      <c r="C1094" s="143"/>
      <c r="D1094" s="144"/>
      <c r="E1094" s="144"/>
      <c r="F1094" s="131" t="s">
        <v>199</v>
      </c>
      <c r="G1094" s="194" t="s">
        <v>246</v>
      </c>
      <c r="H1094" s="399">
        <v>2500</v>
      </c>
      <c r="I1094" s="399"/>
      <c r="J1094" s="399">
        <f t="shared" si="389"/>
        <v>2500</v>
      </c>
      <c r="K1094" s="349"/>
      <c r="L1094" s="402"/>
      <c r="M1094" s="402"/>
      <c r="N1094" s="402"/>
      <c r="O1094" s="349"/>
      <c r="P1094" s="167">
        <f t="shared" si="394"/>
        <v>2500</v>
      </c>
      <c r="Q1094" s="167">
        <f t="shared" si="395"/>
        <v>0</v>
      </c>
      <c r="R1094" s="167">
        <f t="shared" si="395"/>
        <v>2500</v>
      </c>
    </row>
    <row r="1095" spans="2:18" x14ac:dyDescent="0.2">
      <c r="B1095" s="171">
        <f t="shared" si="383"/>
        <v>737</v>
      </c>
      <c r="C1095" s="143"/>
      <c r="D1095" s="144"/>
      <c r="E1095" s="144"/>
      <c r="F1095" s="131" t="s">
        <v>200</v>
      </c>
      <c r="G1095" s="194" t="s">
        <v>256</v>
      </c>
      <c r="H1095" s="430">
        <v>4050</v>
      </c>
      <c r="I1095" s="430"/>
      <c r="J1095" s="430">
        <f t="shared" si="389"/>
        <v>4050</v>
      </c>
      <c r="K1095" s="341"/>
      <c r="L1095" s="530"/>
      <c r="M1095" s="530"/>
      <c r="N1095" s="530"/>
      <c r="O1095" s="341"/>
      <c r="P1095" s="168">
        <f t="shared" si="394"/>
        <v>4050</v>
      </c>
      <c r="Q1095" s="168">
        <f t="shared" si="395"/>
        <v>0</v>
      </c>
      <c r="R1095" s="168">
        <f t="shared" si="395"/>
        <v>4050</v>
      </c>
    </row>
    <row r="1096" spans="2:18" x14ac:dyDescent="0.2">
      <c r="B1096" s="171">
        <f t="shared" si="383"/>
        <v>738</v>
      </c>
      <c r="C1096" s="130"/>
      <c r="D1096" s="131"/>
      <c r="E1096" s="131"/>
      <c r="F1096" s="131" t="s">
        <v>201</v>
      </c>
      <c r="G1096" s="194" t="s">
        <v>260</v>
      </c>
      <c r="H1096" s="399">
        <v>6750</v>
      </c>
      <c r="I1096" s="399"/>
      <c r="J1096" s="399">
        <f t="shared" si="389"/>
        <v>6750</v>
      </c>
      <c r="K1096" s="339"/>
      <c r="L1096" s="873"/>
      <c r="M1096" s="873"/>
      <c r="N1096" s="873"/>
      <c r="O1096" s="339"/>
      <c r="P1096" s="267">
        <f t="shared" si="394"/>
        <v>6750</v>
      </c>
      <c r="Q1096" s="267">
        <f t="shared" si="395"/>
        <v>0</v>
      </c>
      <c r="R1096" s="267">
        <f t="shared" si="395"/>
        <v>6750</v>
      </c>
    </row>
    <row r="1097" spans="2:18" x14ac:dyDescent="0.2">
      <c r="B1097" s="171">
        <f t="shared" si="383"/>
        <v>739</v>
      </c>
      <c r="C1097" s="130"/>
      <c r="D1097" s="131"/>
      <c r="E1097" s="131"/>
      <c r="F1097" s="131" t="s">
        <v>214</v>
      </c>
      <c r="G1097" s="194" t="s">
        <v>515</v>
      </c>
      <c r="H1097" s="399">
        <v>1400</v>
      </c>
      <c r="I1097" s="399"/>
      <c r="J1097" s="399">
        <f t="shared" si="389"/>
        <v>1400</v>
      </c>
      <c r="K1097" s="339"/>
      <c r="L1097" s="434"/>
      <c r="M1097" s="434"/>
      <c r="N1097" s="434"/>
      <c r="O1097" s="339"/>
      <c r="P1097" s="167">
        <f t="shared" si="394"/>
        <v>1400</v>
      </c>
      <c r="Q1097" s="167">
        <f t="shared" si="395"/>
        <v>0</v>
      </c>
      <c r="R1097" s="167">
        <f t="shared" si="395"/>
        <v>1400</v>
      </c>
    </row>
    <row r="1098" spans="2:18" x14ac:dyDescent="0.2">
      <c r="B1098" s="171">
        <f t="shared" si="383"/>
        <v>740</v>
      </c>
      <c r="C1098" s="130"/>
      <c r="D1098" s="131"/>
      <c r="E1098" s="131"/>
      <c r="F1098" s="131" t="s">
        <v>215</v>
      </c>
      <c r="G1098" s="194" t="s">
        <v>634</v>
      </c>
      <c r="H1098" s="399">
        <v>2500</v>
      </c>
      <c r="I1098" s="399"/>
      <c r="J1098" s="399">
        <f t="shared" si="389"/>
        <v>2500</v>
      </c>
      <c r="K1098" s="339"/>
      <c r="L1098" s="434"/>
      <c r="M1098" s="434"/>
      <c r="N1098" s="434"/>
      <c r="O1098" s="339"/>
      <c r="P1098" s="167">
        <f t="shared" si="394"/>
        <v>2500</v>
      </c>
      <c r="Q1098" s="167">
        <f t="shared" si="395"/>
        <v>0</v>
      </c>
      <c r="R1098" s="167">
        <f t="shared" si="395"/>
        <v>2500</v>
      </c>
    </row>
    <row r="1099" spans="2:18" x14ac:dyDescent="0.2">
      <c r="B1099" s="171">
        <f t="shared" si="383"/>
        <v>741</v>
      </c>
      <c r="C1099" s="130"/>
      <c r="D1099" s="131"/>
      <c r="E1099" s="131"/>
      <c r="F1099" s="131" t="s">
        <v>216</v>
      </c>
      <c r="G1099" s="194" t="s">
        <v>248</v>
      </c>
      <c r="H1099" s="399">
        <f>21750+11600</f>
        <v>33350</v>
      </c>
      <c r="I1099" s="399"/>
      <c r="J1099" s="399">
        <f t="shared" si="389"/>
        <v>33350</v>
      </c>
      <c r="K1099" s="339"/>
      <c r="L1099" s="434"/>
      <c r="M1099" s="434"/>
      <c r="N1099" s="434"/>
      <c r="O1099" s="339"/>
      <c r="P1099" s="167">
        <f t="shared" si="394"/>
        <v>33350</v>
      </c>
      <c r="Q1099" s="167">
        <f t="shared" si="395"/>
        <v>0</v>
      </c>
      <c r="R1099" s="167">
        <f t="shared" si="395"/>
        <v>33350</v>
      </c>
    </row>
    <row r="1100" spans="2:18" x14ac:dyDescent="0.2">
      <c r="B1100" s="171">
        <f t="shared" si="383"/>
        <v>742</v>
      </c>
      <c r="C1100" s="143"/>
      <c r="D1100" s="144"/>
      <c r="E1100" s="165"/>
      <c r="F1100" s="284" t="s">
        <v>217</v>
      </c>
      <c r="G1100" s="199" t="s">
        <v>537</v>
      </c>
      <c r="H1100" s="530">
        <v>2800</v>
      </c>
      <c r="I1100" s="530">
        <v>3694</v>
      </c>
      <c r="J1100" s="530">
        <f t="shared" si="389"/>
        <v>6494</v>
      </c>
      <c r="K1100" s="336"/>
      <c r="L1100" s="402"/>
      <c r="M1100" s="402"/>
      <c r="N1100" s="402"/>
      <c r="O1100" s="336"/>
      <c r="P1100" s="166">
        <f t="shared" si="394"/>
        <v>2800</v>
      </c>
      <c r="Q1100" s="166">
        <f t="shared" si="395"/>
        <v>3694</v>
      </c>
      <c r="R1100" s="166">
        <f t="shared" si="395"/>
        <v>6494</v>
      </c>
    </row>
    <row r="1101" spans="2:18" ht="15" x14ac:dyDescent="0.25">
      <c r="B1101" s="171">
        <f t="shared" si="383"/>
        <v>743</v>
      </c>
      <c r="C1101" s="143"/>
      <c r="D1101" s="176"/>
      <c r="E1101" s="175" t="s">
        <v>253</v>
      </c>
      <c r="F1101" s="147" t="s">
        <v>322</v>
      </c>
      <c r="G1101" s="236"/>
      <c r="H1101" s="425">
        <f>SUM(H1102:H1104)</f>
        <v>3150</v>
      </c>
      <c r="I1101" s="425">
        <f t="shared" ref="I1101" si="397">SUM(I1102:I1104)</f>
        <v>0</v>
      </c>
      <c r="J1101" s="425">
        <f t="shared" si="389"/>
        <v>3150</v>
      </c>
      <c r="K1101" s="334"/>
      <c r="L1101" s="854"/>
      <c r="M1101" s="854"/>
      <c r="N1101" s="854"/>
      <c r="O1101" s="334"/>
      <c r="P1101" s="330">
        <f t="shared" si="394"/>
        <v>3150</v>
      </c>
      <c r="Q1101" s="330">
        <f t="shared" si="395"/>
        <v>0</v>
      </c>
      <c r="R1101" s="330">
        <f t="shared" si="395"/>
        <v>3150</v>
      </c>
    </row>
    <row r="1102" spans="2:18" x14ac:dyDescent="0.2">
      <c r="B1102" s="171">
        <f t="shared" si="383"/>
        <v>744</v>
      </c>
      <c r="C1102" s="130"/>
      <c r="D1102" s="13"/>
      <c r="E1102" s="131"/>
      <c r="F1102" s="131" t="s">
        <v>200</v>
      </c>
      <c r="G1102" s="194" t="s">
        <v>516</v>
      </c>
      <c r="H1102" s="527">
        <v>550</v>
      </c>
      <c r="I1102" s="527"/>
      <c r="J1102" s="527">
        <f t="shared" si="389"/>
        <v>550</v>
      </c>
      <c r="K1102" s="132"/>
      <c r="L1102" s="528"/>
      <c r="M1102" s="528"/>
      <c r="N1102" s="528"/>
      <c r="O1102" s="132"/>
      <c r="P1102" s="167">
        <f t="shared" si="394"/>
        <v>550</v>
      </c>
      <c r="Q1102" s="167">
        <f t="shared" si="395"/>
        <v>0</v>
      </c>
      <c r="R1102" s="167">
        <f t="shared" si="395"/>
        <v>550</v>
      </c>
    </row>
    <row r="1103" spans="2:18" x14ac:dyDescent="0.2">
      <c r="B1103" s="171">
        <f t="shared" si="383"/>
        <v>745</v>
      </c>
      <c r="C1103" s="130"/>
      <c r="D1103" s="13"/>
      <c r="E1103" s="131"/>
      <c r="F1103" s="131" t="s">
        <v>200</v>
      </c>
      <c r="G1103" s="194" t="s">
        <v>517</v>
      </c>
      <c r="H1103" s="527">
        <v>2400</v>
      </c>
      <c r="I1103" s="527"/>
      <c r="J1103" s="527">
        <f t="shared" si="389"/>
        <v>2400</v>
      </c>
      <c r="K1103" s="132"/>
      <c r="L1103" s="528"/>
      <c r="M1103" s="528"/>
      <c r="N1103" s="528"/>
      <c r="O1103" s="132"/>
      <c r="P1103" s="167">
        <f t="shared" si="394"/>
        <v>2400</v>
      </c>
      <c r="Q1103" s="167">
        <f t="shared" si="395"/>
        <v>0</v>
      </c>
      <c r="R1103" s="167">
        <f t="shared" si="395"/>
        <v>2400</v>
      </c>
    </row>
    <row r="1104" spans="2:18" x14ac:dyDescent="0.2">
      <c r="B1104" s="171">
        <f t="shared" si="383"/>
        <v>746</v>
      </c>
      <c r="C1104" s="130"/>
      <c r="D1104" s="13"/>
      <c r="E1104" s="131"/>
      <c r="F1104" s="131" t="s">
        <v>200</v>
      </c>
      <c r="G1104" s="194" t="s">
        <v>518</v>
      </c>
      <c r="H1104" s="527">
        <v>200</v>
      </c>
      <c r="I1104" s="527"/>
      <c r="J1104" s="527">
        <f t="shared" si="389"/>
        <v>200</v>
      </c>
      <c r="K1104" s="132"/>
      <c r="L1104" s="528"/>
      <c r="M1104" s="528"/>
      <c r="N1104" s="528"/>
      <c r="O1104" s="132"/>
      <c r="P1104" s="167">
        <f t="shared" si="394"/>
        <v>200</v>
      </c>
      <c r="Q1104" s="167">
        <f t="shared" si="395"/>
        <v>0</v>
      </c>
      <c r="R1104" s="167">
        <f t="shared" si="395"/>
        <v>200</v>
      </c>
    </row>
    <row r="1105" spans="2:18" ht="15" x14ac:dyDescent="0.25">
      <c r="B1105" s="171">
        <f t="shared" si="383"/>
        <v>747</v>
      </c>
      <c r="C1105" s="130"/>
      <c r="D1105" s="13"/>
      <c r="E1105" s="175" t="s">
        <v>679</v>
      </c>
      <c r="F1105" s="147" t="s">
        <v>323</v>
      </c>
      <c r="G1105" s="236"/>
      <c r="H1105" s="425">
        <v>4500</v>
      </c>
      <c r="I1105" s="425"/>
      <c r="J1105" s="425">
        <f t="shared" si="389"/>
        <v>4500</v>
      </c>
      <c r="K1105" s="342"/>
      <c r="L1105" s="856"/>
      <c r="M1105" s="856"/>
      <c r="N1105" s="856"/>
      <c r="O1105" s="342"/>
      <c r="P1105" s="330">
        <f t="shared" si="394"/>
        <v>4500</v>
      </c>
      <c r="Q1105" s="330">
        <f t="shared" ref="Q1105:R1115" si="398">I1105+M1105</f>
        <v>0</v>
      </c>
      <c r="R1105" s="330">
        <f t="shared" si="398"/>
        <v>4500</v>
      </c>
    </row>
    <row r="1106" spans="2:18" ht="15" x14ac:dyDescent="0.25">
      <c r="B1106" s="171">
        <f t="shared" si="383"/>
        <v>748</v>
      </c>
      <c r="C1106" s="130"/>
      <c r="D1106" s="176"/>
      <c r="E1106" s="175" t="s">
        <v>253</v>
      </c>
      <c r="F1106" s="147" t="s">
        <v>87</v>
      </c>
      <c r="G1106" s="236"/>
      <c r="H1106" s="425">
        <f>H1107+H1109+H1108</f>
        <v>38779</v>
      </c>
      <c r="I1106" s="425">
        <f t="shared" ref="I1106" si="399">I1107+I1109+I1108</f>
        <v>0</v>
      </c>
      <c r="J1106" s="425">
        <f t="shared" si="389"/>
        <v>38779</v>
      </c>
      <c r="K1106" s="342"/>
      <c r="L1106" s="856"/>
      <c r="M1106" s="856"/>
      <c r="N1106" s="856"/>
      <c r="O1106" s="342"/>
      <c r="P1106" s="330">
        <f t="shared" si="394"/>
        <v>38779</v>
      </c>
      <c r="Q1106" s="330">
        <f t="shared" si="398"/>
        <v>0</v>
      </c>
      <c r="R1106" s="330">
        <f t="shared" si="398"/>
        <v>38779</v>
      </c>
    </row>
    <row r="1107" spans="2:18" x14ac:dyDescent="0.2">
      <c r="B1107" s="171">
        <f t="shared" si="383"/>
        <v>749</v>
      </c>
      <c r="C1107" s="130"/>
      <c r="D1107" s="176"/>
      <c r="E1107" s="144"/>
      <c r="F1107" s="144" t="s">
        <v>211</v>
      </c>
      <c r="G1107" s="199" t="s">
        <v>505</v>
      </c>
      <c r="H1107" s="388">
        <v>22900</v>
      </c>
      <c r="I1107" s="388"/>
      <c r="J1107" s="388">
        <f t="shared" si="389"/>
        <v>22900</v>
      </c>
      <c r="K1107" s="132"/>
      <c r="L1107" s="528"/>
      <c r="M1107" s="528"/>
      <c r="N1107" s="528"/>
      <c r="O1107" s="132"/>
      <c r="P1107" s="166">
        <f t="shared" si="394"/>
        <v>22900</v>
      </c>
      <c r="Q1107" s="166">
        <f t="shared" si="398"/>
        <v>0</v>
      </c>
      <c r="R1107" s="166">
        <f t="shared" si="398"/>
        <v>22900</v>
      </c>
    </row>
    <row r="1108" spans="2:18" x14ac:dyDescent="0.2">
      <c r="B1108" s="171">
        <f t="shared" si="383"/>
        <v>750</v>
      </c>
      <c r="C1108" s="130"/>
      <c r="D1108" s="176"/>
      <c r="E1108" s="144"/>
      <c r="F1108" s="144" t="s">
        <v>212</v>
      </c>
      <c r="G1108" s="199" t="s">
        <v>259</v>
      </c>
      <c r="H1108" s="388">
        <v>8690</v>
      </c>
      <c r="I1108" s="388"/>
      <c r="J1108" s="388">
        <f t="shared" si="389"/>
        <v>8690</v>
      </c>
      <c r="K1108" s="132"/>
      <c r="L1108" s="528"/>
      <c r="M1108" s="528"/>
      <c r="N1108" s="528"/>
      <c r="O1108" s="132"/>
      <c r="P1108" s="166">
        <f t="shared" si="394"/>
        <v>8690</v>
      </c>
      <c r="Q1108" s="166">
        <f t="shared" si="398"/>
        <v>0</v>
      </c>
      <c r="R1108" s="166">
        <f t="shared" si="398"/>
        <v>8690</v>
      </c>
    </row>
    <row r="1109" spans="2:18" x14ac:dyDescent="0.2">
      <c r="B1109" s="171">
        <f t="shared" si="383"/>
        <v>751</v>
      </c>
      <c r="C1109" s="130"/>
      <c r="D1109" s="144"/>
      <c r="E1109" s="144"/>
      <c r="F1109" s="144" t="s">
        <v>218</v>
      </c>
      <c r="G1109" s="199" t="s">
        <v>340</v>
      </c>
      <c r="H1109" s="388">
        <f>SUM(H1110:H1115)</f>
        <v>7189</v>
      </c>
      <c r="I1109" s="388"/>
      <c r="J1109" s="388">
        <f t="shared" si="389"/>
        <v>7189</v>
      </c>
      <c r="K1109" s="132"/>
      <c r="L1109" s="528"/>
      <c r="M1109" s="528"/>
      <c r="N1109" s="528"/>
      <c r="O1109" s="132"/>
      <c r="P1109" s="166">
        <f t="shared" si="394"/>
        <v>7189</v>
      </c>
      <c r="Q1109" s="166">
        <f t="shared" si="398"/>
        <v>0</v>
      </c>
      <c r="R1109" s="166">
        <f t="shared" si="398"/>
        <v>7189</v>
      </c>
    </row>
    <row r="1110" spans="2:18" x14ac:dyDescent="0.2">
      <c r="B1110" s="171">
        <f t="shared" si="383"/>
        <v>752</v>
      </c>
      <c r="C1110" s="130"/>
      <c r="D1110" s="144"/>
      <c r="E1110" s="144"/>
      <c r="F1110" s="131" t="s">
        <v>213</v>
      </c>
      <c r="G1110" s="194" t="s">
        <v>255</v>
      </c>
      <c r="H1110" s="527">
        <v>200</v>
      </c>
      <c r="I1110" s="527"/>
      <c r="J1110" s="527">
        <f t="shared" si="389"/>
        <v>200</v>
      </c>
      <c r="L1110" s="528"/>
      <c r="M1110" s="528"/>
      <c r="N1110" s="528"/>
      <c r="P1110" s="167">
        <f t="shared" si="394"/>
        <v>200</v>
      </c>
      <c r="Q1110" s="167">
        <f t="shared" si="398"/>
        <v>0</v>
      </c>
      <c r="R1110" s="167">
        <f t="shared" si="398"/>
        <v>200</v>
      </c>
    </row>
    <row r="1111" spans="2:18" x14ac:dyDescent="0.2">
      <c r="B1111" s="171">
        <f t="shared" si="383"/>
        <v>753</v>
      </c>
      <c r="C1111" s="130"/>
      <c r="D1111" s="144"/>
      <c r="E1111" s="144"/>
      <c r="F1111" s="131" t="s">
        <v>199</v>
      </c>
      <c r="G1111" s="194" t="s">
        <v>246</v>
      </c>
      <c r="H1111" s="527">
        <v>700</v>
      </c>
      <c r="I1111" s="527"/>
      <c r="J1111" s="527">
        <f t="shared" si="389"/>
        <v>700</v>
      </c>
      <c r="L1111" s="528"/>
      <c r="M1111" s="528"/>
      <c r="N1111" s="528"/>
      <c r="P1111" s="167">
        <f t="shared" si="394"/>
        <v>700</v>
      </c>
      <c r="Q1111" s="167">
        <f t="shared" si="398"/>
        <v>0</v>
      </c>
      <c r="R1111" s="167">
        <f t="shared" si="398"/>
        <v>700</v>
      </c>
    </row>
    <row r="1112" spans="2:18" x14ac:dyDescent="0.2">
      <c r="B1112" s="171">
        <f t="shared" si="383"/>
        <v>754</v>
      </c>
      <c r="C1112" s="130"/>
      <c r="D1112" s="144"/>
      <c r="E1112" s="144"/>
      <c r="F1112" s="131" t="s">
        <v>200</v>
      </c>
      <c r="G1112" s="194" t="s">
        <v>256</v>
      </c>
      <c r="H1112" s="527">
        <v>3175</v>
      </c>
      <c r="I1112" s="527"/>
      <c r="J1112" s="527">
        <f t="shared" si="389"/>
        <v>3175</v>
      </c>
      <c r="L1112" s="528"/>
      <c r="M1112" s="528"/>
      <c r="N1112" s="528"/>
      <c r="P1112" s="167">
        <f t="shared" si="394"/>
        <v>3175</v>
      </c>
      <c r="Q1112" s="167">
        <f t="shared" si="398"/>
        <v>0</v>
      </c>
      <c r="R1112" s="167">
        <f t="shared" si="398"/>
        <v>3175</v>
      </c>
    </row>
    <row r="1113" spans="2:18" x14ac:dyDescent="0.2">
      <c r="B1113" s="171">
        <f t="shared" si="383"/>
        <v>755</v>
      </c>
      <c r="C1113" s="130"/>
      <c r="D1113" s="144"/>
      <c r="E1113" s="131"/>
      <c r="F1113" s="131" t="s">
        <v>214</v>
      </c>
      <c r="G1113" s="194" t="s">
        <v>261</v>
      </c>
      <c r="H1113" s="527">
        <v>375</v>
      </c>
      <c r="I1113" s="527"/>
      <c r="J1113" s="527">
        <f t="shared" si="389"/>
        <v>375</v>
      </c>
      <c r="L1113" s="528"/>
      <c r="M1113" s="528"/>
      <c r="N1113" s="528"/>
      <c r="P1113" s="167">
        <f t="shared" si="394"/>
        <v>375</v>
      </c>
      <c r="Q1113" s="167">
        <f t="shared" si="398"/>
        <v>0</v>
      </c>
      <c r="R1113" s="167">
        <f t="shared" si="398"/>
        <v>375</v>
      </c>
    </row>
    <row r="1114" spans="2:18" x14ac:dyDescent="0.2">
      <c r="B1114" s="619">
        <f t="shared" si="383"/>
        <v>756</v>
      </c>
      <c r="C1114" s="652"/>
      <c r="D1114" s="658"/>
      <c r="E1114" s="659"/>
      <c r="F1114" s="659" t="s">
        <v>216</v>
      </c>
      <c r="G1114" s="653" t="s">
        <v>248</v>
      </c>
      <c r="H1114" s="528">
        <v>2000</v>
      </c>
      <c r="I1114" s="528"/>
      <c r="J1114" s="528">
        <f t="shared" si="389"/>
        <v>2000</v>
      </c>
      <c r="L1114" s="528"/>
      <c r="M1114" s="528"/>
      <c r="N1114" s="528"/>
      <c r="P1114" s="167">
        <f t="shared" si="394"/>
        <v>2000</v>
      </c>
      <c r="Q1114" s="167">
        <f t="shared" si="398"/>
        <v>0</v>
      </c>
      <c r="R1114" s="167">
        <f t="shared" si="398"/>
        <v>2000</v>
      </c>
    </row>
    <row r="1115" spans="2:18" ht="13.5" thickBot="1" x14ac:dyDescent="0.25">
      <c r="B1115" s="350">
        <f t="shared" si="383"/>
        <v>757</v>
      </c>
      <c r="C1115" s="211"/>
      <c r="D1115" s="484"/>
      <c r="E1115" s="485"/>
      <c r="F1115" s="485" t="s">
        <v>218</v>
      </c>
      <c r="G1115" s="486" t="s">
        <v>791</v>
      </c>
      <c r="H1115" s="385">
        <v>739</v>
      </c>
      <c r="I1115" s="385"/>
      <c r="J1115" s="385">
        <f t="shared" si="389"/>
        <v>739</v>
      </c>
      <c r="K1115" s="660"/>
      <c r="L1115" s="385"/>
      <c r="M1115" s="385"/>
      <c r="N1115" s="385"/>
      <c r="O1115" s="660"/>
      <c r="P1115" s="214">
        <f t="shared" si="394"/>
        <v>739</v>
      </c>
      <c r="Q1115" s="214">
        <f t="shared" si="398"/>
        <v>0</v>
      </c>
      <c r="R1115" s="214">
        <f t="shared" si="398"/>
        <v>739</v>
      </c>
    </row>
    <row r="1118" spans="2:18" ht="27.75" thickBot="1" x14ac:dyDescent="0.4">
      <c r="B1118" s="246" t="s">
        <v>593</v>
      </c>
      <c r="C1118" s="246"/>
      <c r="D1118" s="246"/>
      <c r="E1118" s="246"/>
      <c r="F1118" s="246"/>
      <c r="G1118" s="246"/>
      <c r="H1118" s="246"/>
      <c r="I1118" s="246"/>
      <c r="J1118" s="246"/>
      <c r="K1118" s="246"/>
      <c r="L1118" s="246"/>
      <c r="M1118" s="246"/>
      <c r="N1118" s="246"/>
      <c r="O1118" s="246"/>
      <c r="P1118" s="246"/>
      <c r="Q1118" s="246"/>
      <c r="R1118" s="246"/>
    </row>
    <row r="1119" spans="2:18" ht="13.5" customHeight="1" thickBot="1" x14ac:dyDescent="0.25">
      <c r="B1119" s="905" t="s">
        <v>631</v>
      </c>
      <c r="C1119" s="906"/>
      <c r="D1119" s="906"/>
      <c r="E1119" s="906"/>
      <c r="F1119" s="906"/>
      <c r="G1119" s="906"/>
      <c r="H1119" s="906"/>
      <c r="I1119" s="906"/>
      <c r="J1119" s="906"/>
      <c r="K1119" s="906"/>
      <c r="L1119" s="906"/>
      <c r="M1119" s="906"/>
      <c r="N1119" s="907"/>
      <c r="O1119" s="120"/>
      <c r="P1119" s="895" t="s">
        <v>721</v>
      </c>
      <c r="Q1119" s="895" t="s">
        <v>860</v>
      </c>
      <c r="R1119" s="895" t="s">
        <v>721</v>
      </c>
    </row>
    <row r="1120" spans="2:18" ht="13.5" customHeight="1" thickTop="1" x14ac:dyDescent="0.2">
      <c r="B1120" s="506"/>
      <c r="C1120" s="898" t="s">
        <v>477</v>
      </c>
      <c r="D1120" s="898" t="s">
        <v>476</v>
      </c>
      <c r="E1120" s="898" t="s">
        <v>474</v>
      </c>
      <c r="F1120" s="898" t="s">
        <v>475</v>
      </c>
      <c r="G1120" s="508" t="s">
        <v>3</v>
      </c>
      <c r="H1120" s="900" t="s">
        <v>722</v>
      </c>
      <c r="I1120" s="904" t="s">
        <v>860</v>
      </c>
      <c r="J1120" s="904" t="s">
        <v>722</v>
      </c>
      <c r="L1120" s="902" t="s">
        <v>723</v>
      </c>
      <c r="M1120" s="902" t="s">
        <v>860</v>
      </c>
      <c r="N1120" s="902" t="s">
        <v>723</v>
      </c>
      <c r="P1120" s="896"/>
      <c r="Q1120" s="896"/>
      <c r="R1120" s="896"/>
    </row>
    <row r="1121" spans="2:18" ht="45" customHeight="1" thickBot="1" x14ac:dyDescent="0.25">
      <c r="B1121" s="510"/>
      <c r="C1121" s="899"/>
      <c r="D1121" s="899"/>
      <c r="E1121" s="899"/>
      <c r="F1121" s="899"/>
      <c r="G1121" s="509"/>
      <c r="H1121" s="901"/>
      <c r="I1121" s="901"/>
      <c r="J1121" s="901"/>
      <c r="L1121" s="903"/>
      <c r="M1121" s="903"/>
      <c r="N1121" s="903"/>
      <c r="P1121" s="897"/>
      <c r="Q1121" s="897"/>
      <c r="R1121" s="897"/>
    </row>
    <row r="1122" spans="2:18" ht="19.5" thickTop="1" thickBot="1" x14ac:dyDescent="0.25">
      <c r="B1122" s="632">
        <v>1</v>
      </c>
      <c r="C1122" s="125" t="s">
        <v>594</v>
      </c>
      <c r="D1122" s="111"/>
      <c r="E1122" s="111"/>
      <c r="F1122" s="111"/>
      <c r="G1122" s="192"/>
      <c r="H1122" s="437">
        <f>H1123+H1124+H1134+H1181</f>
        <v>1253300</v>
      </c>
      <c r="I1122" s="437">
        <f t="shared" ref="I1122" si="400">I1123+I1124+I1134+I1181</f>
        <v>0</v>
      </c>
      <c r="J1122" s="437">
        <f>H1122+I1122</f>
        <v>1253300</v>
      </c>
      <c r="K1122" s="113"/>
      <c r="L1122" s="405">
        <f>L1123+L1124+L1134+L1181</f>
        <v>70600</v>
      </c>
      <c r="M1122" s="405">
        <f t="shared" ref="M1122" si="401">M1123+M1124+M1134+M1181</f>
        <v>0</v>
      </c>
      <c r="N1122" s="405">
        <f>L1122+M1122</f>
        <v>70600</v>
      </c>
      <c r="O1122" s="113"/>
      <c r="P1122" s="372">
        <f t="shared" ref="P1122:P1157" si="402">H1122+L1122</f>
        <v>1323900</v>
      </c>
      <c r="Q1122" s="372">
        <f t="shared" ref="Q1122:R1137" si="403">I1122+M1122</f>
        <v>0</v>
      </c>
      <c r="R1122" s="372">
        <f t="shared" si="403"/>
        <v>1323900</v>
      </c>
    </row>
    <row r="1123" spans="2:18" ht="16.5" thickTop="1" x14ac:dyDescent="0.25">
      <c r="B1123" s="136">
        <f>B1122+1</f>
        <v>2</v>
      </c>
      <c r="C1123" s="23">
        <v>1</v>
      </c>
      <c r="D1123" s="127" t="s">
        <v>110</v>
      </c>
      <c r="E1123" s="24"/>
      <c r="F1123" s="24"/>
      <c r="G1123" s="193"/>
      <c r="H1123" s="410">
        <v>0</v>
      </c>
      <c r="I1123" s="410"/>
      <c r="J1123" s="410">
        <f t="shared" ref="J1123:J1186" si="404">H1123+I1123</f>
        <v>0</v>
      </c>
      <c r="K1123" s="88"/>
      <c r="L1123" s="400">
        <v>0</v>
      </c>
      <c r="M1123" s="400">
        <v>0</v>
      </c>
      <c r="N1123" s="400">
        <f t="shared" ref="N1123:N1181" si="405">L1123+M1123</f>
        <v>0</v>
      </c>
      <c r="O1123" s="88"/>
      <c r="P1123" s="373">
        <f t="shared" si="402"/>
        <v>0</v>
      </c>
      <c r="Q1123" s="373">
        <f t="shared" si="403"/>
        <v>0</v>
      </c>
      <c r="R1123" s="373">
        <f t="shared" si="403"/>
        <v>0</v>
      </c>
    </row>
    <row r="1124" spans="2:18" ht="15.75" x14ac:dyDescent="0.25">
      <c r="B1124" s="136">
        <f t="shared" ref="B1124:B1187" si="406">B1123+1</f>
        <v>3</v>
      </c>
      <c r="C1124" s="21">
        <v>2</v>
      </c>
      <c r="D1124" s="126" t="s">
        <v>111</v>
      </c>
      <c r="E1124" s="22"/>
      <c r="F1124" s="22"/>
      <c r="G1124" s="195"/>
      <c r="H1124" s="411">
        <f>SUM(H1125:H1133)</f>
        <v>56500</v>
      </c>
      <c r="I1124" s="411">
        <f t="shared" ref="I1124" si="407">SUM(I1125:I1133)</f>
        <v>0</v>
      </c>
      <c r="J1124" s="411">
        <f t="shared" si="404"/>
        <v>56500</v>
      </c>
      <c r="K1124" s="112"/>
      <c r="L1124" s="379">
        <v>0</v>
      </c>
      <c r="M1124" s="379">
        <v>0</v>
      </c>
      <c r="N1124" s="379">
        <f t="shared" si="405"/>
        <v>0</v>
      </c>
      <c r="O1124" s="112"/>
      <c r="P1124" s="373">
        <f t="shared" si="402"/>
        <v>56500</v>
      </c>
      <c r="Q1124" s="373">
        <f t="shared" si="403"/>
        <v>0</v>
      </c>
      <c r="R1124" s="373">
        <f t="shared" si="403"/>
        <v>56500</v>
      </c>
    </row>
    <row r="1125" spans="2:18" x14ac:dyDescent="0.2">
      <c r="B1125" s="136">
        <f t="shared" si="406"/>
        <v>4</v>
      </c>
      <c r="C1125" s="130"/>
      <c r="D1125" s="130"/>
      <c r="E1125" s="131" t="s">
        <v>252</v>
      </c>
      <c r="F1125" s="451">
        <v>640</v>
      </c>
      <c r="G1125" s="212" t="s">
        <v>111</v>
      </c>
      <c r="H1125" s="527">
        <v>25000</v>
      </c>
      <c r="I1125" s="527"/>
      <c r="J1125" s="527">
        <f t="shared" si="404"/>
        <v>25000</v>
      </c>
      <c r="K1125" s="132"/>
      <c r="L1125" s="527"/>
      <c r="M1125" s="527"/>
      <c r="N1125" s="527"/>
      <c r="O1125" s="132"/>
      <c r="P1125" s="449">
        <f t="shared" si="402"/>
        <v>25000</v>
      </c>
      <c r="Q1125" s="449">
        <f t="shared" si="403"/>
        <v>0</v>
      </c>
      <c r="R1125" s="449">
        <f t="shared" si="403"/>
        <v>25000</v>
      </c>
    </row>
    <row r="1126" spans="2:18" x14ac:dyDescent="0.2">
      <c r="B1126" s="136">
        <f t="shared" si="406"/>
        <v>5</v>
      </c>
      <c r="C1126" s="130"/>
      <c r="D1126" s="130"/>
      <c r="E1126" s="131" t="s">
        <v>252</v>
      </c>
      <c r="F1126" s="451">
        <v>640</v>
      </c>
      <c r="G1126" s="212" t="s">
        <v>592</v>
      </c>
      <c r="H1126" s="527">
        <v>5000</v>
      </c>
      <c r="I1126" s="527"/>
      <c r="J1126" s="527">
        <f t="shared" si="404"/>
        <v>5000</v>
      </c>
      <c r="K1126" s="132"/>
      <c r="L1126" s="527"/>
      <c r="M1126" s="527"/>
      <c r="N1126" s="527"/>
      <c r="O1126" s="132"/>
      <c r="P1126" s="449">
        <f t="shared" si="402"/>
        <v>5000</v>
      </c>
      <c r="Q1126" s="449">
        <f t="shared" si="403"/>
        <v>0</v>
      </c>
      <c r="R1126" s="449">
        <f t="shared" si="403"/>
        <v>5000</v>
      </c>
    </row>
    <row r="1127" spans="2:18" x14ac:dyDescent="0.2">
      <c r="B1127" s="136">
        <f t="shared" si="406"/>
        <v>6</v>
      </c>
      <c r="C1127" s="130"/>
      <c r="D1127" s="130"/>
      <c r="E1127" s="131" t="s">
        <v>252</v>
      </c>
      <c r="F1127" s="451">
        <v>640</v>
      </c>
      <c r="G1127" s="212" t="s">
        <v>596</v>
      </c>
      <c r="H1127" s="527">
        <v>8500</v>
      </c>
      <c r="I1127" s="527"/>
      <c r="J1127" s="527">
        <f t="shared" si="404"/>
        <v>8500</v>
      </c>
      <c r="K1127" s="132"/>
      <c r="L1127" s="527"/>
      <c r="M1127" s="527"/>
      <c r="N1127" s="527"/>
      <c r="O1127" s="132"/>
      <c r="P1127" s="449">
        <f t="shared" si="402"/>
        <v>8500</v>
      </c>
      <c r="Q1127" s="449">
        <f t="shared" si="403"/>
        <v>0</v>
      </c>
      <c r="R1127" s="449">
        <f t="shared" si="403"/>
        <v>8500</v>
      </c>
    </row>
    <row r="1128" spans="2:18" x14ac:dyDescent="0.2">
      <c r="B1128" s="136">
        <f t="shared" si="406"/>
        <v>7</v>
      </c>
      <c r="C1128" s="454"/>
      <c r="D1128" s="464"/>
      <c r="E1128" s="451" t="s">
        <v>263</v>
      </c>
      <c r="F1128" s="451">
        <v>640</v>
      </c>
      <c r="G1128" s="456" t="s">
        <v>821</v>
      </c>
      <c r="H1128" s="532">
        <v>1500</v>
      </c>
      <c r="I1128" s="532"/>
      <c r="J1128" s="532">
        <f t="shared" si="404"/>
        <v>1500</v>
      </c>
      <c r="K1128" s="448"/>
      <c r="L1128" s="533"/>
      <c r="M1128" s="533"/>
      <c r="N1128" s="533"/>
      <c r="O1128" s="448"/>
      <c r="P1128" s="487">
        <f t="shared" si="402"/>
        <v>1500</v>
      </c>
      <c r="Q1128" s="487">
        <f t="shared" si="403"/>
        <v>0</v>
      </c>
      <c r="R1128" s="487">
        <f t="shared" si="403"/>
        <v>1500</v>
      </c>
    </row>
    <row r="1129" spans="2:18" x14ac:dyDescent="0.2">
      <c r="B1129" s="136">
        <f t="shared" si="406"/>
        <v>8</v>
      </c>
      <c r="C1129" s="454"/>
      <c r="D1129" s="464"/>
      <c r="E1129" s="451" t="s">
        <v>263</v>
      </c>
      <c r="F1129" s="451">
        <v>640</v>
      </c>
      <c r="G1129" s="475" t="s">
        <v>575</v>
      </c>
      <c r="H1129" s="532">
        <v>3000</v>
      </c>
      <c r="I1129" s="532"/>
      <c r="J1129" s="532">
        <f t="shared" si="404"/>
        <v>3000</v>
      </c>
      <c r="K1129" s="448"/>
      <c r="L1129" s="533"/>
      <c r="M1129" s="533"/>
      <c r="N1129" s="533"/>
      <c r="O1129" s="448"/>
      <c r="P1129" s="487">
        <f t="shared" si="402"/>
        <v>3000</v>
      </c>
      <c r="Q1129" s="487">
        <f t="shared" si="403"/>
        <v>0</v>
      </c>
      <c r="R1129" s="487">
        <f t="shared" si="403"/>
        <v>3000</v>
      </c>
    </row>
    <row r="1130" spans="2:18" x14ac:dyDescent="0.2">
      <c r="B1130" s="136">
        <f t="shared" si="406"/>
        <v>9</v>
      </c>
      <c r="C1130" s="454"/>
      <c r="D1130" s="464"/>
      <c r="E1130" s="451" t="s">
        <v>263</v>
      </c>
      <c r="F1130" s="451">
        <v>640</v>
      </c>
      <c r="G1130" s="475" t="s">
        <v>738</v>
      </c>
      <c r="H1130" s="532">
        <v>2000</v>
      </c>
      <c r="I1130" s="532"/>
      <c r="J1130" s="532">
        <f t="shared" si="404"/>
        <v>2000</v>
      </c>
      <c r="K1130" s="448"/>
      <c r="L1130" s="533"/>
      <c r="M1130" s="533"/>
      <c r="N1130" s="533"/>
      <c r="O1130" s="448"/>
      <c r="P1130" s="487">
        <f t="shared" si="402"/>
        <v>2000</v>
      </c>
      <c r="Q1130" s="487">
        <f t="shared" si="403"/>
        <v>0</v>
      </c>
      <c r="R1130" s="487">
        <f t="shared" si="403"/>
        <v>2000</v>
      </c>
    </row>
    <row r="1131" spans="2:18" x14ac:dyDescent="0.2">
      <c r="B1131" s="136">
        <f t="shared" si="406"/>
        <v>10</v>
      </c>
      <c r="C1131" s="454"/>
      <c r="D1131" s="464"/>
      <c r="E1131" s="451" t="s">
        <v>263</v>
      </c>
      <c r="F1131" s="451">
        <v>640</v>
      </c>
      <c r="G1131" s="475" t="s">
        <v>739</v>
      </c>
      <c r="H1131" s="532">
        <v>2000</v>
      </c>
      <c r="I1131" s="532"/>
      <c r="J1131" s="532">
        <f t="shared" si="404"/>
        <v>2000</v>
      </c>
      <c r="K1131" s="448"/>
      <c r="L1131" s="533"/>
      <c r="M1131" s="533"/>
      <c r="N1131" s="533"/>
      <c r="O1131" s="448"/>
      <c r="P1131" s="487">
        <f t="shared" si="402"/>
        <v>2000</v>
      </c>
      <c r="Q1131" s="487">
        <f t="shared" si="403"/>
        <v>0</v>
      </c>
      <c r="R1131" s="487">
        <f t="shared" si="403"/>
        <v>2000</v>
      </c>
    </row>
    <row r="1132" spans="2:18" ht="22.5" x14ac:dyDescent="0.2">
      <c r="B1132" s="754">
        <f t="shared" si="406"/>
        <v>11</v>
      </c>
      <c r="C1132" s="454"/>
      <c r="D1132" s="464"/>
      <c r="E1132" s="451" t="s">
        <v>263</v>
      </c>
      <c r="F1132" s="451">
        <v>640</v>
      </c>
      <c r="G1132" s="475" t="s">
        <v>819</v>
      </c>
      <c r="H1132" s="532">
        <v>8000</v>
      </c>
      <c r="I1132" s="532"/>
      <c r="J1132" s="532">
        <f t="shared" si="404"/>
        <v>8000</v>
      </c>
      <c r="K1132" s="448"/>
      <c r="L1132" s="533"/>
      <c r="M1132" s="533"/>
      <c r="N1132" s="533"/>
      <c r="O1132" s="448"/>
      <c r="P1132" s="487">
        <f t="shared" si="402"/>
        <v>8000</v>
      </c>
      <c r="Q1132" s="487">
        <f t="shared" si="403"/>
        <v>0</v>
      </c>
      <c r="R1132" s="487">
        <f t="shared" si="403"/>
        <v>8000</v>
      </c>
    </row>
    <row r="1133" spans="2:18" ht="22.5" x14ac:dyDescent="0.2">
      <c r="B1133" s="754">
        <f t="shared" si="406"/>
        <v>12</v>
      </c>
      <c r="C1133" s="454"/>
      <c r="D1133" s="464"/>
      <c r="E1133" s="458" t="s">
        <v>263</v>
      </c>
      <c r="F1133" s="458">
        <v>640</v>
      </c>
      <c r="G1133" s="475" t="s">
        <v>820</v>
      </c>
      <c r="H1133" s="532">
        <v>1500</v>
      </c>
      <c r="I1133" s="532"/>
      <c r="J1133" s="532">
        <f t="shared" si="404"/>
        <v>1500</v>
      </c>
      <c r="K1133" s="448"/>
      <c r="L1133" s="533"/>
      <c r="M1133" s="533"/>
      <c r="N1133" s="533"/>
      <c r="O1133" s="448"/>
      <c r="P1133" s="487">
        <f t="shared" si="402"/>
        <v>1500</v>
      </c>
      <c r="Q1133" s="487">
        <f t="shared" si="403"/>
        <v>0</v>
      </c>
      <c r="R1133" s="487">
        <f t="shared" si="403"/>
        <v>1500</v>
      </c>
    </row>
    <row r="1134" spans="2:18" ht="15.75" x14ac:dyDescent="0.25">
      <c r="B1134" s="136">
        <f t="shared" si="406"/>
        <v>13</v>
      </c>
      <c r="C1134" s="23">
        <v>3</v>
      </c>
      <c r="D1134" s="127" t="s">
        <v>143</v>
      </c>
      <c r="E1134" s="24"/>
      <c r="F1134" s="24"/>
      <c r="G1134" s="193"/>
      <c r="H1134" s="411">
        <f>H1135+H1138+H1147+H1163+H1179</f>
        <v>1136800</v>
      </c>
      <c r="I1134" s="411">
        <f t="shared" ref="I1134" si="408">I1135+I1138+I1147+I1163+I1179</f>
        <v>0</v>
      </c>
      <c r="J1134" s="411">
        <f t="shared" si="404"/>
        <v>1136800</v>
      </c>
      <c r="K1134" s="88"/>
      <c r="L1134" s="381">
        <f>L1135+L1138+L1147+L1163</f>
        <v>62600</v>
      </c>
      <c r="M1134" s="381">
        <f t="shared" ref="M1134" si="409">M1135+M1138+M1147+M1163</f>
        <v>0</v>
      </c>
      <c r="N1134" s="381">
        <f t="shared" si="405"/>
        <v>62600</v>
      </c>
      <c r="O1134" s="88"/>
      <c r="P1134" s="373">
        <f t="shared" si="402"/>
        <v>1199400</v>
      </c>
      <c r="Q1134" s="373">
        <f t="shared" si="403"/>
        <v>0</v>
      </c>
      <c r="R1134" s="373">
        <f t="shared" si="403"/>
        <v>1199400</v>
      </c>
    </row>
    <row r="1135" spans="2:18" x14ac:dyDescent="0.2">
      <c r="B1135" s="136">
        <f t="shared" si="406"/>
        <v>14</v>
      </c>
      <c r="C1135" s="76"/>
      <c r="D1135" s="198" t="s">
        <v>4</v>
      </c>
      <c r="E1135" s="216" t="s">
        <v>112</v>
      </c>
      <c r="F1135" s="216"/>
      <c r="G1135" s="217"/>
      <c r="H1135" s="377">
        <f>SUM(H1136:H1137)</f>
        <v>161300</v>
      </c>
      <c r="I1135" s="377">
        <f t="shared" ref="I1135" si="410">SUM(I1136:I1137)</f>
        <v>0</v>
      </c>
      <c r="J1135" s="377">
        <f t="shared" si="404"/>
        <v>161300</v>
      </c>
      <c r="K1135" s="20"/>
      <c r="L1135" s="401">
        <v>0</v>
      </c>
      <c r="M1135" s="401"/>
      <c r="N1135" s="401">
        <f t="shared" si="405"/>
        <v>0</v>
      </c>
      <c r="O1135" s="20"/>
      <c r="P1135" s="208">
        <f t="shared" si="402"/>
        <v>161300</v>
      </c>
      <c r="Q1135" s="208">
        <f t="shared" si="403"/>
        <v>0</v>
      </c>
      <c r="R1135" s="208">
        <f t="shared" si="403"/>
        <v>161300</v>
      </c>
    </row>
    <row r="1136" spans="2:18" x14ac:dyDescent="0.2">
      <c r="B1136" s="136">
        <f t="shared" si="406"/>
        <v>15</v>
      </c>
      <c r="C1136" s="130"/>
      <c r="D1136" s="130"/>
      <c r="E1136" s="134" t="s">
        <v>263</v>
      </c>
      <c r="F1136" s="364">
        <v>636</v>
      </c>
      <c r="G1136" s="460" t="s">
        <v>705</v>
      </c>
      <c r="H1136" s="398">
        <v>160000</v>
      </c>
      <c r="I1136" s="398"/>
      <c r="J1136" s="398">
        <f t="shared" si="404"/>
        <v>160000</v>
      </c>
      <c r="K1136" s="132"/>
      <c r="L1136" s="527"/>
      <c r="M1136" s="527"/>
      <c r="N1136" s="527"/>
      <c r="O1136" s="132"/>
      <c r="P1136" s="529">
        <f t="shared" si="402"/>
        <v>160000</v>
      </c>
      <c r="Q1136" s="529">
        <f t="shared" si="403"/>
        <v>0</v>
      </c>
      <c r="R1136" s="529">
        <f t="shared" si="403"/>
        <v>160000</v>
      </c>
    </row>
    <row r="1137" spans="2:18" x14ac:dyDescent="0.2">
      <c r="B1137" s="136">
        <f t="shared" si="406"/>
        <v>16</v>
      </c>
      <c r="C1137" s="130"/>
      <c r="D1137" s="130"/>
      <c r="E1137" s="134" t="s">
        <v>263</v>
      </c>
      <c r="F1137" s="364">
        <v>637</v>
      </c>
      <c r="G1137" s="460" t="s">
        <v>303</v>
      </c>
      <c r="H1137" s="398">
        <v>1300</v>
      </c>
      <c r="I1137" s="398"/>
      <c r="J1137" s="398">
        <f t="shared" si="404"/>
        <v>1300</v>
      </c>
      <c r="K1137" s="132"/>
      <c r="L1137" s="527"/>
      <c r="M1137" s="527"/>
      <c r="N1137" s="527"/>
      <c r="O1137" s="132"/>
      <c r="P1137" s="529">
        <f t="shared" si="402"/>
        <v>1300</v>
      </c>
      <c r="Q1137" s="529">
        <f t="shared" si="403"/>
        <v>0</v>
      </c>
      <c r="R1137" s="529">
        <f t="shared" si="403"/>
        <v>1300</v>
      </c>
    </row>
    <row r="1138" spans="2:18" x14ac:dyDescent="0.2">
      <c r="B1138" s="136">
        <f t="shared" si="406"/>
        <v>17</v>
      </c>
      <c r="C1138" s="76"/>
      <c r="D1138" s="198" t="s">
        <v>5</v>
      </c>
      <c r="E1138" s="216" t="s">
        <v>113</v>
      </c>
      <c r="F1138" s="216"/>
      <c r="G1138" s="217"/>
      <c r="H1138" s="377">
        <f>SUM(H1139:H1146)</f>
        <v>204200</v>
      </c>
      <c r="I1138" s="377">
        <f t="shared" ref="I1138" si="411">SUM(I1139:I1146)</f>
        <v>0</v>
      </c>
      <c r="J1138" s="377">
        <f t="shared" si="404"/>
        <v>204200</v>
      </c>
      <c r="K1138" s="20"/>
      <c r="L1138" s="401">
        <f>L1146</f>
        <v>17000</v>
      </c>
      <c r="M1138" s="401">
        <f t="shared" ref="M1138" si="412">M1146</f>
        <v>0</v>
      </c>
      <c r="N1138" s="401">
        <f t="shared" si="405"/>
        <v>17000</v>
      </c>
      <c r="O1138" s="20"/>
      <c r="P1138" s="208">
        <f t="shared" si="402"/>
        <v>221200</v>
      </c>
      <c r="Q1138" s="208">
        <f t="shared" ref="Q1138:R1153" si="413">I1138+M1138</f>
        <v>0</v>
      </c>
      <c r="R1138" s="208">
        <f t="shared" si="413"/>
        <v>221200</v>
      </c>
    </row>
    <row r="1139" spans="2:18" ht="22.5" x14ac:dyDescent="0.2">
      <c r="B1139" s="136">
        <f t="shared" si="406"/>
        <v>18</v>
      </c>
      <c r="C1139" s="454"/>
      <c r="D1139" s="454"/>
      <c r="E1139" s="451" t="s">
        <v>263</v>
      </c>
      <c r="F1139" s="542">
        <v>640</v>
      </c>
      <c r="G1139" s="456" t="s">
        <v>579</v>
      </c>
      <c r="H1139" s="535">
        <v>160000</v>
      </c>
      <c r="I1139" s="535"/>
      <c r="J1139" s="535">
        <f t="shared" si="404"/>
        <v>160000</v>
      </c>
      <c r="K1139" s="448"/>
      <c r="L1139" s="532"/>
      <c r="M1139" s="532"/>
      <c r="N1139" s="532"/>
      <c r="O1139" s="448"/>
      <c r="P1139" s="455">
        <f t="shared" si="402"/>
        <v>160000</v>
      </c>
      <c r="Q1139" s="455">
        <f t="shared" si="413"/>
        <v>0</v>
      </c>
      <c r="R1139" s="455">
        <f t="shared" si="413"/>
        <v>160000</v>
      </c>
    </row>
    <row r="1140" spans="2:18" x14ac:dyDescent="0.2">
      <c r="B1140" s="136">
        <f t="shared" si="406"/>
        <v>19</v>
      </c>
      <c r="C1140" s="454"/>
      <c r="D1140" s="454"/>
      <c r="E1140" s="451" t="s">
        <v>263</v>
      </c>
      <c r="F1140" s="542">
        <v>636</v>
      </c>
      <c r="G1140" s="456" t="s">
        <v>706</v>
      </c>
      <c r="H1140" s="535">
        <v>40000</v>
      </c>
      <c r="I1140" s="535"/>
      <c r="J1140" s="535">
        <f t="shared" si="404"/>
        <v>40000</v>
      </c>
      <c r="K1140" s="448"/>
      <c r="L1140" s="532"/>
      <c r="M1140" s="532"/>
      <c r="N1140" s="532"/>
      <c r="O1140" s="448"/>
      <c r="P1140" s="455">
        <f t="shared" si="402"/>
        <v>40000</v>
      </c>
      <c r="Q1140" s="455">
        <f t="shared" si="413"/>
        <v>0</v>
      </c>
      <c r="R1140" s="455">
        <f t="shared" si="413"/>
        <v>40000</v>
      </c>
    </row>
    <row r="1141" spans="2:18" ht="22.5" x14ac:dyDescent="0.2">
      <c r="B1141" s="136">
        <f t="shared" si="406"/>
        <v>20</v>
      </c>
      <c r="C1141" s="454"/>
      <c r="D1141" s="454"/>
      <c r="E1141" s="451" t="s">
        <v>263</v>
      </c>
      <c r="F1141" s="542">
        <v>640</v>
      </c>
      <c r="G1141" s="456" t="s">
        <v>576</v>
      </c>
      <c r="H1141" s="535">
        <f>1500-1125</f>
        <v>375</v>
      </c>
      <c r="I1141" s="535"/>
      <c r="J1141" s="535">
        <f t="shared" si="404"/>
        <v>375</v>
      </c>
      <c r="K1141" s="448"/>
      <c r="L1141" s="532"/>
      <c r="M1141" s="532"/>
      <c r="N1141" s="532"/>
      <c r="O1141" s="448"/>
      <c r="P1141" s="455">
        <f t="shared" si="402"/>
        <v>375</v>
      </c>
      <c r="Q1141" s="455">
        <f t="shared" si="413"/>
        <v>0</v>
      </c>
      <c r="R1141" s="455">
        <f t="shared" si="413"/>
        <v>375</v>
      </c>
    </row>
    <row r="1142" spans="2:18" x14ac:dyDescent="0.2">
      <c r="B1142" s="136">
        <f t="shared" si="406"/>
        <v>21</v>
      </c>
      <c r="C1142" s="454"/>
      <c r="D1142" s="454"/>
      <c r="E1142" s="451" t="s">
        <v>263</v>
      </c>
      <c r="F1142" s="542">
        <v>632</v>
      </c>
      <c r="G1142" s="456" t="s">
        <v>749</v>
      </c>
      <c r="H1142" s="535">
        <v>1125</v>
      </c>
      <c r="I1142" s="535"/>
      <c r="J1142" s="535">
        <f t="shared" si="404"/>
        <v>1125</v>
      </c>
      <c r="K1142" s="448"/>
      <c r="L1142" s="532"/>
      <c r="M1142" s="532"/>
      <c r="N1142" s="532"/>
      <c r="O1142" s="448"/>
      <c r="P1142" s="455">
        <f t="shared" si="402"/>
        <v>1125</v>
      </c>
      <c r="Q1142" s="455">
        <f t="shared" si="413"/>
        <v>0</v>
      </c>
      <c r="R1142" s="455">
        <f t="shared" si="413"/>
        <v>1125</v>
      </c>
    </row>
    <row r="1143" spans="2:18" x14ac:dyDescent="0.2">
      <c r="B1143" s="136">
        <f t="shared" si="406"/>
        <v>22</v>
      </c>
      <c r="C1143" s="130"/>
      <c r="D1143" s="130"/>
      <c r="E1143" s="134" t="s">
        <v>263</v>
      </c>
      <c r="F1143" s="541">
        <v>637</v>
      </c>
      <c r="G1143" s="460" t="s">
        <v>546</v>
      </c>
      <c r="H1143" s="398">
        <v>1200</v>
      </c>
      <c r="I1143" s="398"/>
      <c r="J1143" s="398">
        <f t="shared" si="404"/>
        <v>1200</v>
      </c>
      <c r="K1143" s="132"/>
      <c r="L1143" s="527"/>
      <c r="M1143" s="527"/>
      <c r="N1143" s="527"/>
      <c r="O1143" s="132"/>
      <c r="P1143" s="455">
        <f t="shared" si="402"/>
        <v>1200</v>
      </c>
      <c r="Q1143" s="455">
        <f t="shared" si="413"/>
        <v>0</v>
      </c>
      <c r="R1143" s="455">
        <f t="shared" si="413"/>
        <v>1200</v>
      </c>
    </row>
    <row r="1144" spans="2:18" ht="22.5" x14ac:dyDescent="0.2">
      <c r="B1144" s="136">
        <f t="shared" si="406"/>
        <v>23</v>
      </c>
      <c r="C1144" s="454"/>
      <c r="D1144" s="454"/>
      <c r="E1144" s="451" t="s">
        <v>263</v>
      </c>
      <c r="F1144" s="542">
        <v>640</v>
      </c>
      <c r="G1144" s="456" t="s">
        <v>578</v>
      </c>
      <c r="H1144" s="535">
        <f>1500-1000</f>
        <v>500</v>
      </c>
      <c r="I1144" s="535"/>
      <c r="J1144" s="535">
        <f t="shared" si="404"/>
        <v>500</v>
      </c>
      <c r="K1144" s="448"/>
      <c r="L1144" s="533"/>
      <c r="M1144" s="533"/>
      <c r="N1144" s="533"/>
      <c r="O1144" s="448"/>
      <c r="P1144" s="455">
        <f t="shared" si="402"/>
        <v>500</v>
      </c>
      <c r="Q1144" s="455">
        <f t="shared" si="413"/>
        <v>0</v>
      </c>
      <c r="R1144" s="455">
        <f t="shared" si="413"/>
        <v>500</v>
      </c>
    </row>
    <row r="1145" spans="2:18" x14ac:dyDescent="0.2">
      <c r="B1145" s="136">
        <f t="shared" si="406"/>
        <v>24</v>
      </c>
      <c r="C1145" s="454"/>
      <c r="D1145" s="454"/>
      <c r="E1145" s="451" t="s">
        <v>263</v>
      </c>
      <c r="F1145" s="542">
        <v>632</v>
      </c>
      <c r="G1145" s="456" t="s">
        <v>814</v>
      </c>
      <c r="H1145" s="535">
        <v>1000</v>
      </c>
      <c r="I1145" s="535"/>
      <c r="J1145" s="535">
        <f t="shared" si="404"/>
        <v>1000</v>
      </c>
      <c r="K1145" s="448"/>
      <c r="L1145" s="533"/>
      <c r="M1145" s="533"/>
      <c r="N1145" s="533"/>
      <c r="O1145" s="448"/>
      <c r="P1145" s="455">
        <f t="shared" si="402"/>
        <v>1000</v>
      </c>
      <c r="Q1145" s="455">
        <f t="shared" si="413"/>
        <v>0</v>
      </c>
      <c r="R1145" s="455">
        <f t="shared" si="413"/>
        <v>1000</v>
      </c>
    </row>
    <row r="1146" spans="2:18" x14ac:dyDescent="0.2">
      <c r="B1146" s="136">
        <f t="shared" si="406"/>
        <v>25</v>
      </c>
      <c r="C1146" s="454"/>
      <c r="D1146" s="454"/>
      <c r="E1146" s="661" t="s">
        <v>263</v>
      </c>
      <c r="F1146" s="743">
        <v>717</v>
      </c>
      <c r="G1146" s="744" t="s">
        <v>793</v>
      </c>
      <c r="H1146" s="745"/>
      <c r="I1146" s="745"/>
      <c r="J1146" s="745">
        <f t="shared" si="404"/>
        <v>0</v>
      </c>
      <c r="K1146" s="746"/>
      <c r="L1146" s="747">
        <v>17000</v>
      </c>
      <c r="M1146" s="747"/>
      <c r="N1146" s="747">
        <f t="shared" si="405"/>
        <v>17000</v>
      </c>
      <c r="O1146" s="746"/>
      <c r="P1146" s="748">
        <f t="shared" si="402"/>
        <v>17000</v>
      </c>
      <c r="Q1146" s="748">
        <f t="shared" si="413"/>
        <v>0</v>
      </c>
      <c r="R1146" s="748">
        <f t="shared" si="413"/>
        <v>17000</v>
      </c>
    </row>
    <row r="1147" spans="2:18" x14ac:dyDescent="0.2">
      <c r="B1147" s="136">
        <f t="shared" si="406"/>
        <v>26</v>
      </c>
      <c r="C1147" s="76"/>
      <c r="D1147" s="198" t="s">
        <v>6</v>
      </c>
      <c r="E1147" s="216" t="s">
        <v>74</v>
      </c>
      <c r="F1147" s="216"/>
      <c r="G1147" s="217"/>
      <c r="H1147" s="377">
        <f>H1148+H1159</f>
        <v>392700</v>
      </c>
      <c r="I1147" s="377">
        <f t="shared" ref="I1147" si="414">I1148+I1159</f>
        <v>0</v>
      </c>
      <c r="J1147" s="377">
        <f t="shared" si="404"/>
        <v>392700</v>
      </c>
      <c r="K1147" s="20"/>
      <c r="L1147" s="401">
        <f>L1148+L1161</f>
        <v>30000</v>
      </c>
      <c r="M1147" s="401">
        <f t="shared" ref="M1147" si="415">M1148+M1161</f>
        <v>0</v>
      </c>
      <c r="N1147" s="401">
        <f t="shared" si="405"/>
        <v>30000</v>
      </c>
      <c r="O1147" s="20"/>
      <c r="P1147" s="208">
        <f t="shared" si="402"/>
        <v>422700</v>
      </c>
      <c r="Q1147" s="208">
        <f t="shared" si="413"/>
        <v>0</v>
      </c>
      <c r="R1147" s="208">
        <f t="shared" si="413"/>
        <v>422700</v>
      </c>
    </row>
    <row r="1148" spans="2:18" x14ac:dyDescent="0.2">
      <c r="B1148" s="136">
        <f t="shared" si="406"/>
        <v>27</v>
      </c>
      <c r="C1148" s="130"/>
      <c r="D1148" s="182"/>
      <c r="E1148" s="134" t="s">
        <v>263</v>
      </c>
      <c r="F1148" s="228" t="s">
        <v>538</v>
      </c>
      <c r="G1148" s="229"/>
      <c r="H1148" s="394">
        <f>H1149+H1150+H1151+H1157</f>
        <v>390000</v>
      </c>
      <c r="I1148" s="394">
        <f t="shared" ref="I1148" si="416">I1149+I1150+I1151+I1157</f>
        <v>0</v>
      </c>
      <c r="J1148" s="394">
        <f t="shared" si="404"/>
        <v>390000</v>
      </c>
      <c r="K1148" s="132"/>
      <c r="L1148" s="402"/>
      <c r="M1148" s="402"/>
      <c r="N1148" s="402"/>
      <c r="O1148" s="132"/>
      <c r="P1148" s="269">
        <f t="shared" si="402"/>
        <v>390000</v>
      </c>
      <c r="Q1148" s="269">
        <f t="shared" si="413"/>
        <v>0</v>
      </c>
      <c r="R1148" s="269">
        <f t="shared" si="413"/>
        <v>390000</v>
      </c>
    </row>
    <row r="1149" spans="2:18" x14ac:dyDescent="0.2">
      <c r="B1149" s="136">
        <f t="shared" si="406"/>
        <v>28</v>
      </c>
      <c r="C1149" s="130"/>
      <c r="D1149" s="130"/>
      <c r="E1149" s="134"/>
      <c r="F1149" s="149">
        <v>610</v>
      </c>
      <c r="G1149" s="199" t="s">
        <v>257</v>
      </c>
      <c r="H1149" s="388">
        <v>94460</v>
      </c>
      <c r="I1149" s="388"/>
      <c r="J1149" s="388">
        <f t="shared" si="404"/>
        <v>94460</v>
      </c>
      <c r="K1149" s="132"/>
      <c r="L1149" s="527"/>
      <c r="M1149" s="527"/>
      <c r="N1149" s="527"/>
      <c r="O1149" s="132"/>
      <c r="P1149" s="270">
        <f t="shared" si="402"/>
        <v>94460</v>
      </c>
      <c r="Q1149" s="270">
        <f t="shared" si="413"/>
        <v>0</v>
      </c>
      <c r="R1149" s="270">
        <f t="shared" si="413"/>
        <v>94460</v>
      </c>
    </row>
    <row r="1150" spans="2:18" x14ac:dyDescent="0.2">
      <c r="B1150" s="136">
        <f t="shared" si="406"/>
        <v>29</v>
      </c>
      <c r="C1150" s="130"/>
      <c r="D1150" s="130"/>
      <c r="E1150" s="134"/>
      <c r="F1150" s="149">
        <v>620</v>
      </c>
      <c r="G1150" s="199" t="s">
        <v>259</v>
      </c>
      <c r="H1150" s="388">
        <v>33370</v>
      </c>
      <c r="I1150" s="388"/>
      <c r="J1150" s="388">
        <f t="shared" si="404"/>
        <v>33370</v>
      </c>
      <c r="K1150" s="132"/>
      <c r="L1150" s="527"/>
      <c r="M1150" s="527"/>
      <c r="N1150" s="527"/>
      <c r="O1150" s="132"/>
      <c r="P1150" s="270">
        <f t="shared" si="402"/>
        <v>33370</v>
      </c>
      <c r="Q1150" s="270">
        <f t="shared" si="413"/>
        <v>0</v>
      </c>
      <c r="R1150" s="270">
        <f t="shared" si="413"/>
        <v>33370</v>
      </c>
    </row>
    <row r="1151" spans="2:18" x14ac:dyDescent="0.2">
      <c r="B1151" s="136">
        <f t="shared" si="406"/>
        <v>30</v>
      </c>
      <c r="C1151" s="130"/>
      <c r="D1151" s="130"/>
      <c r="E1151" s="134"/>
      <c r="F1151" s="149">
        <v>630</v>
      </c>
      <c r="G1151" s="199" t="s">
        <v>447</v>
      </c>
      <c r="H1151" s="388">
        <f>SUM(H1152:H1156)</f>
        <v>262070</v>
      </c>
      <c r="I1151" s="388"/>
      <c r="J1151" s="388">
        <f t="shared" si="404"/>
        <v>262070</v>
      </c>
      <c r="K1151" s="132"/>
      <c r="L1151" s="527"/>
      <c r="M1151" s="527"/>
      <c r="N1151" s="527"/>
      <c r="O1151" s="132"/>
      <c r="P1151" s="270">
        <f t="shared" si="402"/>
        <v>262070</v>
      </c>
      <c r="Q1151" s="270">
        <f t="shared" si="413"/>
        <v>0</v>
      </c>
      <c r="R1151" s="270">
        <f t="shared" si="413"/>
        <v>262070</v>
      </c>
    </row>
    <row r="1152" spans="2:18" x14ac:dyDescent="0.2">
      <c r="B1152" s="136">
        <f t="shared" si="406"/>
        <v>31</v>
      </c>
      <c r="C1152" s="130"/>
      <c r="D1152" s="130"/>
      <c r="E1152" s="134"/>
      <c r="F1152" s="157">
        <v>632</v>
      </c>
      <c r="G1152" s="194" t="s">
        <v>499</v>
      </c>
      <c r="H1152" s="527">
        <v>206470</v>
      </c>
      <c r="I1152" s="527"/>
      <c r="J1152" s="527">
        <f t="shared" si="404"/>
        <v>206470</v>
      </c>
      <c r="K1152" s="132"/>
      <c r="L1152" s="527"/>
      <c r="M1152" s="527"/>
      <c r="N1152" s="527"/>
      <c r="O1152" s="132"/>
      <c r="P1152" s="529">
        <f t="shared" si="402"/>
        <v>206470</v>
      </c>
      <c r="Q1152" s="529">
        <f t="shared" si="413"/>
        <v>0</v>
      </c>
      <c r="R1152" s="529">
        <f t="shared" si="413"/>
        <v>206470</v>
      </c>
    </row>
    <row r="1153" spans="2:18" x14ac:dyDescent="0.2">
      <c r="B1153" s="136">
        <f t="shared" si="406"/>
        <v>32</v>
      </c>
      <c r="C1153" s="130"/>
      <c r="D1153" s="130"/>
      <c r="E1153" s="134"/>
      <c r="F1153" s="157">
        <v>633</v>
      </c>
      <c r="G1153" s="194" t="s">
        <v>247</v>
      </c>
      <c r="H1153" s="527">
        <v>12200</v>
      </c>
      <c r="I1153" s="527"/>
      <c r="J1153" s="527">
        <f t="shared" si="404"/>
        <v>12200</v>
      </c>
      <c r="K1153" s="132"/>
      <c r="L1153" s="527"/>
      <c r="M1153" s="527"/>
      <c r="N1153" s="527"/>
      <c r="O1153" s="132"/>
      <c r="P1153" s="529">
        <f t="shared" si="402"/>
        <v>12200</v>
      </c>
      <c r="Q1153" s="529">
        <f t="shared" si="413"/>
        <v>0</v>
      </c>
      <c r="R1153" s="529">
        <f t="shared" si="413"/>
        <v>12200</v>
      </c>
    </row>
    <row r="1154" spans="2:18" x14ac:dyDescent="0.2">
      <c r="B1154" s="136">
        <f t="shared" si="406"/>
        <v>33</v>
      </c>
      <c r="C1154" s="130"/>
      <c r="D1154" s="130"/>
      <c r="E1154" s="134"/>
      <c r="F1154" s="157">
        <v>635</v>
      </c>
      <c r="G1154" s="194" t="s">
        <v>261</v>
      </c>
      <c r="H1154" s="527">
        <v>10000</v>
      </c>
      <c r="I1154" s="527"/>
      <c r="J1154" s="527">
        <f t="shared" si="404"/>
        <v>10000</v>
      </c>
      <c r="K1154" s="132"/>
      <c r="L1154" s="527"/>
      <c r="M1154" s="527"/>
      <c r="N1154" s="527"/>
      <c r="O1154" s="132"/>
      <c r="P1154" s="529">
        <f t="shared" si="402"/>
        <v>10000</v>
      </c>
      <c r="Q1154" s="529">
        <f t="shared" ref="Q1154:R1157" si="417">I1154+M1154</f>
        <v>0</v>
      </c>
      <c r="R1154" s="529">
        <f t="shared" si="417"/>
        <v>10000</v>
      </c>
    </row>
    <row r="1155" spans="2:18" x14ac:dyDescent="0.2">
      <c r="B1155" s="136">
        <f t="shared" si="406"/>
        <v>34</v>
      </c>
      <c r="C1155" s="130"/>
      <c r="D1155" s="130"/>
      <c r="E1155" s="134"/>
      <c r="F1155" s="157">
        <v>636</v>
      </c>
      <c r="G1155" s="194" t="s">
        <v>346</v>
      </c>
      <c r="H1155" s="527">
        <v>200</v>
      </c>
      <c r="I1155" s="527"/>
      <c r="J1155" s="527">
        <f t="shared" si="404"/>
        <v>200</v>
      </c>
      <c r="K1155" s="132"/>
      <c r="L1155" s="527"/>
      <c r="M1155" s="527"/>
      <c r="N1155" s="527"/>
      <c r="O1155" s="132"/>
      <c r="P1155" s="529">
        <f t="shared" si="402"/>
        <v>200</v>
      </c>
      <c r="Q1155" s="529">
        <f t="shared" si="417"/>
        <v>0</v>
      </c>
      <c r="R1155" s="529">
        <f t="shared" si="417"/>
        <v>200</v>
      </c>
    </row>
    <row r="1156" spans="2:18" x14ac:dyDescent="0.2">
      <c r="B1156" s="136">
        <f t="shared" si="406"/>
        <v>35</v>
      </c>
      <c r="C1156" s="130"/>
      <c r="D1156" s="130"/>
      <c r="E1156" s="134"/>
      <c r="F1156" s="157">
        <v>637</v>
      </c>
      <c r="G1156" s="194" t="s">
        <v>248</v>
      </c>
      <c r="H1156" s="527">
        <v>33200</v>
      </c>
      <c r="I1156" s="527"/>
      <c r="J1156" s="527">
        <f t="shared" si="404"/>
        <v>33200</v>
      </c>
      <c r="K1156" s="132"/>
      <c r="L1156" s="527"/>
      <c r="M1156" s="527"/>
      <c r="N1156" s="527"/>
      <c r="O1156" s="132"/>
      <c r="P1156" s="529">
        <f t="shared" si="402"/>
        <v>33200</v>
      </c>
      <c r="Q1156" s="529">
        <f t="shared" si="417"/>
        <v>0</v>
      </c>
      <c r="R1156" s="529">
        <f t="shared" si="417"/>
        <v>33200</v>
      </c>
    </row>
    <row r="1157" spans="2:18" x14ac:dyDescent="0.2">
      <c r="B1157" s="136">
        <f t="shared" si="406"/>
        <v>36</v>
      </c>
      <c r="C1157" s="130"/>
      <c r="D1157" s="130"/>
      <c r="E1157" s="161"/>
      <c r="F1157" s="149">
        <v>640</v>
      </c>
      <c r="G1157" s="199" t="s">
        <v>424</v>
      </c>
      <c r="H1157" s="388">
        <v>100</v>
      </c>
      <c r="I1157" s="388"/>
      <c r="J1157" s="388">
        <f t="shared" si="404"/>
        <v>100</v>
      </c>
      <c r="K1157" s="132"/>
      <c r="L1157" s="528"/>
      <c r="M1157" s="528"/>
      <c r="N1157" s="528"/>
      <c r="O1157" s="132"/>
      <c r="P1157" s="581">
        <f t="shared" si="402"/>
        <v>100</v>
      </c>
      <c r="Q1157" s="581">
        <f t="shared" si="417"/>
        <v>0</v>
      </c>
      <c r="R1157" s="581">
        <f t="shared" si="417"/>
        <v>100</v>
      </c>
    </row>
    <row r="1158" spans="2:18" x14ac:dyDescent="0.2">
      <c r="B1158" s="136">
        <f t="shared" si="406"/>
        <v>37</v>
      </c>
      <c r="C1158" s="130"/>
      <c r="D1158" s="130"/>
      <c r="E1158" s="161"/>
      <c r="F1158" s="149"/>
      <c r="G1158" s="199"/>
      <c r="H1158" s="388"/>
      <c r="I1158" s="388"/>
      <c r="J1158" s="388"/>
      <c r="K1158" s="132"/>
      <c r="L1158" s="528"/>
      <c r="M1158" s="528"/>
      <c r="N1158" s="528"/>
      <c r="O1158" s="132"/>
      <c r="P1158" s="137"/>
      <c r="Q1158" s="137"/>
      <c r="R1158" s="137"/>
    </row>
    <row r="1159" spans="2:18" x14ac:dyDescent="0.2">
      <c r="B1159" s="136">
        <f t="shared" si="406"/>
        <v>38</v>
      </c>
      <c r="C1159" s="130"/>
      <c r="D1159" s="130"/>
      <c r="E1159" s="134" t="s">
        <v>263</v>
      </c>
      <c r="F1159" s="158">
        <v>637</v>
      </c>
      <c r="G1159" s="212" t="s">
        <v>303</v>
      </c>
      <c r="H1159" s="527">
        <v>2700</v>
      </c>
      <c r="I1159" s="527"/>
      <c r="J1159" s="527">
        <f t="shared" si="404"/>
        <v>2700</v>
      </c>
      <c r="K1159" s="132"/>
      <c r="L1159" s="528"/>
      <c r="M1159" s="528"/>
      <c r="N1159" s="528"/>
      <c r="O1159" s="132"/>
      <c r="P1159" s="137">
        <f>H1159+L1159</f>
        <v>2700</v>
      </c>
      <c r="Q1159" s="137">
        <f t="shared" ref="Q1159:R1159" si="418">I1159+M1159</f>
        <v>0</v>
      </c>
      <c r="R1159" s="137">
        <f t="shared" si="418"/>
        <v>2700</v>
      </c>
    </row>
    <row r="1160" spans="2:18" x14ac:dyDescent="0.2">
      <c r="B1160" s="136">
        <f t="shared" si="406"/>
        <v>39</v>
      </c>
      <c r="C1160" s="130"/>
      <c r="D1160" s="130"/>
      <c r="E1160" s="161"/>
      <c r="F1160" s="157"/>
      <c r="G1160" s="194"/>
      <c r="H1160" s="527"/>
      <c r="I1160" s="527"/>
      <c r="J1160" s="527"/>
      <c r="K1160" s="132"/>
      <c r="L1160" s="528"/>
      <c r="M1160" s="528"/>
      <c r="N1160" s="528"/>
      <c r="O1160" s="132"/>
      <c r="P1160" s="137"/>
      <c r="Q1160" s="137"/>
      <c r="R1160" s="137"/>
    </row>
    <row r="1161" spans="2:18" x14ac:dyDescent="0.2">
      <c r="B1161" s="136">
        <f t="shared" si="406"/>
        <v>40</v>
      </c>
      <c r="C1161" s="130"/>
      <c r="D1161" s="130"/>
      <c r="E1161" s="161" t="s">
        <v>263</v>
      </c>
      <c r="F1161" s="158">
        <v>717</v>
      </c>
      <c r="G1161" s="194" t="s">
        <v>826</v>
      </c>
      <c r="H1161" s="527"/>
      <c r="I1161" s="527"/>
      <c r="J1161" s="527"/>
      <c r="K1161" s="132"/>
      <c r="L1161" s="528">
        <v>30000</v>
      </c>
      <c r="M1161" s="528"/>
      <c r="N1161" s="528">
        <f t="shared" si="405"/>
        <v>30000</v>
      </c>
      <c r="O1161" s="132"/>
      <c r="P1161" s="137">
        <f>H1161+L1161</f>
        <v>30000</v>
      </c>
      <c r="Q1161" s="137">
        <f t="shared" ref="Q1161:R1161" si="419">I1161+M1161</f>
        <v>0</v>
      </c>
      <c r="R1161" s="137">
        <f t="shared" si="419"/>
        <v>30000</v>
      </c>
    </row>
    <row r="1162" spans="2:18" x14ac:dyDescent="0.2">
      <c r="B1162" s="136">
        <f t="shared" si="406"/>
        <v>41</v>
      </c>
      <c r="C1162" s="130"/>
      <c r="D1162" s="130"/>
      <c r="E1162" s="161"/>
      <c r="F1162" s="663"/>
      <c r="G1162" s="194"/>
      <c r="H1162" s="527"/>
      <c r="I1162" s="527"/>
      <c r="J1162" s="527"/>
      <c r="K1162" s="132"/>
      <c r="L1162" s="528"/>
      <c r="M1162" s="528"/>
      <c r="N1162" s="528"/>
      <c r="O1162" s="132"/>
      <c r="P1162" s="137"/>
      <c r="Q1162" s="137"/>
      <c r="R1162" s="137"/>
    </row>
    <row r="1163" spans="2:18" x14ac:dyDescent="0.2">
      <c r="B1163" s="136">
        <f t="shared" si="406"/>
        <v>42</v>
      </c>
      <c r="C1163" s="76"/>
      <c r="D1163" s="198" t="s">
        <v>7</v>
      </c>
      <c r="E1163" s="215" t="s">
        <v>263</v>
      </c>
      <c r="F1163" s="216" t="s">
        <v>114</v>
      </c>
      <c r="G1163" s="217"/>
      <c r="H1163" s="377">
        <f>H1164+H1165+H1176</f>
        <v>378600</v>
      </c>
      <c r="I1163" s="377">
        <f t="shared" ref="I1163" si="420">I1164+I1165+I1176</f>
        <v>0</v>
      </c>
      <c r="J1163" s="377">
        <f t="shared" si="404"/>
        <v>378600</v>
      </c>
      <c r="K1163" s="20"/>
      <c r="L1163" s="403">
        <f>L1165+L1177</f>
        <v>15600</v>
      </c>
      <c r="M1163" s="403">
        <f t="shared" ref="M1163" si="421">M1165+M1177</f>
        <v>0</v>
      </c>
      <c r="N1163" s="403">
        <f t="shared" si="405"/>
        <v>15600</v>
      </c>
      <c r="O1163" s="20"/>
      <c r="P1163" s="208">
        <f t="shared" ref="P1163:P1174" si="422">H1163+L1163</f>
        <v>394200</v>
      </c>
      <c r="Q1163" s="208">
        <f t="shared" ref="Q1163:R1174" si="423">I1163+M1163</f>
        <v>0</v>
      </c>
      <c r="R1163" s="208">
        <f t="shared" si="423"/>
        <v>394200</v>
      </c>
    </row>
    <row r="1164" spans="2:18" x14ac:dyDescent="0.2">
      <c r="B1164" s="136">
        <f t="shared" si="406"/>
        <v>43</v>
      </c>
      <c r="C1164" s="130"/>
      <c r="D1164" s="130"/>
      <c r="E1164" s="134" t="s">
        <v>263</v>
      </c>
      <c r="F1164" s="134">
        <v>637</v>
      </c>
      <c r="G1164" s="212" t="s">
        <v>421</v>
      </c>
      <c r="H1164" s="527">
        <v>2100</v>
      </c>
      <c r="I1164" s="527"/>
      <c r="J1164" s="527">
        <f t="shared" si="404"/>
        <v>2100</v>
      </c>
      <c r="K1164" s="132"/>
      <c r="L1164" s="527"/>
      <c r="M1164" s="527"/>
      <c r="N1164" s="527"/>
      <c r="O1164" s="132"/>
      <c r="P1164" s="529">
        <f t="shared" si="422"/>
        <v>2100</v>
      </c>
      <c r="Q1164" s="529">
        <f t="shared" si="423"/>
        <v>0</v>
      </c>
      <c r="R1164" s="529">
        <f t="shared" si="423"/>
        <v>2100</v>
      </c>
    </row>
    <row r="1165" spans="2:18" x14ac:dyDescent="0.2">
      <c r="B1165" s="136">
        <f t="shared" si="406"/>
        <v>44</v>
      </c>
      <c r="C1165" s="130"/>
      <c r="D1165" s="130"/>
      <c r="E1165" s="134" t="s">
        <v>263</v>
      </c>
      <c r="F1165" s="224" t="s">
        <v>539</v>
      </c>
      <c r="G1165" s="224"/>
      <c r="H1165" s="394">
        <f>H1166+H1167+H1168+H1173</f>
        <v>361500</v>
      </c>
      <c r="I1165" s="394">
        <f t="shared" ref="I1165" si="424">I1166+I1167+I1168+I1173</f>
        <v>0</v>
      </c>
      <c r="J1165" s="394">
        <f t="shared" si="404"/>
        <v>361500</v>
      </c>
      <c r="K1165" s="145"/>
      <c r="L1165" s="388">
        <f>L1174</f>
        <v>13000</v>
      </c>
      <c r="M1165" s="388">
        <f t="shared" ref="M1165" si="425">M1174</f>
        <v>0</v>
      </c>
      <c r="N1165" s="388">
        <f t="shared" si="405"/>
        <v>13000</v>
      </c>
      <c r="O1165" s="145"/>
      <c r="P1165" s="269">
        <f t="shared" si="422"/>
        <v>374500</v>
      </c>
      <c r="Q1165" s="269">
        <f t="shared" si="423"/>
        <v>0</v>
      </c>
      <c r="R1165" s="269">
        <f t="shared" si="423"/>
        <v>374500</v>
      </c>
    </row>
    <row r="1166" spans="2:18" x14ac:dyDescent="0.2">
      <c r="B1166" s="136">
        <f t="shared" si="406"/>
        <v>45</v>
      </c>
      <c r="C1166" s="130"/>
      <c r="D1166" s="130"/>
      <c r="E1166" s="154"/>
      <c r="F1166" s="149">
        <v>610</v>
      </c>
      <c r="G1166" s="199" t="s">
        <v>540</v>
      </c>
      <c r="H1166" s="388">
        <v>114485</v>
      </c>
      <c r="I1166" s="388"/>
      <c r="J1166" s="388">
        <f t="shared" si="404"/>
        <v>114485</v>
      </c>
      <c r="K1166" s="145"/>
      <c r="L1166" s="388"/>
      <c r="M1166" s="388"/>
      <c r="N1166" s="388"/>
      <c r="O1166" s="145"/>
      <c r="P1166" s="150">
        <f t="shared" si="422"/>
        <v>114485</v>
      </c>
      <c r="Q1166" s="150">
        <f t="shared" si="423"/>
        <v>0</v>
      </c>
      <c r="R1166" s="150">
        <f t="shared" si="423"/>
        <v>114485</v>
      </c>
    </row>
    <row r="1167" spans="2:18" x14ac:dyDescent="0.2">
      <c r="B1167" s="136">
        <f t="shared" si="406"/>
        <v>46</v>
      </c>
      <c r="C1167" s="130"/>
      <c r="D1167" s="130"/>
      <c r="E1167" s="154"/>
      <c r="F1167" s="149">
        <v>620</v>
      </c>
      <c r="G1167" s="199" t="s">
        <v>471</v>
      </c>
      <c r="H1167" s="388">
        <v>40300</v>
      </c>
      <c r="I1167" s="388"/>
      <c r="J1167" s="388">
        <f t="shared" si="404"/>
        <v>40300</v>
      </c>
      <c r="K1167" s="145"/>
      <c r="L1167" s="388"/>
      <c r="M1167" s="388"/>
      <c r="N1167" s="388"/>
      <c r="O1167" s="145"/>
      <c r="P1167" s="150">
        <f t="shared" si="422"/>
        <v>40300</v>
      </c>
      <c r="Q1167" s="150">
        <f t="shared" si="423"/>
        <v>0</v>
      </c>
      <c r="R1167" s="150">
        <f t="shared" si="423"/>
        <v>40300</v>
      </c>
    </row>
    <row r="1168" spans="2:18" x14ac:dyDescent="0.2">
      <c r="B1168" s="136">
        <f t="shared" si="406"/>
        <v>47</v>
      </c>
      <c r="C1168" s="130"/>
      <c r="D1168" s="130"/>
      <c r="E1168" s="134"/>
      <c r="F1168" s="149">
        <v>630</v>
      </c>
      <c r="G1168" s="199" t="s">
        <v>236</v>
      </c>
      <c r="H1168" s="388">
        <f>SUM(H1169:H1172)</f>
        <v>206615</v>
      </c>
      <c r="I1168" s="388"/>
      <c r="J1168" s="388">
        <f t="shared" si="404"/>
        <v>206615</v>
      </c>
      <c r="K1168" s="132"/>
      <c r="L1168" s="527"/>
      <c r="M1168" s="527"/>
      <c r="N1168" s="527"/>
      <c r="O1168" s="132"/>
      <c r="P1168" s="150">
        <f t="shared" si="422"/>
        <v>206615</v>
      </c>
      <c r="Q1168" s="150">
        <f t="shared" si="423"/>
        <v>0</v>
      </c>
      <c r="R1168" s="150">
        <f t="shared" si="423"/>
        <v>206615</v>
      </c>
    </row>
    <row r="1169" spans="2:18" x14ac:dyDescent="0.2">
      <c r="B1169" s="136">
        <f t="shared" si="406"/>
        <v>48</v>
      </c>
      <c r="C1169" s="130"/>
      <c r="D1169" s="130"/>
      <c r="E1169" s="134"/>
      <c r="F1169" s="157">
        <v>632</v>
      </c>
      <c r="G1169" s="194" t="s">
        <v>246</v>
      </c>
      <c r="H1169" s="527">
        <v>155000</v>
      </c>
      <c r="I1169" s="527"/>
      <c r="J1169" s="527">
        <f t="shared" si="404"/>
        <v>155000</v>
      </c>
      <c r="K1169" s="132"/>
      <c r="L1169" s="527"/>
      <c r="M1169" s="527"/>
      <c r="N1169" s="527"/>
      <c r="O1169" s="132"/>
      <c r="P1169" s="529">
        <f t="shared" si="422"/>
        <v>155000</v>
      </c>
      <c r="Q1169" s="529">
        <f t="shared" si="423"/>
        <v>0</v>
      </c>
      <c r="R1169" s="529">
        <f t="shared" si="423"/>
        <v>155000</v>
      </c>
    </row>
    <row r="1170" spans="2:18" x14ac:dyDescent="0.2">
      <c r="B1170" s="136">
        <f t="shared" si="406"/>
        <v>49</v>
      </c>
      <c r="C1170" s="130"/>
      <c r="D1170" s="130"/>
      <c r="E1170" s="134"/>
      <c r="F1170" s="157">
        <v>633</v>
      </c>
      <c r="G1170" s="194" t="s">
        <v>247</v>
      </c>
      <c r="H1170" s="527">
        <v>18115</v>
      </c>
      <c r="I1170" s="527"/>
      <c r="J1170" s="527">
        <f t="shared" si="404"/>
        <v>18115</v>
      </c>
      <c r="K1170" s="132"/>
      <c r="L1170" s="527"/>
      <c r="M1170" s="527"/>
      <c r="N1170" s="527"/>
      <c r="O1170" s="132"/>
      <c r="P1170" s="529">
        <f t="shared" si="422"/>
        <v>18115</v>
      </c>
      <c r="Q1170" s="529">
        <f t="shared" si="423"/>
        <v>0</v>
      </c>
      <c r="R1170" s="529">
        <f t="shared" si="423"/>
        <v>18115</v>
      </c>
    </row>
    <row r="1171" spans="2:18" x14ac:dyDescent="0.2">
      <c r="B1171" s="136">
        <f t="shared" si="406"/>
        <v>50</v>
      </c>
      <c r="C1171" s="130"/>
      <c r="D1171" s="130"/>
      <c r="E1171" s="134"/>
      <c r="F1171" s="157">
        <v>635</v>
      </c>
      <c r="G1171" s="194" t="s">
        <v>261</v>
      </c>
      <c r="H1171" s="527">
        <f>15000+1500</f>
        <v>16500</v>
      </c>
      <c r="I1171" s="527"/>
      <c r="J1171" s="527">
        <f t="shared" si="404"/>
        <v>16500</v>
      </c>
      <c r="K1171" s="132"/>
      <c r="L1171" s="527"/>
      <c r="M1171" s="527"/>
      <c r="N1171" s="527"/>
      <c r="O1171" s="132"/>
      <c r="P1171" s="529">
        <f t="shared" si="422"/>
        <v>16500</v>
      </c>
      <c r="Q1171" s="529">
        <f t="shared" si="423"/>
        <v>0</v>
      </c>
      <c r="R1171" s="529">
        <f t="shared" si="423"/>
        <v>16500</v>
      </c>
    </row>
    <row r="1172" spans="2:18" x14ac:dyDescent="0.2">
      <c r="B1172" s="136">
        <f t="shared" si="406"/>
        <v>51</v>
      </c>
      <c r="C1172" s="130"/>
      <c r="D1172" s="130"/>
      <c r="E1172" s="134"/>
      <c r="F1172" s="157">
        <v>637</v>
      </c>
      <c r="G1172" s="194" t="s">
        <v>248</v>
      </c>
      <c r="H1172" s="527">
        <v>17000</v>
      </c>
      <c r="I1172" s="527"/>
      <c r="J1172" s="527">
        <f t="shared" si="404"/>
        <v>17000</v>
      </c>
      <c r="K1172" s="132"/>
      <c r="L1172" s="527"/>
      <c r="M1172" s="527"/>
      <c r="N1172" s="527"/>
      <c r="O1172" s="132"/>
      <c r="P1172" s="529">
        <f t="shared" si="422"/>
        <v>17000</v>
      </c>
      <c r="Q1172" s="529">
        <f t="shared" si="423"/>
        <v>0</v>
      </c>
      <c r="R1172" s="529">
        <f t="shared" si="423"/>
        <v>17000</v>
      </c>
    </row>
    <row r="1173" spans="2:18" x14ac:dyDescent="0.2">
      <c r="B1173" s="136">
        <f t="shared" si="406"/>
        <v>52</v>
      </c>
      <c r="C1173" s="130"/>
      <c r="D1173" s="130"/>
      <c r="E1173" s="134"/>
      <c r="F1173" s="149">
        <v>640</v>
      </c>
      <c r="G1173" s="199" t="s">
        <v>424</v>
      </c>
      <c r="H1173" s="388">
        <v>100</v>
      </c>
      <c r="I1173" s="388"/>
      <c r="J1173" s="388">
        <f t="shared" si="404"/>
        <v>100</v>
      </c>
      <c r="K1173" s="132"/>
      <c r="L1173" s="527"/>
      <c r="M1173" s="527"/>
      <c r="N1173" s="527"/>
      <c r="O1173" s="132"/>
      <c r="P1173" s="150">
        <f t="shared" si="422"/>
        <v>100</v>
      </c>
      <c r="Q1173" s="150">
        <f t="shared" si="423"/>
        <v>0</v>
      </c>
      <c r="R1173" s="150">
        <f t="shared" si="423"/>
        <v>100</v>
      </c>
    </row>
    <row r="1174" spans="2:18" x14ac:dyDescent="0.2">
      <c r="B1174" s="136">
        <f t="shared" si="406"/>
        <v>53</v>
      </c>
      <c r="C1174" s="130"/>
      <c r="D1174" s="130"/>
      <c r="E1174" s="134"/>
      <c r="F1174" s="157">
        <v>718</v>
      </c>
      <c r="G1174" s="212" t="s">
        <v>645</v>
      </c>
      <c r="H1174" s="527"/>
      <c r="I1174" s="527"/>
      <c r="J1174" s="527"/>
      <c r="K1174" s="132"/>
      <c r="L1174" s="528">
        <v>13000</v>
      </c>
      <c r="M1174" s="528"/>
      <c r="N1174" s="528">
        <f t="shared" si="405"/>
        <v>13000</v>
      </c>
      <c r="O1174" s="132"/>
      <c r="P1174" s="137">
        <f t="shared" si="422"/>
        <v>13000</v>
      </c>
      <c r="Q1174" s="137">
        <f t="shared" si="423"/>
        <v>0</v>
      </c>
      <c r="R1174" s="137">
        <f t="shared" si="423"/>
        <v>13000</v>
      </c>
    </row>
    <row r="1175" spans="2:18" x14ac:dyDescent="0.2">
      <c r="B1175" s="136">
        <f t="shared" si="406"/>
        <v>54</v>
      </c>
      <c r="C1175" s="130"/>
      <c r="D1175" s="130"/>
      <c r="E1175" s="134"/>
      <c r="F1175" s="157"/>
      <c r="G1175" s="212"/>
      <c r="H1175" s="527"/>
      <c r="I1175" s="527"/>
      <c r="J1175" s="527"/>
      <c r="K1175" s="132"/>
      <c r="L1175" s="528"/>
      <c r="M1175" s="528"/>
      <c r="N1175" s="528"/>
      <c r="O1175" s="132"/>
      <c r="P1175" s="137"/>
      <c r="Q1175" s="137"/>
      <c r="R1175" s="137"/>
    </row>
    <row r="1176" spans="2:18" x14ac:dyDescent="0.2">
      <c r="B1176" s="136">
        <f t="shared" si="406"/>
        <v>55</v>
      </c>
      <c r="C1176" s="130"/>
      <c r="D1176" s="130"/>
      <c r="E1176" s="134" t="s">
        <v>263</v>
      </c>
      <c r="F1176" s="224" t="s">
        <v>541</v>
      </c>
      <c r="G1176" s="224"/>
      <c r="H1176" s="394">
        <f>100000-85000</f>
        <v>15000</v>
      </c>
      <c r="I1176" s="394"/>
      <c r="J1176" s="394">
        <f t="shared" si="404"/>
        <v>15000</v>
      </c>
      <c r="K1176" s="132"/>
      <c r="L1176" s="527"/>
      <c r="M1176" s="527"/>
      <c r="N1176" s="527"/>
      <c r="O1176" s="132"/>
      <c r="P1176" s="269">
        <f>H1176+L1176</f>
        <v>15000</v>
      </c>
      <c r="Q1176" s="269">
        <f t="shared" ref="Q1176:R1177" si="426">I1176+M1176</f>
        <v>0</v>
      </c>
      <c r="R1176" s="269">
        <f t="shared" si="426"/>
        <v>15000</v>
      </c>
    </row>
    <row r="1177" spans="2:18" x14ac:dyDescent="0.2">
      <c r="B1177" s="136">
        <f t="shared" si="406"/>
        <v>56</v>
      </c>
      <c r="C1177" s="130"/>
      <c r="D1177" s="130"/>
      <c r="E1177" s="161"/>
      <c r="F1177" s="134">
        <v>717</v>
      </c>
      <c r="G1177" s="212" t="s">
        <v>431</v>
      </c>
      <c r="H1177" s="527"/>
      <c r="I1177" s="527"/>
      <c r="J1177" s="527">
        <f t="shared" si="404"/>
        <v>0</v>
      </c>
      <c r="K1177" s="132"/>
      <c r="L1177" s="528">
        <f>1400+1200</f>
        <v>2600</v>
      </c>
      <c r="M1177" s="528"/>
      <c r="N1177" s="528">
        <f t="shared" si="405"/>
        <v>2600</v>
      </c>
      <c r="O1177" s="132"/>
      <c r="P1177" s="529">
        <f>H1177+L1177</f>
        <v>2600</v>
      </c>
      <c r="Q1177" s="529">
        <f t="shared" si="426"/>
        <v>0</v>
      </c>
      <c r="R1177" s="529">
        <f t="shared" si="426"/>
        <v>2600</v>
      </c>
    </row>
    <row r="1178" spans="2:18" x14ac:dyDescent="0.2">
      <c r="B1178" s="136">
        <f t="shared" si="406"/>
        <v>57</v>
      </c>
      <c r="C1178" s="130"/>
      <c r="D1178" s="130"/>
      <c r="E1178" s="161"/>
      <c r="F1178" s="157"/>
      <c r="G1178" s="212"/>
      <c r="H1178" s="527"/>
      <c r="I1178" s="527"/>
      <c r="J1178" s="527"/>
      <c r="K1178" s="132"/>
      <c r="L1178" s="527"/>
      <c r="M1178" s="527"/>
      <c r="N1178" s="527"/>
      <c r="O1178" s="132"/>
      <c r="P1178" s="137"/>
      <c r="Q1178" s="137"/>
      <c r="R1178" s="137"/>
    </row>
    <row r="1179" spans="2:18" x14ac:dyDescent="0.2">
      <c r="B1179" s="136">
        <f t="shared" si="406"/>
        <v>58</v>
      </c>
      <c r="C1179" s="130"/>
      <c r="D1179" s="198" t="s">
        <v>8</v>
      </c>
      <c r="E1179" s="215" t="s">
        <v>263</v>
      </c>
      <c r="F1179" s="216" t="s">
        <v>304</v>
      </c>
      <c r="G1179" s="217"/>
      <c r="H1179" s="377"/>
      <c r="I1179" s="377"/>
      <c r="J1179" s="377">
        <f t="shared" si="404"/>
        <v>0</v>
      </c>
      <c r="K1179" s="20"/>
      <c r="L1179" s="536">
        <v>0</v>
      </c>
      <c r="M1179" s="536"/>
      <c r="N1179" s="536">
        <f t="shared" si="405"/>
        <v>0</v>
      </c>
      <c r="O1179" s="20"/>
      <c r="P1179" s="208">
        <f>H1179+L1179</f>
        <v>0</v>
      </c>
      <c r="Q1179" s="208">
        <f t="shared" ref="Q1179:R1179" si="427">I1179+M1179</f>
        <v>0</v>
      </c>
      <c r="R1179" s="208">
        <f t="shared" si="427"/>
        <v>0</v>
      </c>
    </row>
    <row r="1180" spans="2:18" x14ac:dyDescent="0.2">
      <c r="B1180" s="136">
        <f t="shared" si="406"/>
        <v>59</v>
      </c>
      <c r="C1180" s="130"/>
      <c r="D1180" s="130"/>
      <c r="E1180" s="161"/>
      <c r="F1180" s="157"/>
      <c r="G1180" s="212"/>
      <c r="H1180" s="527"/>
      <c r="I1180" s="527"/>
      <c r="J1180" s="527"/>
      <c r="K1180" s="132"/>
      <c r="L1180" s="527"/>
      <c r="M1180" s="527"/>
      <c r="N1180" s="527"/>
      <c r="O1180" s="132"/>
      <c r="P1180" s="137"/>
      <c r="Q1180" s="137"/>
      <c r="R1180" s="137"/>
    </row>
    <row r="1181" spans="2:18" ht="15.75" x14ac:dyDescent="0.25">
      <c r="B1181" s="136">
        <f t="shared" si="406"/>
        <v>60</v>
      </c>
      <c r="C1181" s="23">
        <v>4</v>
      </c>
      <c r="D1181" s="127" t="s">
        <v>467</v>
      </c>
      <c r="E1181" s="24"/>
      <c r="F1181" s="24"/>
      <c r="G1181" s="193"/>
      <c r="H1181" s="414">
        <f>H1182</f>
        <v>60000</v>
      </c>
      <c r="I1181" s="414">
        <f t="shared" ref="I1181" si="428">I1182</f>
        <v>0</v>
      </c>
      <c r="J1181" s="414">
        <f t="shared" si="404"/>
        <v>60000</v>
      </c>
      <c r="K1181" s="88"/>
      <c r="L1181" s="379">
        <f>L1193+L1192</f>
        <v>8000</v>
      </c>
      <c r="M1181" s="379">
        <f t="shared" ref="M1181" si="429">M1193+M1192</f>
        <v>0</v>
      </c>
      <c r="N1181" s="379">
        <f t="shared" si="405"/>
        <v>8000</v>
      </c>
      <c r="O1181" s="88"/>
      <c r="P1181" s="374">
        <f t="shared" ref="P1181:P1190" si="430">H1181+L1181</f>
        <v>68000</v>
      </c>
      <c r="Q1181" s="374">
        <f t="shared" ref="Q1181:R1190" si="431">I1181+M1181</f>
        <v>0</v>
      </c>
      <c r="R1181" s="374">
        <f t="shared" si="431"/>
        <v>68000</v>
      </c>
    </row>
    <row r="1182" spans="2:18" x14ac:dyDescent="0.2">
      <c r="B1182" s="136">
        <f t="shared" si="406"/>
        <v>61</v>
      </c>
      <c r="C1182" s="135"/>
      <c r="D1182" s="135"/>
      <c r="E1182" s="157" t="s">
        <v>263</v>
      </c>
      <c r="F1182" s="224" t="s">
        <v>472</v>
      </c>
      <c r="G1182" s="224"/>
      <c r="H1182" s="394">
        <f>H1183+H1184+H1185</f>
        <v>60000</v>
      </c>
      <c r="I1182" s="394">
        <f t="shared" ref="I1182" si="432">I1183+I1184+I1185</f>
        <v>0</v>
      </c>
      <c r="J1182" s="394">
        <f t="shared" si="404"/>
        <v>60000</v>
      </c>
      <c r="K1182" s="132"/>
      <c r="L1182" s="527"/>
      <c r="M1182" s="527"/>
      <c r="N1182" s="527"/>
      <c r="O1182" s="132"/>
      <c r="P1182" s="269">
        <f t="shared" si="430"/>
        <v>60000</v>
      </c>
      <c r="Q1182" s="269">
        <f t="shared" si="431"/>
        <v>0</v>
      </c>
      <c r="R1182" s="269">
        <f t="shared" si="431"/>
        <v>60000</v>
      </c>
    </row>
    <row r="1183" spans="2:18" x14ac:dyDescent="0.2">
      <c r="B1183" s="136">
        <f t="shared" si="406"/>
        <v>62</v>
      </c>
      <c r="C1183" s="143"/>
      <c r="D1183" s="143"/>
      <c r="E1183" s="149"/>
      <c r="F1183" s="149">
        <v>610</v>
      </c>
      <c r="G1183" s="199" t="s">
        <v>257</v>
      </c>
      <c r="H1183" s="388">
        <v>7000</v>
      </c>
      <c r="I1183" s="388"/>
      <c r="J1183" s="388">
        <f t="shared" si="404"/>
        <v>7000</v>
      </c>
      <c r="K1183" s="145"/>
      <c r="L1183" s="388"/>
      <c r="M1183" s="388"/>
      <c r="N1183" s="388"/>
      <c r="O1183" s="145"/>
      <c r="P1183" s="150">
        <f t="shared" si="430"/>
        <v>7000</v>
      </c>
      <c r="Q1183" s="150">
        <f t="shared" si="431"/>
        <v>0</v>
      </c>
      <c r="R1183" s="150">
        <f t="shared" si="431"/>
        <v>7000</v>
      </c>
    </row>
    <row r="1184" spans="2:18" x14ac:dyDescent="0.2">
      <c r="B1184" s="136">
        <f t="shared" si="406"/>
        <v>63</v>
      </c>
      <c r="C1184" s="130"/>
      <c r="D1184" s="130"/>
      <c r="E1184" s="134"/>
      <c r="F1184" s="149">
        <v>620</v>
      </c>
      <c r="G1184" s="199" t="s">
        <v>259</v>
      </c>
      <c r="H1184" s="388">
        <v>2930</v>
      </c>
      <c r="I1184" s="388"/>
      <c r="J1184" s="388">
        <f t="shared" si="404"/>
        <v>2930</v>
      </c>
      <c r="K1184" s="132"/>
      <c r="L1184" s="527"/>
      <c r="M1184" s="527"/>
      <c r="N1184" s="527"/>
      <c r="O1184" s="132"/>
      <c r="P1184" s="150">
        <f t="shared" si="430"/>
        <v>2930</v>
      </c>
      <c r="Q1184" s="150">
        <f t="shared" si="431"/>
        <v>0</v>
      </c>
      <c r="R1184" s="150">
        <f t="shared" si="431"/>
        <v>2930</v>
      </c>
    </row>
    <row r="1185" spans="2:18" x14ac:dyDescent="0.2">
      <c r="B1185" s="136">
        <f t="shared" si="406"/>
        <v>64</v>
      </c>
      <c r="C1185" s="130"/>
      <c r="D1185" s="130"/>
      <c r="E1185" s="134"/>
      <c r="F1185" s="149">
        <v>630</v>
      </c>
      <c r="G1185" s="199" t="s">
        <v>249</v>
      </c>
      <c r="H1185" s="388">
        <f>SUM(H1186:H1190)</f>
        <v>50070</v>
      </c>
      <c r="I1185" s="388"/>
      <c r="J1185" s="388">
        <f t="shared" si="404"/>
        <v>50070</v>
      </c>
      <c r="K1185" s="132"/>
      <c r="L1185" s="527"/>
      <c r="M1185" s="527"/>
      <c r="N1185" s="527"/>
      <c r="O1185" s="132"/>
      <c r="P1185" s="150">
        <f t="shared" si="430"/>
        <v>50070</v>
      </c>
      <c r="Q1185" s="150">
        <f t="shared" si="431"/>
        <v>0</v>
      </c>
      <c r="R1185" s="150">
        <f t="shared" si="431"/>
        <v>50070</v>
      </c>
    </row>
    <row r="1186" spans="2:18" x14ac:dyDescent="0.2">
      <c r="B1186" s="136">
        <f t="shared" si="406"/>
        <v>65</v>
      </c>
      <c r="C1186" s="130"/>
      <c r="D1186" s="130"/>
      <c r="E1186" s="134"/>
      <c r="F1186" s="134">
        <v>633</v>
      </c>
      <c r="G1186" s="194" t="s">
        <v>247</v>
      </c>
      <c r="H1186" s="527">
        <v>45900</v>
      </c>
      <c r="I1186" s="527"/>
      <c r="J1186" s="527">
        <f t="shared" si="404"/>
        <v>45900</v>
      </c>
      <c r="K1186" s="132"/>
      <c r="L1186" s="527"/>
      <c r="M1186" s="527"/>
      <c r="N1186" s="527"/>
      <c r="O1186" s="132"/>
      <c r="P1186" s="529">
        <f t="shared" si="430"/>
        <v>45900</v>
      </c>
      <c r="Q1186" s="529">
        <f t="shared" si="431"/>
        <v>0</v>
      </c>
      <c r="R1186" s="529">
        <f t="shared" si="431"/>
        <v>45900</v>
      </c>
    </row>
    <row r="1187" spans="2:18" x14ac:dyDescent="0.2">
      <c r="B1187" s="136">
        <f t="shared" si="406"/>
        <v>66</v>
      </c>
      <c r="C1187" s="130"/>
      <c r="D1187" s="130"/>
      <c r="E1187" s="134"/>
      <c r="F1187" s="134">
        <v>634</v>
      </c>
      <c r="G1187" s="194" t="s">
        <v>260</v>
      </c>
      <c r="H1187" s="527">
        <v>900</v>
      </c>
      <c r="I1187" s="527"/>
      <c r="J1187" s="527">
        <f t="shared" ref="J1187:J1193" si="433">H1187+I1187</f>
        <v>900</v>
      </c>
      <c r="K1187" s="132"/>
      <c r="L1187" s="527"/>
      <c r="M1187" s="527"/>
      <c r="N1187" s="527"/>
      <c r="O1187" s="132"/>
      <c r="P1187" s="529">
        <f t="shared" si="430"/>
        <v>900</v>
      </c>
      <c r="Q1187" s="529">
        <f t="shared" si="431"/>
        <v>0</v>
      </c>
      <c r="R1187" s="529">
        <f t="shared" si="431"/>
        <v>900</v>
      </c>
    </row>
    <row r="1188" spans="2:18" x14ac:dyDescent="0.2">
      <c r="B1188" s="136">
        <f t="shared" ref="B1188:B1190" si="434">B1187+1</f>
        <v>67</v>
      </c>
      <c r="C1188" s="130"/>
      <c r="D1188" s="130"/>
      <c r="E1188" s="134"/>
      <c r="F1188" s="134">
        <v>635</v>
      </c>
      <c r="G1188" s="194" t="s">
        <v>261</v>
      </c>
      <c r="H1188" s="527">
        <v>1000</v>
      </c>
      <c r="I1188" s="527"/>
      <c r="J1188" s="527">
        <f t="shared" si="433"/>
        <v>1000</v>
      </c>
      <c r="K1188" s="132"/>
      <c r="L1188" s="527"/>
      <c r="M1188" s="527"/>
      <c r="N1188" s="527"/>
      <c r="O1188" s="132"/>
      <c r="P1188" s="529">
        <f t="shared" si="430"/>
        <v>1000</v>
      </c>
      <c r="Q1188" s="529">
        <f t="shared" si="431"/>
        <v>0</v>
      </c>
      <c r="R1188" s="529">
        <f t="shared" si="431"/>
        <v>1000</v>
      </c>
    </row>
    <row r="1189" spans="2:18" x14ac:dyDescent="0.2">
      <c r="B1189" s="136">
        <f t="shared" si="434"/>
        <v>68</v>
      </c>
      <c r="C1189" s="130"/>
      <c r="D1189" s="130"/>
      <c r="E1189" s="134"/>
      <c r="F1189" s="134">
        <v>636</v>
      </c>
      <c r="G1189" s="194" t="s">
        <v>346</v>
      </c>
      <c r="H1189" s="527">
        <v>50</v>
      </c>
      <c r="I1189" s="527"/>
      <c r="J1189" s="527">
        <f t="shared" si="433"/>
        <v>50</v>
      </c>
      <c r="K1189" s="132"/>
      <c r="L1189" s="527"/>
      <c r="M1189" s="527"/>
      <c r="N1189" s="527"/>
      <c r="O1189" s="132"/>
      <c r="P1189" s="529">
        <f t="shared" si="430"/>
        <v>50</v>
      </c>
      <c r="Q1189" s="529">
        <f t="shared" si="431"/>
        <v>0</v>
      </c>
      <c r="R1189" s="529">
        <f t="shared" si="431"/>
        <v>50</v>
      </c>
    </row>
    <row r="1190" spans="2:18" x14ac:dyDescent="0.2">
      <c r="B1190" s="136">
        <f t="shared" si="434"/>
        <v>69</v>
      </c>
      <c r="C1190" s="130"/>
      <c r="D1190" s="130"/>
      <c r="E1190" s="134"/>
      <c r="F1190" s="134">
        <v>637</v>
      </c>
      <c r="G1190" s="194" t="s">
        <v>248</v>
      </c>
      <c r="H1190" s="527">
        <v>2220</v>
      </c>
      <c r="I1190" s="527"/>
      <c r="J1190" s="527">
        <f t="shared" si="433"/>
        <v>2220</v>
      </c>
      <c r="K1190" s="132"/>
      <c r="L1190" s="527"/>
      <c r="M1190" s="527"/>
      <c r="N1190" s="527"/>
      <c r="O1190" s="132"/>
      <c r="P1190" s="529">
        <f t="shared" si="430"/>
        <v>2220</v>
      </c>
      <c r="Q1190" s="529">
        <f t="shared" si="431"/>
        <v>0</v>
      </c>
      <c r="R1190" s="529">
        <f t="shared" si="431"/>
        <v>2220</v>
      </c>
    </row>
    <row r="1191" spans="2:18" x14ac:dyDescent="0.2">
      <c r="B1191" s="655">
        <f>B1190+1</f>
        <v>70</v>
      </c>
      <c r="C1191" s="179"/>
      <c r="D1191" s="179"/>
      <c r="E1191" s="180"/>
      <c r="F1191" s="180"/>
      <c r="G1191" s="763"/>
      <c r="H1191" s="528"/>
      <c r="I1191" s="528"/>
      <c r="J1191" s="528"/>
      <c r="K1191" s="132"/>
      <c r="L1191" s="528"/>
      <c r="M1191" s="528"/>
      <c r="N1191" s="528"/>
      <c r="O1191" s="132"/>
      <c r="P1191" s="137"/>
      <c r="Q1191" s="137"/>
      <c r="R1191" s="137"/>
    </row>
    <row r="1192" spans="2:18" x14ac:dyDescent="0.2">
      <c r="B1192" s="641">
        <f t="shared" ref="B1192:B1193" si="435">B1191+1</f>
        <v>71</v>
      </c>
      <c r="C1192" s="525"/>
      <c r="D1192" s="525"/>
      <c r="E1192" s="525"/>
      <c r="F1192" s="768">
        <v>716</v>
      </c>
      <c r="G1192" s="769" t="s">
        <v>801</v>
      </c>
      <c r="H1192" s="715"/>
      <c r="I1192" s="715"/>
      <c r="J1192" s="715">
        <f t="shared" si="433"/>
        <v>0</v>
      </c>
      <c r="K1192" s="770"/>
      <c r="L1192" s="715">
        <v>3000</v>
      </c>
      <c r="M1192" s="715"/>
      <c r="N1192" s="715">
        <f t="shared" ref="N1192:N1193" si="436">L1192+M1192</f>
        <v>3000</v>
      </c>
      <c r="O1192" s="770"/>
      <c r="P1192" s="771">
        <f>H1192+L1192</f>
        <v>3000</v>
      </c>
      <c r="Q1192" s="771">
        <f t="shared" ref="Q1192:R1193" si="437">I1192+M1192</f>
        <v>0</v>
      </c>
      <c r="R1192" s="771">
        <f t="shared" si="437"/>
        <v>3000</v>
      </c>
    </row>
    <row r="1193" spans="2:18" ht="13.5" thickBot="1" x14ac:dyDescent="0.25">
      <c r="B1193" s="641">
        <f t="shared" si="435"/>
        <v>72</v>
      </c>
      <c r="C1193" s="211"/>
      <c r="D1193" s="211"/>
      <c r="E1193" s="211"/>
      <c r="F1193" s="764">
        <v>717</v>
      </c>
      <c r="G1193" s="765" t="s">
        <v>828</v>
      </c>
      <c r="H1193" s="740"/>
      <c r="I1193" s="740"/>
      <c r="J1193" s="740">
        <f t="shared" si="433"/>
        <v>0</v>
      </c>
      <c r="K1193" s="766"/>
      <c r="L1193" s="740">
        <v>5000</v>
      </c>
      <c r="M1193" s="740"/>
      <c r="N1193" s="740">
        <f t="shared" si="436"/>
        <v>5000</v>
      </c>
      <c r="O1193" s="766"/>
      <c r="P1193" s="767">
        <f>H1193+L1193</f>
        <v>5000</v>
      </c>
      <c r="Q1193" s="767">
        <f t="shared" si="437"/>
        <v>0</v>
      </c>
      <c r="R1193" s="767">
        <f t="shared" si="437"/>
        <v>5000</v>
      </c>
    </row>
    <row r="1196" spans="2:18" ht="27.75" thickBot="1" x14ac:dyDescent="0.4">
      <c r="B1196" s="246" t="s">
        <v>164</v>
      </c>
      <c r="C1196" s="246"/>
      <c r="D1196" s="246"/>
      <c r="E1196" s="246"/>
      <c r="F1196" s="246"/>
      <c r="G1196" s="246"/>
      <c r="H1196" s="246"/>
      <c r="I1196" s="246"/>
      <c r="J1196" s="246"/>
      <c r="K1196" s="246"/>
      <c r="L1196" s="246"/>
      <c r="M1196" s="246"/>
      <c r="N1196" s="246"/>
      <c r="O1196" s="246"/>
      <c r="P1196" s="246"/>
      <c r="Q1196" s="246"/>
      <c r="R1196" s="246"/>
    </row>
    <row r="1197" spans="2:18" ht="13.5" customHeight="1" thickBot="1" x14ac:dyDescent="0.25">
      <c r="B1197" s="905" t="s">
        <v>631</v>
      </c>
      <c r="C1197" s="906"/>
      <c r="D1197" s="906"/>
      <c r="E1197" s="906"/>
      <c r="F1197" s="906"/>
      <c r="G1197" s="906"/>
      <c r="H1197" s="906"/>
      <c r="I1197" s="906"/>
      <c r="J1197" s="906"/>
      <c r="K1197" s="906"/>
      <c r="L1197" s="906"/>
      <c r="M1197" s="906"/>
      <c r="N1197" s="907"/>
      <c r="O1197" s="120"/>
      <c r="P1197" s="895" t="s">
        <v>721</v>
      </c>
      <c r="Q1197" s="895" t="s">
        <v>860</v>
      </c>
      <c r="R1197" s="895" t="s">
        <v>721</v>
      </c>
    </row>
    <row r="1198" spans="2:18" ht="13.5" customHeight="1" thickTop="1" x14ac:dyDescent="0.2">
      <c r="B1198" s="506"/>
      <c r="C1198" s="898" t="s">
        <v>477</v>
      </c>
      <c r="D1198" s="898" t="s">
        <v>476</v>
      </c>
      <c r="E1198" s="898" t="s">
        <v>474</v>
      </c>
      <c r="F1198" s="898" t="s">
        <v>475</v>
      </c>
      <c r="G1198" s="508" t="s">
        <v>3</v>
      </c>
      <c r="H1198" s="900" t="s">
        <v>722</v>
      </c>
      <c r="I1198" s="904" t="s">
        <v>860</v>
      </c>
      <c r="J1198" s="904" t="s">
        <v>722</v>
      </c>
      <c r="L1198" s="902" t="s">
        <v>723</v>
      </c>
      <c r="M1198" s="902" t="s">
        <v>860</v>
      </c>
      <c r="N1198" s="902" t="s">
        <v>723</v>
      </c>
      <c r="P1198" s="896"/>
      <c r="Q1198" s="896"/>
      <c r="R1198" s="896"/>
    </row>
    <row r="1199" spans="2:18" ht="45" customHeight="1" thickBot="1" x14ac:dyDescent="0.25">
      <c r="B1199" s="510"/>
      <c r="C1199" s="899"/>
      <c r="D1199" s="899"/>
      <c r="E1199" s="899"/>
      <c r="F1199" s="899"/>
      <c r="G1199" s="509"/>
      <c r="H1199" s="901"/>
      <c r="I1199" s="901"/>
      <c r="J1199" s="901"/>
      <c r="L1199" s="903"/>
      <c r="M1199" s="903"/>
      <c r="N1199" s="903"/>
      <c r="P1199" s="897"/>
      <c r="Q1199" s="897"/>
      <c r="R1199" s="897"/>
    </row>
    <row r="1200" spans="2:18" ht="19.5" thickTop="1" thickBot="1" x14ac:dyDescent="0.25">
      <c r="B1200" s="632">
        <v>1</v>
      </c>
      <c r="C1200" s="125" t="s">
        <v>224</v>
      </c>
      <c r="D1200" s="111"/>
      <c r="E1200" s="111"/>
      <c r="F1200" s="111"/>
      <c r="G1200" s="192"/>
      <c r="H1200" s="409">
        <f>H1201+H1215+H1230+H1244</f>
        <v>318600</v>
      </c>
      <c r="I1200" s="409">
        <f t="shared" ref="I1200" si="438">I1201+I1215+I1230+I1244</f>
        <v>0</v>
      </c>
      <c r="J1200" s="409">
        <f>H1200+I1200</f>
        <v>318600</v>
      </c>
      <c r="K1200" s="113"/>
      <c r="L1200" s="405">
        <f>L1201+L1230+L1215+L1244</f>
        <v>18320</v>
      </c>
      <c r="M1200" s="405">
        <f t="shared" ref="M1200" si="439">M1201+M1230+M1215+M1244</f>
        <v>3200</v>
      </c>
      <c r="N1200" s="405">
        <f>L1200+M1200</f>
        <v>21520</v>
      </c>
      <c r="O1200" s="113"/>
      <c r="P1200" s="372">
        <f t="shared" ref="P1200:P1235" si="440">H1200+L1200</f>
        <v>336920</v>
      </c>
      <c r="Q1200" s="372">
        <f t="shared" ref="Q1200:R1215" si="441">I1200+M1200</f>
        <v>3200</v>
      </c>
      <c r="R1200" s="372">
        <f t="shared" si="441"/>
        <v>340120</v>
      </c>
    </row>
    <row r="1201" spans="1:18" ht="16.5" thickTop="1" x14ac:dyDescent="0.25">
      <c r="B1201" s="136">
        <f>B1200+1</f>
        <v>2</v>
      </c>
      <c r="C1201" s="23">
        <v>1</v>
      </c>
      <c r="D1201" s="127" t="s">
        <v>314</v>
      </c>
      <c r="E1201" s="24"/>
      <c r="F1201" s="24"/>
      <c r="G1201" s="193"/>
      <c r="H1201" s="410">
        <f>H1202+H1203</f>
        <v>78500</v>
      </c>
      <c r="I1201" s="410">
        <f t="shared" ref="I1201" si="442">I1202+I1203</f>
        <v>0</v>
      </c>
      <c r="J1201" s="410">
        <f t="shared" ref="J1201:J1244" si="443">H1201+I1201</f>
        <v>78500</v>
      </c>
      <c r="K1201" s="88"/>
      <c r="L1201" s="395">
        <f>L1202+L1203</f>
        <v>0</v>
      </c>
      <c r="M1201" s="395">
        <f t="shared" ref="M1201" si="444">M1202+M1203</f>
        <v>0</v>
      </c>
      <c r="N1201" s="395">
        <f t="shared" ref="N1201:N1244" si="445">L1201+M1201</f>
        <v>0</v>
      </c>
      <c r="O1201" s="88"/>
      <c r="P1201" s="373">
        <f t="shared" si="440"/>
        <v>78500</v>
      </c>
      <c r="Q1201" s="373">
        <f t="shared" si="441"/>
        <v>0</v>
      </c>
      <c r="R1201" s="373">
        <f t="shared" si="441"/>
        <v>78500</v>
      </c>
    </row>
    <row r="1202" spans="1:18" x14ac:dyDescent="0.2">
      <c r="B1202" s="136">
        <f t="shared" ref="B1202:B1244" si="446">B1201+1</f>
        <v>3</v>
      </c>
      <c r="C1202" s="130"/>
      <c r="D1202" s="131"/>
      <c r="E1202" s="131" t="s">
        <v>670</v>
      </c>
      <c r="F1202" s="131" t="s">
        <v>217</v>
      </c>
      <c r="G1202" s="194" t="s">
        <v>283</v>
      </c>
      <c r="H1202" s="527">
        <v>25000</v>
      </c>
      <c r="I1202" s="527"/>
      <c r="J1202" s="527">
        <f t="shared" si="443"/>
        <v>25000</v>
      </c>
      <c r="K1202" s="132"/>
      <c r="L1202" s="528"/>
      <c r="M1202" s="528"/>
      <c r="N1202" s="528"/>
      <c r="O1202" s="132"/>
      <c r="P1202" s="137">
        <f t="shared" si="440"/>
        <v>25000</v>
      </c>
      <c r="Q1202" s="137">
        <f t="shared" si="441"/>
        <v>0</v>
      </c>
      <c r="R1202" s="137">
        <f t="shared" si="441"/>
        <v>25000</v>
      </c>
    </row>
    <row r="1203" spans="1:18" s="837" customFormat="1" ht="22.5" x14ac:dyDescent="0.2">
      <c r="A1203" s="834"/>
      <c r="B1203" s="754">
        <f t="shared" si="446"/>
        <v>4</v>
      </c>
      <c r="C1203" s="454"/>
      <c r="D1203" s="835"/>
      <c r="E1203" s="835" t="s">
        <v>670</v>
      </c>
      <c r="F1203" s="633" t="s">
        <v>217</v>
      </c>
      <c r="G1203" s="634" t="s">
        <v>435</v>
      </c>
      <c r="H1203" s="533">
        <f>SUM(H1204:H1214)</f>
        <v>53500</v>
      </c>
      <c r="I1203" s="533">
        <f t="shared" ref="I1203" si="447">SUM(I1204:I1214)</f>
        <v>0</v>
      </c>
      <c r="J1203" s="533">
        <f t="shared" si="443"/>
        <v>53500</v>
      </c>
      <c r="K1203" s="448"/>
      <c r="L1203" s="533"/>
      <c r="M1203" s="533"/>
      <c r="N1203" s="533"/>
      <c r="O1203" s="448"/>
      <c r="P1203" s="836">
        <f t="shared" si="440"/>
        <v>53500</v>
      </c>
      <c r="Q1203" s="836">
        <f t="shared" si="441"/>
        <v>0</v>
      </c>
      <c r="R1203" s="836">
        <f t="shared" si="441"/>
        <v>53500</v>
      </c>
    </row>
    <row r="1204" spans="1:18" x14ac:dyDescent="0.2">
      <c r="B1204" s="136">
        <f t="shared" si="446"/>
        <v>5</v>
      </c>
      <c r="C1204" s="130"/>
      <c r="D1204" s="290"/>
      <c r="E1204" s="290"/>
      <c r="F1204" s="635"/>
      <c r="G1204" s="636" t="s">
        <v>573</v>
      </c>
      <c r="H1204" s="638">
        <v>15000</v>
      </c>
      <c r="I1204" s="638"/>
      <c r="J1204" s="638">
        <f t="shared" si="443"/>
        <v>15000</v>
      </c>
      <c r="K1204" s="637"/>
      <c r="L1204" s="638"/>
      <c r="M1204" s="638"/>
      <c r="N1204" s="638"/>
      <c r="O1204" s="637"/>
      <c r="P1204" s="455">
        <f t="shared" si="440"/>
        <v>15000</v>
      </c>
      <c r="Q1204" s="455">
        <f t="shared" si="441"/>
        <v>0</v>
      </c>
      <c r="R1204" s="455">
        <f t="shared" si="441"/>
        <v>15000</v>
      </c>
    </row>
    <row r="1205" spans="1:18" x14ac:dyDescent="0.2">
      <c r="B1205" s="136">
        <f t="shared" si="446"/>
        <v>6</v>
      </c>
      <c r="C1205" s="130"/>
      <c r="D1205" s="290"/>
      <c r="E1205" s="290"/>
      <c r="F1205" s="635"/>
      <c r="G1205" s="636" t="s">
        <v>574</v>
      </c>
      <c r="H1205" s="638">
        <f>10000+2500</f>
        <v>12500</v>
      </c>
      <c r="I1205" s="638"/>
      <c r="J1205" s="638">
        <f t="shared" si="443"/>
        <v>12500</v>
      </c>
      <c r="K1205" s="637"/>
      <c r="L1205" s="638"/>
      <c r="M1205" s="638"/>
      <c r="N1205" s="638"/>
      <c r="O1205" s="637"/>
      <c r="P1205" s="455">
        <f t="shared" si="440"/>
        <v>12500</v>
      </c>
      <c r="Q1205" s="455">
        <f t="shared" si="441"/>
        <v>0</v>
      </c>
      <c r="R1205" s="455">
        <f t="shared" si="441"/>
        <v>12500</v>
      </c>
    </row>
    <row r="1206" spans="1:18" x14ac:dyDescent="0.2">
      <c r="B1206" s="136">
        <f t="shared" si="446"/>
        <v>7</v>
      </c>
      <c r="C1206" s="130"/>
      <c r="D1206" s="290"/>
      <c r="E1206" s="290"/>
      <c r="F1206" s="635"/>
      <c r="G1206" s="636" t="s">
        <v>835</v>
      </c>
      <c r="H1206" s="640">
        <v>12000</v>
      </c>
      <c r="I1206" s="640"/>
      <c r="J1206" s="640">
        <f t="shared" si="443"/>
        <v>12000</v>
      </c>
      <c r="K1206" s="637"/>
      <c r="L1206" s="638"/>
      <c r="M1206" s="638"/>
      <c r="N1206" s="638"/>
      <c r="O1206" s="637"/>
      <c r="P1206" s="455">
        <f t="shared" si="440"/>
        <v>12000</v>
      </c>
      <c r="Q1206" s="455">
        <f t="shared" si="441"/>
        <v>0</v>
      </c>
      <c r="R1206" s="455">
        <f t="shared" si="441"/>
        <v>12000</v>
      </c>
    </row>
    <row r="1207" spans="1:18" x14ac:dyDescent="0.2">
      <c r="B1207" s="136">
        <f t="shared" si="446"/>
        <v>8</v>
      </c>
      <c r="C1207" s="130"/>
      <c r="D1207" s="654"/>
      <c r="E1207" s="290"/>
      <c r="F1207" s="635"/>
      <c r="G1207" s="636" t="s">
        <v>750</v>
      </c>
      <c r="H1207" s="638">
        <v>2000</v>
      </c>
      <c r="I1207" s="638"/>
      <c r="J1207" s="638">
        <f t="shared" si="443"/>
        <v>2000</v>
      </c>
      <c r="K1207" s="181"/>
      <c r="L1207" s="527"/>
      <c r="M1207" s="527"/>
      <c r="N1207" s="527"/>
      <c r="O1207" s="181"/>
      <c r="P1207" s="529">
        <f t="shared" si="440"/>
        <v>2000</v>
      </c>
      <c r="Q1207" s="529">
        <f t="shared" si="441"/>
        <v>0</v>
      </c>
      <c r="R1207" s="529">
        <f t="shared" si="441"/>
        <v>2000</v>
      </c>
    </row>
    <row r="1208" spans="1:18" x14ac:dyDescent="0.2">
      <c r="B1208" s="136">
        <f t="shared" si="446"/>
        <v>9</v>
      </c>
      <c r="C1208" s="130"/>
      <c r="D1208" s="654"/>
      <c r="E1208" s="290"/>
      <c r="F1208" s="635"/>
      <c r="G1208" s="636" t="s">
        <v>751</v>
      </c>
      <c r="H1208" s="638">
        <v>900</v>
      </c>
      <c r="I1208" s="638"/>
      <c r="J1208" s="638">
        <f t="shared" si="443"/>
        <v>900</v>
      </c>
      <c r="K1208" s="181"/>
      <c r="L1208" s="527"/>
      <c r="M1208" s="527"/>
      <c r="N1208" s="527"/>
      <c r="O1208" s="181"/>
      <c r="P1208" s="529">
        <f t="shared" si="440"/>
        <v>900</v>
      </c>
      <c r="Q1208" s="529">
        <f t="shared" si="441"/>
        <v>0</v>
      </c>
      <c r="R1208" s="529">
        <f t="shared" si="441"/>
        <v>900</v>
      </c>
    </row>
    <row r="1209" spans="1:18" x14ac:dyDescent="0.2">
      <c r="B1209" s="136">
        <f t="shared" si="446"/>
        <v>10</v>
      </c>
      <c r="C1209" s="130"/>
      <c r="D1209" s="654"/>
      <c r="E1209" s="290"/>
      <c r="F1209" s="635"/>
      <c r="G1209" s="636" t="s">
        <v>752</v>
      </c>
      <c r="H1209" s="638">
        <v>1200</v>
      </c>
      <c r="I1209" s="638"/>
      <c r="J1209" s="638">
        <f t="shared" si="443"/>
        <v>1200</v>
      </c>
      <c r="K1209" s="181"/>
      <c r="L1209" s="527"/>
      <c r="M1209" s="527"/>
      <c r="N1209" s="527"/>
      <c r="O1209" s="181"/>
      <c r="P1209" s="529">
        <f t="shared" si="440"/>
        <v>1200</v>
      </c>
      <c r="Q1209" s="529">
        <f t="shared" si="441"/>
        <v>0</v>
      </c>
      <c r="R1209" s="529">
        <f t="shared" si="441"/>
        <v>1200</v>
      </c>
    </row>
    <row r="1210" spans="1:18" x14ac:dyDescent="0.2">
      <c r="B1210" s="136">
        <f t="shared" si="446"/>
        <v>11</v>
      </c>
      <c r="C1210" s="130"/>
      <c r="D1210" s="654"/>
      <c r="E1210" s="290"/>
      <c r="F1210" s="635"/>
      <c r="G1210" s="636" t="s">
        <v>753</v>
      </c>
      <c r="H1210" s="638">
        <v>3000</v>
      </c>
      <c r="I1210" s="638"/>
      <c r="J1210" s="638">
        <f t="shared" si="443"/>
        <v>3000</v>
      </c>
      <c r="K1210" s="181"/>
      <c r="L1210" s="527"/>
      <c r="M1210" s="527"/>
      <c r="N1210" s="527"/>
      <c r="O1210" s="181"/>
      <c r="P1210" s="529">
        <f t="shared" si="440"/>
        <v>3000</v>
      </c>
      <c r="Q1210" s="529">
        <f t="shared" si="441"/>
        <v>0</v>
      </c>
      <c r="R1210" s="529">
        <f t="shared" si="441"/>
        <v>3000</v>
      </c>
    </row>
    <row r="1211" spans="1:18" x14ac:dyDescent="0.2">
      <c r="B1211" s="136">
        <f t="shared" si="446"/>
        <v>12</v>
      </c>
      <c r="C1211" s="130"/>
      <c r="D1211" s="654"/>
      <c r="E1211" s="290"/>
      <c r="F1211" s="635"/>
      <c r="G1211" s="636" t="s">
        <v>754</v>
      </c>
      <c r="H1211" s="638">
        <v>1500</v>
      </c>
      <c r="I1211" s="638"/>
      <c r="J1211" s="638">
        <f t="shared" si="443"/>
        <v>1500</v>
      </c>
      <c r="K1211" s="181"/>
      <c r="L1211" s="527"/>
      <c r="M1211" s="527"/>
      <c r="N1211" s="527"/>
      <c r="O1211" s="181"/>
      <c r="P1211" s="529">
        <f t="shared" si="440"/>
        <v>1500</v>
      </c>
      <c r="Q1211" s="529">
        <f t="shared" si="441"/>
        <v>0</v>
      </c>
      <c r="R1211" s="529">
        <f t="shared" si="441"/>
        <v>1500</v>
      </c>
    </row>
    <row r="1212" spans="1:18" x14ac:dyDescent="0.2">
      <c r="B1212" s="136">
        <f t="shared" si="446"/>
        <v>13</v>
      </c>
      <c r="C1212" s="130"/>
      <c r="D1212" s="654"/>
      <c r="E1212" s="290"/>
      <c r="F1212" s="635"/>
      <c r="G1212" s="636" t="s">
        <v>755</v>
      </c>
      <c r="H1212" s="638">
        <v>1600</v>
      </c>
      <c r="I1212" s="638"/>
      <c r="J1212" s="638">
        <f t="shared" si="443"/>
        <v>1600</v>
      </c>
      <c r="K1212" s="181"/>
      <c r="L1212" s="527"/>
      <c r="M1212" s="527"/>
      <c r="N1212" s="527"/>
      <c r="O1212" s="181"/>
      <c r="P1212" s="529">
        <f t="shared" si="440"/>
        <v>1600</v>
      </c>
      <c r="Q1212" s="529">
        <f t="shared" si="441"/>
        <v>0</v>
      </c>
      <c r="R1212" s="529">
        <f t="shared" si="441"/>
        <v>1600</v>
      </c>
    </row>
    <row r="1213" spans="1:18" ht="22.5" x14ac:dyDescent="0.2">
      <c r="B1213" s="136">
        <f t="shared" si="446"/>
        <v>14</v>
      </c>
      <c r="C1213" s="130"/>
      <c r="D1213" s="654"/>
      <c r="E1213" s="290"/>
      <c r="F1213" s="635"/>
      <c r="G1213" s="636" t="s">
        <v>756</v>
      </c>
      <c r="H1213" s="638">
        <v>1700</v>
      </c>
      <c r="I1213" s="638"/>
      <c r="J1213" s="638">
        <f t="shared" si="443"/>
        <v>1700</v>
      </c>
      <c r="K1213" s="181"/>
      <c r="L1213" s="527"/>
      <c r="M1213" s="527"/>
      <c r="N1213" s="527"/>
      <c r="O1213" s="181"/>
      <c r="P1213" s="455">
        <f t="shared" si="440"/>
        <v>1700</v>
      </c>
      <c r="Q1213" s="455">
        <f t="shared" si="441"/>
        <v>0</v>
      </c>
      <c r="R1213" s="455">
        <f t="shared" si="441"/>
        <v>1700</v>
      </c>
    </row>
    <row r="1214" spans="1:18" ht="22.5" x14ac:dyDescent="0.2">
      <c r="B1214" s="136">
        <f t="shared" si="446"/>
        <v>15</v>
      </c>
      <c r="C1214" s="130"/>
      <c r="D1214" s="654"/>
      <c r="E1214" s="290"/>
      <c r="F1214" s="635"/>
      <c r="G1214" s="636" t="s">
        <v>757</v>
      </c>
      <c r="H1214" s="638">
        <v>2100</v>
      </c>
      <c r="I1214" s="638"/>
      <c r="J1214" s="638">
        <f t="shared" si="443"/>
        <v>2100</v>
      </c>
      <c r="K1214" s="181"/>
      <c r="L1214" s="527"/>
      <c r="M1214" s="527"/>
      <c r="N1214" s="527"/>
      <c r="O1214" s="181"/>
      <c r="P1214" s="455">
        <f t="shared" si="440"/>
        <v>2100</v>
      </c>
      <c r="Q1214" s="455">
        <f t="shared" si="441"/>
        <v>0</v>
      </c>
      <c r="R1214" s="455">
        <f t="shared" si="441"/>
        <v>2100</v>
      </c>
    </row>
    <row r="1215" spans="1:18" ht="15.75" x14ac:dyDescent="0.25">
      <c r="B1215" s="136">
        <f t="shared" si="446"/>
        <v>16</v>
      </c>
      <c r="C1215" s="23">
        <v>2</v>
      </c>
      <c r="D1215" s="639" t="s">
        <v>313</v>
      </c>
      <c r="E1215" s="22"/>
      <c r="F1215" s="22"/>
      <c r="G1215" s="195"/>
      <c r="H1215" s="411">
        <f>H1216+H1228+H1229</f>
        <v>76500</v>
      </c>
      <c r="I1215" s="411">
        <f t="shared" ref="I1215" si="448">I1216+I1228+I1229</f>
        <v>0</v>
      </c>
      <c r="J1215" s="411">
        <f t="shared" si="443"/>
        <v>76500</v>
      </c>
      <c r="K1215" s="245"/>
      <c r="L1215" s="381">
        <v>0</v>
      </c>
      <c r="M1215" s="381"/>
      <c r="N1215" s="381"/>
      <c r="O1215" s="245"/>
      <c r="P1215" s="374">
        <f t="shared" si="440"/>
        <v>76500</v>
      </c>
      <c r="Q1215" s="374">
        <f t="shared" si="441"/>
        <v>0</v>
      </c>
      <c r="R1215" s="374">
        <f t="shared" si="441"/>
        <v>76500</v>
      </c>
    </row>
    <row r="1216" spans="1:18" x14ac:dyDescent="0.2">
      <c r="B1216" s="136">
        <f t="shared" si="446"/>
        <v>17</v>
      </c>
      <c r="C1216" s="130"/>
      <c r="D1216" s="130"/>
      <c r="E1216" s="131" t="s">
        <v>670</v>
      </c>
      <c r="F1216" s="144" t="s">
        <v>216</v>
      </c>
      <c r="G1216" s="199" t="s">
        <v>308</v>
      </c>
      <c r="H1216" s="432">
        <f>SUM(H1217:H1227)</f>
        <v>70640</v>
      </c>
      <c r="I1216" s="432">
        <f t="shared" ref="I1216" si="449">SUM(I1217:I1227)</f>
        <v>0</v>
      </c>
      <c r="J1216" s="432">
        <f t="shared" si="443"/>
        <v>70640</v>
      </c>
      <c r="K1216" s="132"/>
      <c r="L1216" s="382"/>
      <c r="M1216" s="382"/>
      <c r="N1216" s="382"/>
      <c r="O1216" s="132"/>
      <c r="P1216" s="160">
        <f t="shared" si="440"/>
        <v>70640</v>
      </c>
      <c r="Q1216" s="160">
        <f t="shared" ref="Q1216:R1231" si="450">I1216+M1216</f>
        <v>0</v>
      </c>
      <c r="R1216" s="160">
        <f t="shared" si="450"/>
        <v>70640</v>
      </c>
    </row>
    <row r="1217" spans="2:18" x14ac:dyDescent="0.2">
      <c r="B1217" s="136">
        <f t="shared" si="446"/>
        <v>18</v>
      </c>
      <c r="C1217" s="130"/>
      <c r="D1217" s="131"/>
      <c r="E1217" s="131"/>
      <c r="F1217" s="131"/>
      <c r="G1217" s="194" t="s">
        <v>309</v>
      </c>
      <c r="H1217" s="527">
        <v>9000</v>
      </c>
      <c r="I1217" s="527"/>
      <c r="J1217" s="527">
        <f t="shared" si="443"/>
        <v>9000</v>
      </c>
      <c r="K1217" s="132"/>
      <c r="L1217" s="528"/>
      <c r="M1217" s="528"/>
      <c r="N1217" s="528"/>
      <c r="O1217" s="132"/>
      <c r="P1217" s="137">
        <f t="shared" si="440"/>
        <v>9000</v>
      </c>
      <c r="Q1217" s="137">
        <f t="shared" si="450"/>
        <v>0</v>
      </c>
      <c r="R1217" s="137">
        <f t="shared" si="450"/>
        <v>9000</v>
      </c>
    </row>
    <row r="1218" spans="2:18" x14ac:dyDescent="0.2">
      <c r="B1218" s="136">
        <f t="shared" si="446"/>
        <v>19</v>
      </c>
      <c r="C1218" s="130"/>
      <c r="D1218" s="131"/>
      <c r="E1218" s="131"/>
      <c r="F1218" s="131"/>
      <c r="G1218" s="194" t="s">
        <v>310</v>
      </c>
      <c r="H1218" s="527">
        <f>4500-1500+6240</f>
        <v>9240</v>
      </c>
      <c r="I1218" s="527"/>
      <c r="J1218" s="527">
        <f t="shared" si="443"/>
        <v>9240</v>
      </c>
      <c r="K1218" s="132"/>
      <c r="L1218" s="528"/>
      <c r="M1218" s="528"/>
      <c r="N1218" s="528"/>
      <c r="O1218" s="132"/>
      <c r="P1218" s="137">
        <f t="shared" si="440"/>
        <v>9240</v>
      </c>
      <c r="Q1218" s="137">
        <f t="shared" si="450"/>
        <v>0</v>
      </c>
      <c r="R1218" s="137">
        <f t="shared" si="450"/>
        <v>9240</v>
      </c>
    </row>
    <row r="1219" spans="2:18" x14ac:dyDescent="0.2">
      <c r="B1219" s="136">
        <f t="shared" si="446"/>
        <v>20</v>
      </c>
      <c r="C1219" s="130"/>
      <c r="D1219" s="131"/>
      <c r="E1219" s="131"/>
      <c r="F1219" s="131"/>
      <c r="G1219" s="194" t="s">
        <v>311</v>
      </c>
      <c r="H1219" s="527">
        <f>9800+2000+500</f>
        <v>12300</v>
      </c>
      <c r="I1219" s="527"/>
      <c r="J1219" s="527">
        <f t="shared" si="443"/>
        <v>12300</v>
      </c>
      <c r="K1219" s="132"/>
      <c r="L1219" s="528"/>
      <c r="M1219" s="528"/>
      <c r="N1219" s="528"/>
      <c r="O1219" s="132"/>
      <c r="P1219" s="137">
        <f t="shared" si="440"/>
        <v>12300</v>
      </c>
      <c r="Q1219" s="137">
        <f t="shared" si="450"/>
        <v>0</v>
      </c>
      <c r="R1219" s="137">
        <f t="shared" si="450"/>
        <v>12300</v>
      </c>
    </row>
    <row r="1220" spans="2:18" x14ac:dyDescent="0.2">
      <c r="B1220" s="136">
        <f t="shared" si="446"/>
        <v>21</v>
      </c>
      <c r="C1220" s="130"/>
      <c r="D1220" s="131"/>
      <c r="E1220" s="131"/>
      <c r="F1220" s="131"/>
      <c r="G1220" s="194" t="s">
        <v>646</v>
      </c>
      <c r="H1220" s="527">
        <f>10000-5000</f>
        <v>5000</v>
      </c>
      <c r="I1220" s="527"/>
      <c r="J1220" s="527">
        <f t="shared" si="443"/>
        <v>5000</v>
      </c>
      <c r="K1220" s="132"/>
      <c r="L1220" s="528"/>
      <c r="M1220" s="528"/>
      <c r="N1220" s="528"/>
      <c r="O1220" s="132"/>
      <c r="P1220" s="137">
        <f t="shared" si="440"/>
        <v>5000</v>
      </c>
      <c r="Q1220" s="137">
        <f t="shared" si="450"/>
        <v>0</v>
      </c>
      <c r="R1220" s="137">
        <f t="shared" si="450"/>
        <v>5000</v>
      </c>
    </row>
    <row r="1221" spans="2:18" x14ac:dyDescent="0.2">
      <c r="B1221" s="136">
        <f t="shared" si="446"/>
        <v>22</v>
      </c>
      <c r="C1221" s="130"/>
      <c r="D1221" s="131"/>
      <c r="E1221" s="131"/>
      <c r="F1221" s="131"/>
      <c r="G1221" s="194" t="s">
        <v>648</v>
      </c>
      <c r="H1221" s="527">
        <v>10000</v>
      </c>
      <c r="I1221" s="527"/>
      <c r="J1221" s="527">
        <f t="shared" si="443"/>
        <v>10000</v>
      </c>
      <c r="K1221" s="132"/>
      <c r="L1221" s="528"/>
      <c r="M1221" s="528"/>
      <c r="N1221" s="528"/>
      <c r="O1221" s="132"/>
      <c r="P1221" s="137">
        <f t="shared" si="440"/>
        <v>10000</v>
      </c>
      <c r="Q1221" s="137">
        <f t="shared" si="450"/>
        <v>0</v>
      </c>
      <c r="R1221" s="137">
        <f t="shared" si="450"/>
        <v>10000</v>
      </c>
    </row>
    <row r="1222" spans="2:18" x14ac:dyDescent="0.2">
      <c r="B1222" s="136">
        <f t="shared" si="446"/>
        <v>23</v>
      </c>
      <c r="C1222" s="130"/>
      <c r="D1222" s="131"/>
      <c r="E1222" s="131"/>
      <c r="F1222" s="131"/>
      <c r="G1222" s="194" t="s">
        <v>589</v>
      </c>
      <c r="H1222" s="527">
        <v>2000</v>
      </c>
      <c r="I1222" s="527"/>
      <c r="J1222" s="527">
        <f t="shared" si="443"/>
        <v>2000</v>
      </c>
      <c r="K1222" s="132"/>
      <c r="L1222" s="528"/>
      <c r="M1222" s="528"/>
      <c r="N1222" s="528"/>
      <c r="O1222" s="132"/>
      <c r="P1222" s="137">
        <f t="shared" si="440"/>
        <v>2000</v>
      </c>
      <c r="Q1222" s="137">
        <f t="shared" si="450"/>
        <v>0</v>
      </c>
      <c r="R1222" s="137">
        <f t="shared" si="450"/>
        <v>2000</v>
      </c>
    </row>
    <row r="1223" spans="2:18" x14ac:dyDescent="0.2">
      <c r="B1223" s="136">
        <f t="shared" si="446"/>
        <v>24</v>
      </c>
      <c r="C1223" s="130"/>
      <c r="D1223" s="131"/>
      <c r="E1223" s="131"/>
      <c r="F1223" s="131"/>
      <c r="G1223" s="194" t="s">
        <v>526</v>
      </c>
      <c r="H1223" s="527">
        <f>2000+600</f>
        <v>2600</v>
      </c>
      <c r="I1223" s="527"/>
      <c r="J1223" s="527">
        <f t="shared" si="443"/>
        <v>2600</v>
      </c>
      <c r="K1223" s="132"/>
      <c r="L1223" s="528"/>
      <c r="M1223" s="528"/>
      <c r="N1223" s="528"/>
      <c r="O1223" s="132"/>
      <c r="P1223" s="137">
        <f t="shared" si="440"/>
        <v>2600</v>
      </c>
      <c r="Q1223" s="137">
        <f t="shared" si="450"/>
        <v>0</v>
      </c>
      <c r="R1223" s="137">
        <f t="shared" si="450"/>
        <v>2600</v>
      </c>
    </row>
    <row r="1224" spans="2:18" x14ac:dyDescent="0.2">
      <c r="B1224" s="136">
        <f t="shared" si="446"/>
        <v>25</v>
      </c>
      <c r="C1224" s="130"/>
      <c r="D1224" s="131"/>
      <c r="E1224" s="131"/>
      <c r="F1224" s="131"/>
      <c r="G1224" s="194" t="s">
        <v>527</v>
      </c>
      <c r="H1224" s="527">
        <v>12000</v>
      </c>
      <c r="I1224" s="527"/>
      <c r="J1224" s="527">
        <f t="shared" si="443"/>
        <v>12000</v>
      </c>
      <c r="K1224" s="132"/>
      <c r="L1224" s="528"/>
      <c r="M1224" s="528"/>
      <c r="N1224" s="528"/>
      <c r="O1224" s="132"/>
      <c r="P1224" s="137">
        <f t="shared" si="440"/>
        <v>12000</v>
      </c>
      <c r="Q1224" s="137">
        <f t="shared" si="450"/>
        <v>0</v>
      </c>
      <c r="R1224" s="137">
        <f t="shared" si="450"/>
        <v>12000</v>
      </c>
    </row>
    <row r="1225" spans="2:18" x14ac:dyDescent="0.2">
      <c r="B1225" s="136">
        <f t="shared" si="446"/>
        <v>26</v>
      </c>
      <c r="C1225" s="130"/>
      <c r="D1225" s="131"/>
      <c r="E1225" s="131"/>
      <c r="F1225" s="131"/>
      <c r="G1225" s="194" t="s">
        <v>312</v>
      </c>
      <c r="H1225" s="527">
        <v>6000</v>
      </c>
      <c r="I1225" s="527"/>
      <c r="J1225" s="527">
        <f t="shared" si="443"/>
        <v>6000</v>
      </c>
      <c r="K1225" s="132"/>
      <c r="L1225" s="528"/>
      <c r="M1225" s="528"/>
      <c r="N1225" s="528"/>
      <c r="O1225" s="132"/>
      <c r="P1225" s="137">
        <f t="shared" si="440"/>
        <v>6000</v>
      </c>
      <c r="Q1225" s="137">
        <f t="shared" si="450"/>
        <v>0</v>
      </c>
      <c r="R1225" s="137">
        <f t="shared" si="450"/>
        <v>6000</v>
      </c>
    </row>
    <row r="1226" spans="2:18" x14ac:dyDescent="0.2">
      <c r="B1226" s="136">
        <f t="shared" si="446"/>
        <v>27</v>
      </c>
      <c r="C1226" s="130"/>
      <c r="D1226" s="131"/>
      <c r="E1226" s="131"/>
      <c r="F1226" s="131"/>
      <c r="G1226" s="194" t="s">
        <v>647</v>
      </c>
      <c r="H1226" s="527">
        <v>1500</v>
      </c>
      <c r="I1226" s="527"/>
      <c r="J1226" s="527">
        <f t="shared" si="443"/>
        <v>1500</v>
      </c>
      <c r="K1226" s="132"/>
      <c r="L1226" s="528"/>
      <c r="M1226" s="528"/>
      <c r="N1226" s="528"/>
      <c r="O1226" s="132"/>
      <c r="P1226" s="137">
        <f t="shared" si="440"/>
        <v>1500</v>
      </c>
      <c r="Q1226" s="137">
        <f t="shared" si="450"/>
        <v>0</v>
      </c>
      <c r="R1226" s="137">
        <f t="shared" si="450"/>
        <v>1500</v>
      </c>
    </row>
    <row r="1227" spans="2:18" x14ac:dyDescent="0.2">
      <c r="B1227" s="136">
        <f t="shared" si="446"/>
        <v>28</v>
      </c>
      <c r="C1227" s="130"/>
      <c r="D1227" s="131"/>
      <c r="E1227" s="131"/>
      <c r="F1227" s="131"/>
      <c r="G1227" s="194" t="s">
        <v>608</v>
      </c>
      <c r="H1227" s="527">
        <f>500+500</f>
        <v>1000</v>
      </c>
      <c r="I1227" s="527"/>
      <c r="J1227" s="527">
        <f t="shared" si="443"/>
        <v>1000</v>
      </c>
      <c r="K1227" s="132"/>
      <c r="L1227" s="528"/>
      <c r="M1227" s="528"/>
      <c r="N1227" s="528"/>
      <c r="O1227" s="132"/>
      <c r="P1227" s="137">
        <f t="shared" si="440"/>
        <v>1000</v>
      </c>
      <c r="Q1227" s="137">
        <f t="shared" si="450"/>
        <v>0</v>
      </c>
      <c r="R1227" s="137">
        <f t="shared" si="450"/>
        <v>1000</v>
      </c>
    </row>
    <row r="1228" spans="2:18" x14ac:dyDescent="0.2">
      <c r="B1228" s="136">
        <f t="shared" si="446"/>
        <v>29</v>
      </c>
      <c r="C1228" s="130"/>
      <c r="D1228" s="131"/>
      <c r="E1228" s="131" t="s">
        <v>670</v>
      </c>
      <c r="F1228" s="144" t="s">
        <v>200</v>
      </c>
      <c r="G1228" s="199" t="s">
        <v>590</v>
      </c>
      <c r="H1228" s="527">
        <v>3600</v>
      </c>
      <c r="I1228" s="527"/>
      <c r="J1228" s="527">
        <f t="shared" si="443"/>
        <v>3600</v>
      </c>
      <c r="K1228" s="132"/>
      <c r="L1228" s="528"/>
      <c r="M1228" s="528"/>
      <c r="N1228" s="528"/>
      <c r="O1228" s="132"/>
      <c r="P1228" s="137">
        <f t="shared" si="440"/>
        <v>3600</v>
      </c>
      <c r="Q1228" s="137">
        <f t="shared" si="450"/>
        <v>0</v>
      </c>
      <c r="R1228" s="137">
        <f t="shared" si="450"/>
        <v>3600</v>
      </c>
    </row>
    <row r="1229" spans="2:18" x14ac:dyDescent="0.2">
      <c r="B1229" s="136">
        <f t="shared" si="446"/>
        <v>30</v>
      </c>
      <c r="C1229" s="130"/>
      <c r="D1229" s="178"/>
      <c r="E1229" s="290" t="s">
        <v>670</v>
      </c>
      <c r="F1229" s="284" t="s">
        <v>200</v>
      </c>
      <c r="G1229" s="199" t="s">
        <v>815</v>
      </c>
      <c r="H1229" s="527">
        <f>1500+760</f>
        <v>2260</v>
      </c>
      <c r="I1229" s="527"/>
      <c r="J1229" s="527">
        <f t="shared" si="443"/>
        <v>2260</v>
      </c>
      <c r="K1229" s="132"/>
      <c r="L1229" s="527"/>
      <c r="M1229" s="527"/>
      <c r="N1229" s="527"/>
      <c r="O1229" s="181"/>
      <c r="P1229" s="529">
        <f t="shared" si="440"/>
        <v>2260</v>
      </c>
      <c r="Q1229" s="529">
        <f t="shared" si="450"/>
        <v>0</v>
      </c>
      <c r="R1229" s="529">
        <f t="shared" si="450"/>
        <v>2260</v>
      </c>
    </row>
    <row r="1230" spans="2:18" ht="15.75" x14ac:dyDescent="0.25">
      <c r="B1230" s="136">
        <f t="shared" si="446"/>
        <v>31</v>
      </c>
      <c r="C1230" s="21">
        <v>3</v>
      </c>
      <c r="D1230" s="126" t="s">
        <v>109</v>
      </c>
      <c r="E1230" s="22"/>
      <c r="F1230" s="22"/>
      <c r="G1230" s="195"/>
      <c r="H1230" s="411">
        <f>H1231+H1237+H1238+H1239+H1241+H1242+H1240</f>
        <v>163600</v>
      </c>
      <c r="I1230" s="411">
        <f t="shared" ref="I1230" si="451">I1231+I1237+I1238+I1239+I1241+I1242+I1240</f>
        <v>0</v>
      </c>
      <c r="J1230" s="411">
        <f t="shared" si="443"/>
        <v>163600</v>
      </c>
      <c r="K1230" s="112"/>
      <c r="L1230" s="379">
        <f>SUM(L1231:L1242)</f>
        <v>0</v>
      </c>
      <c r="M1230" s="379">
        <f>M1243</f>
        <v>3200</v>
      </c>
      <c r="N1230" s="379">
        <f>M1230+L1230</f>
        <v>3200</v>
      </c>
      <c r="O1230" s="112"/>
      <c r="P1230" s="373">
        <f t="shared" si="440"/>
        <v>163600</v>
      </c>
      <c r="Q1230" s="373">
        <f t="shared" si="450"/>
        <v>3200</v>
      </c>
      <c r="R1230" s="373">
        <f t="shared" si="450"/>
        <v>166800</v>
      </c>
    </row>
    <row r="1231" spans="2:18" x14ac:dyDescent="0.2">
      <c r="B1231" s="136">
        <f t="shared" si="446"/>
        <v>32</v>
      </c>
      <c r="C1231" s="130"/>
      <c r="D1231" s="130"/>
      <c r="E1231" s="131" t="s">
        <v>670</v>
      </c>
      <c r="F1231" s="224" t="s">
        <v>472</v>
      </c>
      <c r="G1231" s="224"/>
      <c r="H1231" s="387">
        <f>SUM(H1232:H1235)</f>
        <v>130000</v>
      </c>
      <c r="I1231" s="387">
        <f t="shared" ref="I1231" si="452">SUM(I1232:I1235)</f>
        <v>0</v>
      </c>
      <c r="J1231" s="387">
        <f t="shared" si="443"/>
        <v>130000</v>
      </c>
      <c r="K1231" s="132"/>
      <c r="L1231" s="527"/>
      <c r="M1231" s="527"/>
      <c r="N1231" s="527"/>
      <c r="O1231" s="132"/>
      <c r="P1231" s="269">
        <f t="shared" si="440"/>
        <v>130000</v>
      </c>
      <c r="Q1231" s="269">
        <f t="shared" si="450"/>
        <v>0</v>
      </c>
      <c r="R1231" s="269">
        <f t="shared" si="450"/>
        <v>130000</v>
      </c>
    </row>
    <row r="1232" spans="2:18" x14ac:dyDescent="0.2">
      <c r="B1232" s="136">
        <f t="shared" si="446"/>
        <v>33</v>
      </c>
      <c r="C1232" s="130"/>
      <c r="D1232" s="130"/>
      <c r="E1232" s="157"/>
      <c r="F1232" s="134">
        <v>632</v>
      </c>
      <c r="G1232" s="194" t="s">
        <v>246</v>
      </c>
      <c r="H1232" s="527">
        <v>114000</v>
      </c>
      <c r="I1232" s="527"/>
      <c r="J1232" s="527">
        <f t="shared" si="443"/>
        <v>114000</v>
      </c>
      <c r="K1232" s="132"/>
      <c r="L1232" s="527"/>
      <c r="M1232" s="527"/>
      <c r="N1232" s="527"/>
      <c r="O1232" s="132"/>
      <c r="P1232" s="529">
        <f t="shared" si="440"/>
        <v>114000</v>
      </c>
      <c r="Q1232" s="529">
        <f t="shared" ref="Q1232:R1235" si="453">I1232+M1232</f>
        <v>0</v>
      </c>
      <c r="R1232" s="529">
        <f t="shared" si="453"/>
        <v>114000</v>
      </c>
    </row>
    <row r="1233" spans="2:18" x14ac:dyDescent="0.2">
      <c r="B1233" s="136">
        <f t="shared" si="446"/>
        <v>34</v>
      </c>
      <c r="C1233" s="130"/>
      <c r="D1233" s="130"/>
      <c r="E1233" s="157"/>
      <c r="F1233" s="134">
        <v>633</v>
      </c>
      <c r="G1233" s="194" t="s">
        <v>247</v>
      </c>
      <c r="H1233" s="527">
        <v>2500</v>
      </c>
      <c r="I1233" s="527"/>
      <c r="J1233" s="527">
        <f t="shared" si="443"/>
        <v>2500</v>
      </c>
      <c r="K1233" s="132"/>
      <c r="L1233" s="527"/>
      <c r="M1233" s="527"/>
      <c r="N1233" s="527"/>
      <c r="O1233" s="132"/>
      <c r="P1233" s="529">
        <f t="shared" si="440"/>
        <v>2500</v>
      </c>
      <c r="Q1233" s="529">
        <f t="shared" si="453"/>
        <v>0</v>
      </c>
      <c r="R1233" s="529">
        <f t="shared" si="453"/>
        <v>2500</v>
      </c>
    </row>
    <row r="1234" spans="2:18" x14ac:dyDescent="0.2">
      <c r="B1234" s="136">
        <f t="shared" si="446"/>
        <v>35</v>
      </c>
      <c r="C1234" s="130"/>
      <c r="D1234" s="130"/>
      <c r="E1234" s="157"/>
      <c r="F1234" s="134">
        <v>635</v>
      </c>
      <c r="G1234" s="194" t="s">
        <v>261</v>
      </c>
      <c r="H1234" s="527">
        <f>13500-3000</f>
        <v>10500</v>
      </c>
      <c r="I1234" s="527"/>
      <c r="J1234" s="527">
        <f t="shared" si="443"/>
        <v>10500</v>
      </c>
      <c r="K1234" s="132"/>
      <c r="L1234" s="527"/>
      <c r="M1234" s="527"/>
      <c r="N1234" s="527"/>
      <c r="O1234" s="132"/>
      <c r="P1234" s="529">
        <f t="shared" si="440"/>
        <v>10500</v>
      </c>
      <c r="Q1234" s="529">
        <f t="shared" si="453"/>
        <v>0</v>
      </c>
      <c r="R1234" s="529">
        <f t="shared" si="453"/>
        <v>10500</v>
      </c>
    </row>
    <row r="1235" spans="2:18" x14ac:dyDescent="0.2">
      <c r="B1235" s="136">
        <f t="shared" si="446"/>
        <v>36</v>
      </c>
      <c r="C1235" s="130"/>
      <c r="D1235" s="130"/>
      <c r="E1235" s="157"/>
      <c r="F1235" s="134">
        <v>637</v>
      </c>
      <c r="G1235" s="194" t="s">
        <v>248</v>
      </c>
      <c r="H1235" s="527">
        <v>3000</v>
      </c>
      <c r="I1235" s="527"/>
      <c r="J1235" s="527">
        <f t="shared" si="443"/>
        <v>3000</v>
      </c>
      <c r="K1235" s="132"/>
      <c r="L1235" s="527"/>
      <c r="M1235" s="527"/>
      <c r="N1235" s="527"/>
      <c r="O1235" s="132"/>
      <c r="P1235" s="529">
        <f t="shared" si="440"/>
        <v>3000</v>
      </c>
      <c r="Q1235" s="529">
        <f t="shared" si="453"/>
        <v>0</v>
      </c>
      <c r="R1235" s="529">
        <f t="shared" si="453"/>
        <v>3000</v>
      </c>
    </row>
    <row r="1236" spans="2:18" x14ac:dyDescent="0.2">
      <c r="B1236" s="136">
        <f t="shared" si="446"/>
        <v>37</v>
      </c>
      <c r="C1236" s="130"/>
      <c r="D1236" s="130"/>
      <c r="E1236" s="157"/>
      <c r="F1236" s="134"/>
      <c r="G1236" s="194"/>
      <c r="H1236" s="527"/>
      <c r="I1236" s="527"/>
      <c r="J1236" s="527"/>
      <c r="K1236" s="132"/>
      <c r="L1236" s="527"/>
      <c r="M1236" s="527"/>
      <c r="N1236" s="527"/>
      <c r="O1236" s="132"/>
      <c r="P1236" s="529"/>
      <c r="Q1236" s="529"/>
      <c r="R1236" s="529"/>
    </row>
    <row r="1237" spans="2:18" x14ac:dyDescent="0.2">
      <c r="B1237" s="136">
        <f t="shared" si="446"/>
        <v>38</v>
      </c>
      <c r="C1237" s="130"/>
      <c r="D1237" s="130"/>
      <c r="E1237" s="131" t="s">
        <v>670</v>
      </c>
      <c r="F1237" s="134">
        <v>637</v>
      </c>
      <c r="G1237" s="194" t="s">
        <v>303</v>
      </c>
      <c r="H1237" s="527">
        <v>1100</v>
      </c>
      <c r="I1237" s="527"/>
      <c r="J1237" s="527">
        <f t="shared" si="443"/>
        <v>1100</v>
      </c>
      <c r="K1237" s="132"/>
      <c r="L1237" s="527"/>
      <c r="M1237" s="527"/>
      <c r="N1237" s="527"/>
      <c r="O1237" s="132"/>
      <c r="P1237" s="529">
        <f t="shared" ref="P1237:P1244" si="454">H1237+L1237</f>
        <v>1100</v>
      </c>
      <c r="Q1237" s="529">
        <f t="shared" ref="Q1237:R1244" si="455">I1237+M1237</f>
        <v>0</v>
      </c>
      <c r="R1237" s="529">
        <f t="shared" si="455"/>
        <v>1100</v>
      </c>
    </row>
    <row r="1238" spans="2:18" x14ac:dyDescent="0.2">
      <c r="B1238" s="136">
        <f t="shared" si="446"/>
        <v>39</v>
      </c>
      <c r="C1238" s="130"/>
      <c r="D1238" s="130"/>
      <c r="E1238" s="131" t="s">
        <v>670</v>
      </c>
      <c r="F1238" s="134">
        <v>620</v>
      </c>
      <c r="G1238" s="366" t="s">
        <v>528</v>
      </c>
      <c r="H1238" s="527">
        <v>2400</v>
      </c>
      <c r="I1238" s="527"/>
      <c r="J1238" s="527">
        <f t="shared" si="443"/>
        <v>2400</v>
      </c>
      <c r="K1238" s="132"/>
      <c r="L1238" s="527"/>
      <c r="M1238" s="527"/>
      <c r="N1238" s="527"/>
      <c r="O1238" s="132"/>
      <c r="P1238" s="529">
        <f t="shared" si="454"/>
        <v>2400</v>
      </c>
      <c r="Q1238" s="529">
        <f t="shared" si="455"/>
        <v>0</v>
      </c>
      <c r="R1238" s="529">
        <f t="shared" si="455"/>
        <v>2400</v>
      </c>
    </row>
    <row r="1239" spans="2:18" x14ac:dyDescent="0.2">
      <c r="B1239" s="136">
        <f t="shared" si="446"/>
        <v>40</v>
      </c>
      <c r="C1239" s="130"/>
      <c r="D1239" s="130"/>
      <c r="E1239" s="131" t="s">
        <v>670</v>
      </c>
      <c r="F1239" s="364">
        <v>637</v>
      </c>
      <c r="G1239" s="366" t="s">
        <v>528</v>
      </c>
      <c r="H1239" s="527">
        <v>8900</v>
      </c>
      <c r="I1239" s="527"/>
      <c r="J1239" s="527">
        <f t="shared" si="443"/>
        <v>8900</v>
      </c>
      <c r="K1239" s="20"/>
      <c r="L1239" s="398"/>
      <c r="M1239" s="398"/>
      <c r="N1239" s="398"/>
      <c r="O1239" s="20"/>
      <c r="P1239" s="365">
        <f t="shared" si="454"/>
        <v>8900</v>
      </c>
      <c r="Q1239" s="365">
        <f t="shared" si="455"/>
        <v>0</v>
      </c>
      <c r="R1239" s="365">
        <f t="shared" si="455"/>
        <v>8900</v>
      </c>
    </row>
    <row r="1240" spans="2:18" x14ac:dyDescent="0.2">
      <c r="B1240" s="136">
        <f t="shared" si="446"/>
        <v>41</v>
      </c>
      <c r="C1240" s="130"/>
      <c r="D1240" s="130"/>
      <c r="E1240" s="131" t="s">
        <v>670</v>
      </c>
      <c r="F1240" s="364">
        <v>633</v>
      </c>
      <c r="G1240" s="366" t="s">
        <v>600</v>
      </c>
      <c r="H1240" s="527">
        <v>5000</v>
      </c>
      <c r="I1240" s="527"/>
      <c r="J1240" s="527">
        <f t="shared" si="443"/>
        <v>5000</v>
      </c>
      <c r="K1240" s="20"/>
      <c r="L1240" s="398"/>
      <c r="M1240" s="398"/>
      <c r="N1240" s="398"/>
      <c r="O1240" s="20"/>
      <c r="P1240" s="365">
        <f t="shared" si="454"/>
        <v>5000</v>
      </c>
      <c r="Q1240" s="365">
        <f t="shared" si="455"/>
        <v>0</v>
      </c>
      <c r="R1240" s="365">
        <f t="shared" si="455"/>
        <v>5000</v>
      </c>
    </row>
    <row r="1241" spans="2:18" x14ac:dyDescent="0.2">
      <c r="B1241" s="136">
        <f t="shared" si="446"/>
        <v>42</v>
      </c>
      <c r="C1241" s="130"/>
      <c r="D1241" s="130"/>
      <c r="E1241" s="131" t="s">
        <v>670</v>
      </c>
      <c r="F1241" s="364">
        <v>630</v>
      </c>
      <c r="G1241" s="366" t="s">
        <v>448</v>
      </c>
      <c r="H1241" s="527">
        <v>14200</v>
      </c>
      <c r="I1241" s="527"/>
      <c r="J1241" s="527">
        <f t="shared" si="443"/>
        <v>14200</v>
      </c>
      <c r="K1241" s="20"/>
      <c r="L1241" s="398"/>
      <c r="M1241" s="398"/>
      <c r="N1241" s="398"/>
      <c r="O1241" s="20"/>
      <c r="P1241" s="365">
        <f t="shared" si="454"/>
        <v>14200</v>
      </c>
      <c r="Q1241" s="365">
        <f t="shared" si="455"/>
        <v>0</v>
      </c>
      <c r="R1241" s="365">
        <f t="shared" si="455"/>
        <v>14200</v>
      </c>
    </row>
    <row r="1242" spans="2:18" x14ac:dyDescent="0.2">
      <c r="B1242" s="136">
        <f t="shared" si="446"/>
        <v>43</v>
      </c>
      <c r="C1242" s="179"/>
      <c r="D1242" s="179"/>
      <c r="E1242" s="306" t="s">
        <v>670</v>
      </c>
      <c r="F1242" s="843">
        <v>630</v>
      </c>
      <c r="G1242" s="842" t="s">
        <v>693</v>
      </c>
      <c r="H1242" s="528">
        <v>2000</v>
      </c>
      <c r="I1242" s="528"/>
      <c r="J1242" s="528">
        <f t="shared" si="443"/>
        <v>2000</v>
      </c>
      <c r="K1242" s="20"/>
      <c r="L1242" s="844"/>
      <c r="M1242" s="844"/>
      <c r="N1242" s="844"/>
      <c r="O1242" s="20"/>
      <c r="P1242" s="365">
        <f t="shared" si="454"/>
        <v>2000</v>
      </c>
      <c r="Q1242" s="365">
        <f t="shared" si="455"/>
        <v>0</v>
      </c>
      <c r="R1242" s="365">
        <f t="shared" si="455"/>
        <v>2000</v>
      </c>
    </row>
    <row r="1243" spans="2:18" x14ac:dyDescent="0.2">
      <c r="B1243" s="136">
        <f t="shared" si="446"/>
        <v>44</v>
      </c>
      <c r="C1243" s="525"/>
      <c r="D1243" s="525"/>
      <c r="E1243" s="290" t="s">
        <v>670</v>
      </c>
      <c r="F1243" s="541">
        <v>712</v>
      </c>
      <c r="G1243" s="845" t="s">
        <v>864</v>
      </c>
      <c r="H1243" s="527"/>
      <c r="I1243" s="527"/>
      <c r="J1243" s="527"/>
      <c r="K1243" s="846"/>
      <c r="L1243" s="398">
        <v>0</v>
      </c>
      <c r="M1243" s="398">
        <v>3200</v>
      </c>
      <c r="N1243" s="398">
        <f>M1243+L1243</f>
        <v>3200</v>
      </c>
      <c r="O1243" s="20"/>
      <c r="P1243" s="365">
        <f t="shared" ref="P1243" si="456">H1243+L1243</f>
        <v>0</v>
      </c>
      <c r="Q1243" s="365">
        <f t="shared" ref="Q1243" si="457">I1243+M1243</f>
        <v>3200</v>
      </c>
      <c r="R1243" s="365">
        <f t="shared" ref="R1243" si="458">J1243+N1243</f>
        <v>3200</v>
      </c>
    </row>
    <row r="1244" spans="2:18" ht="16.5" thickBot="1" x14ac:dyDescent="0.3">
      <c r="B1244" s="136">
        <f t="shared" si="446"/>
        <v>45</v>
      </c>
      <c r="C1244" s="27">
        <v>4</v>
      </c>
      <c r="D1244" s="197" t="s">
        <v>225</v>
      </c>
      <c r="E1244" s="28"/>
      <c r="F1244" s="28"/>
      <c r="G1244" s="196"/>
      <c r="H1244" s="412">
        <v>0</v>
      </c>
      <c r="I1244" s="412">
        <v>0</v>
      </c>
      <c r="J1244" s="412">
        <f t="shared" si="443"/>
        <v>0</v>
      </c>
      <c r="K1244" s="121"/>
      <c r="L1244" s="438">
        <v>18320</v>
      </c>
      <c r="M1244" s="438"/>
      <c r="N1244" s="438">
        <f t="shared" si="445"/>
        <v>18320</v>
      </c>
      <c r="O1244" s="121"/>
      <c r="P1244" s="439">
        <f t="shared" si="454"/>
        <v>18320</v>
      </c>
      <c r="Q1244" s="439">
        <f t="shared" si="455"/>
        <v>0</v>
      </c>
      <c r="R1244" s="439">
        <f t="shared" si="455"/>
        <v>18320</v>
      </c>
    </row>
    <row r="1247" spans="2:18" ht="27.75" thickBot="1" x14ac:dyDescent="0.4">
      <c r="B1247" s="246" t="s">
        <v>226</v>
      </c>
      <c r="C1247" s="246"/>
      <c r="D1247" s="246"/>
      <c r="E1247" s="246"/>
      <c r="F1247" s="246"/>
      <c r="G1247" s="246"/>
      <c r="H1247" s="246"/>
      <c r="I1247" s="246"/>
      <c r="J1247" s="246"/>
      <c r="K1247" s="246"/>
      <c r="L1247" s="246"/>
      <c r="M1247" s="246"/>
      <c r="N1247" s="246"/>
      <c r="O1247" s="246"/>
      <c r="P1247" s="246"/>
      <c r="Q1247" s="246"/>
      <c r="R1247" s="246"/>
    </row>
    <row r="1248" spans="2:18" ht="13.5" customHeight="1" thickBot="1" x14ac:dyDescent="0.25">
      <c r="B1248" s="905" t="s">
        <v>631</v>
      </c>
      <c r="C1248" s="906"/>
      <c r="D1248" s="906"/>
      <c r="E1248" s="906"/>
      <c r="F1248" s="906"/>
      <c r="G1248" s="906"/>
      <c r="H1248" s="906"/>
      <c r="I1248" s="906"/>
      <c r="J1248" s="906"/>
      <c r="K1248" s="906"/>
      <c r="L1248" s="906"/>
      <c r="M1248" s="906"/>
      <c r="N1248" s="907"/>
      <c r="O1248" s="120"/>
      <c r="P1248" s="895" t="s">
        <v>721</v>
      </c>
      <c r="Q1248" s="895" t="s">
        <v>860</v>
      </c>
      <c r="R1248" s="895" t="s">
        <v>721</v>
      </c>
    </row>
    <row r="1249" spans="2:18" ht="13.5" customHeight="1" thickTop="1" x14ac:dyDescent="0.2">
      <c r="B1249" s="506"/>
      <c r="C1249" s="898" t="s">
        <v>477</v>
      </c>
      <c r="D1249" s="898" t="s">
        <v>476</v>
      </c>
      <c r="E1249" s="898" t="s">
        <v>474</v>
      </c>
      <c r="F1249" s="898" t="s">
        <v>475</v>
      </c>
      <c r="G1249" s="508" t="s">
        <v>3</v>
      </c>
      <c r="H1249" s="900" t="s">
        <v>722</v>
      </c>
      <c r="I1249" s="904" t="s">
        <v>860</v>
      </c>
      <c r="J1249" s="904" t="s">
        <v>722</v>
      </c>
      <c r="L1249" s="902" t="s">
        <v>723</v>
      </c>
      <c r="M1249" s="902" t="s">
        <v>860</v>
      </c>
      <c r="N1249" s="902" t="s">
        <v>723</v>
      </c>
      <c r="P1249" s="896"/>
      <c r="Q1249" s="896"/>
      <c r="R1249" s="896"/>
    </row>
    <row r="1250" spans="2:18" ht="46.5" customHeight="1" thickBot="1" x14ac:dyDescent="0.25">
      <c r="B1250" s="510"/>
      <c r="C1250" s="899"/>
      <c r="D1250" s="899"/>
      <c r="E1250" s="899"/>
      <c r="F1250" s="899"/>
      <c r="G1250" s="509"/>
      <c r="H1250" s="901"/>
      <c r="I1250" s="901"/>
      <c r="J1250" s="901"/>
      <c r="L1250" s="903"/>
      <c r="M1250" s="903"/>
      <c r="N1250" s="903"/>
      <c r="P1250" s="897"/>
      <c r="Q1250" s="897"/>
      <c r="R1250" s="897"/>
    </row>
    <row r="1251" spans="2:18" ht="19.5" thickTop="1" thickBot="1" x14ac:dyDescent="0.25">
      <c r="B1251" s="171">
        <v>1</v>
      </c>
      <c r="C1251" s="125" t="s">
        <v>227</v>
      </c>
      <c r="D1251" s="111"/>
      <c r="E1251" s="111"/>
      <c r="F1251" s="111"/>
      <c r="G1251" s="201"/>
      <c r="H1251" s="409">
        <f>H1252+H1286+H1297+H1304+H1306+H1314</f>
        <v>3796996</v>
      </c>
      <c r="I1251" s="409">
        <f t="shared" ref="I1251" si="459">I1252+I1286+I1297+I1304+I1306+I1314</f>
        <v>0</v>
      </c>
      <c r="J1251" s="409">
        <f>H1251+I1251</f>
        <v>3796996</v>
      </c>
      <c r="K1251" s="113"/>
      <c r="L1251" s="405">
        <f>L1252+L1286+L1297+L1304+L1306+L1314</f>
        <v>92685</v>
      </c>
      <c r="M1251" s="405">
        <f t="shared" ref="M1251" si="460">M1252+M1286+M1297+M1304+M1306+M1314</f>
        <v>0</v>
      </c>
      <c r="N1251" s="405">
        <f>L1251+M1251</f>
        <v>92685</v>
      </c>
      <c r="O1251" s="113"/>
      <c r="P1251" s="372">
        <f t="shared" ref="P1251:P1281" si="461">H1251+L1251</f>
        <v>3889681</v>
      </c>
      <c r="Q1251" s="372">
        <f t="shared" ref="Q1251:R1266" si="462">I1251+M1251</f>
        <v>0</v>
      </c>
      <c r="R1251" s="372">
        <f t="shared" si="462"/>
        <v>3889681</v>
      </c>
    </row>
    <row r="1252" spans="2:18" ht="16.5" thickTop="1" x14ac:dyDescent="0.25">
      <c r="B1252" s="171">
        <f>B1251+1</f>
        <v>2</v>
      </c>
      <c r="C1252" s="23">
        <v>1</v>
      </c>
      <c r="D1252" s="127" t="s">
        <v>0</v>
      </c>
      <c r="E1252" s="24"/>
      <c r="F1252" s="24"/>
      <c r="G1252" s="193"/>
      <c r="H1252" s="410">
        <f>H1253+H1272+H1264+H1283</f>
        <v>496700</v>
      </c>
      <c r="I1252" s="410">
        <f t="shared" ref="I1252" si="463">I1253+I1272+I1264+I1283</f>
        <v>0</v>
      </c>
      <c r="J1252" s="410">
        <f t="shared" ref="J1252:J1315" si="464">H1252+I1252</f>
        <v>496700</v>
      </c>
      <c r="K1252" s="88"/>
      <c r="L1252" s="395">
        <f>SUM(L1256:L1285)</f>
        <v>3500</v>
      </c>
      <c r="M1252" s="395">
        <f t="shared" ref="M1252" si="465">SUM(M1256:M1285)</f>
        <v>0</v>
      </c>
      <c r="N1252" s="395">
        <f t="shared" ref="N1252:N1314" si="466">L1252+M1252</f>
        <v>3500</v>
      </c>
      <c r="O1252" s="88"/>
      <c r="P1252" s="373">
        <f t="shared" si="461"/>
        <v>500200</v>
      </c>
      <c r="Q1252" s="373">
        <f t="shared" si="462"/>
        <v>0</v>
      </c>
      <c r="R1252" s="373">
        <f t="shared" si="462"/>
        <v>500200</v>
      </c>
    </row>
    <row r="1253" spans="2:18" x14ac:dyDescent="0.2">
      <c r="B1253" s="171">
        <f t="shared" ref="B1253:B1316" si="467">B1252+1</f>
        <v>3</v>
      </c>
      <c r="C1253" s="143"/>
      <c r="D1253" s="155"/>
      <c r="E1253" s="156" t="s">
        <v>266</v>
      </c>
      <c r="F1253" s="224" t="s">
        <v>604</v>
      </c>
      <c r="G1253" s="224"/>
      <c r="H1253" s="387">
        <f>H1254+H1255+H1256+H1263</f>
        <v>47500</v>
      </c>
      <c r="I1253" s="387">
        <f t="shared" ref="I1253" si="468">I1254+I1255+I1256+I1263</f>
        <v>0</v>
      </c>
      <c r="J1253" s="387">
        <f t="shared" si="464"/>
        <v>47500</v>
      </c>
      <c r="K1253" s="145"/>
      <c r="L1253" s="396"/>
      <c r="M1253" s="396"/>
      <c r="N1253" s="396"/>
      <c r="O1253" s="145"/>
      <c r="P1253" s="166">
        <f t="shared" si="461"/>
        <v>47500</v>
      </c>
      <c r="Q1253" s="166">
        <f t="shared" si="462"/>
        <v>0</v>
      </c>
      <c r="R1253" s="166">
        <f t="shared" si="462"/>
        <v>47500</v>
      </c>
    </row>
    <row r="1254" spans="2:18" x14ac:dyDescent="0.2">
      <c r="B1254" s="171">
        <f t="shared" si="467"/>
        <v>4</v>
      </c>
      <c r="C1254" s="143"/>
      <c r="D1254" s="144"/>
      <c r="E1254" s="149"/>
      <c r="F1254" s="149">
        <v>610</v>
      </c>
      <c r="G1254" s="199" t="s">
        <v>257</v>
      </c>
      <c r="H1254" s="388">
        <v>23125</v>
      </c>
      <c r="I1254" s="388"/>
      <c r="J1254" s="388">
        <f t="shared" si="464"/>
        <v>23125</v>
      </c>
      <c r="K1254" s="145"/>
      <c r="L1254" s="396"/>
      <c r="M1254" s="396"/>
      <c r="N1254" s="396"/>
      <c r="O1254" s="145"/>
      <c r="P1254" s="166">
        <f t="shared" si="461"/>
        <v>23125</v>
      </c>
      <c r="Q1254" s="166">
        <f t="shared" si="462"/>
        <v>0</v>
      </c>
      <c r="R1254" s="166">
        <f t="shared" si="462"/>
        <v>23125</v>
      </c>
    </row>
    <row r="1255" spans="2:18" x14ac:dyDescent="0.2">
      <c r="B1255" s="171">
        <f t="shared" si="467"/>
        <v>5</v>
      </c>
      <c r="C1255" s="143"/>
      <c r="D1255" s="144"/>
      <c r="E1255" s="134"/>
      <c r="F1255" s="149">
        <v>620</v>
      </c>
      <c r="G1255" s="199" t="s">
        <v>259</v>
      </c>
      <c r="H1255" s="388">
        <v>8090</v>
      </c>
      <c r="I1255" s="388"/>
      <c r="J1255" s="388">
        <f t="shared" si="464"/>
        <v>8090</v>
      </c>
      <c r="K1255" s="145"/>
      <c r="L1255" s="396"/>
      <c r="M1255" s="396"/>
      <c r="N1255" s="396"/>
      <c r="O1255" s="145"/>
      <c r="P1255" s="166">
        <f t="shared" si="461"/>
        <v>8090</v>
      </c>
      <c r="Q1255" s="166">
        <f t="shared" si="462"/>
        <v>0</v>
      </c>
      <c r="R1255" s="166">
        <f t="shared" si="462"/>
        <v>8090</v>
      </c>
    </row>
    <row r="1256" spans="2:18" x14ac:dyDescent="0.2">
      <c r="B1256" s="171">
        <f t="shared" si="467"/>
        <v>6</v>
      </c>
      <c r="C1256" s="143"/>
      <c r="D1256" s="144"/>
      <c r="E1256" s="134"/>
      <c r="F1256" s="149">
        <v>630</v>
      </c>
      <c r="G1256" s="199" t="s">
        <v>249</v>
      </c>
      <c r="H1256" s="388">
        <f>SUM(H1257:H1262)</f>
        <v>15985</v>
      </c>
      <c r="I1256" s="388">
        <f t="shared" ref="I1256" si="469">SUM(I1257:I1262)</f>
        <v>0</v>
      </c>
      <c r="J1256" s="388">
        <f t="shared" si="464"/>
        <v>15985</v>
      </c>
      <c r="K1256" s="145"/>
      <c r="L1256" s="396"/>
      <c r="M1256" s="396"/>
      <c r="N1256" s="396"/>
      <c r="O1256" s="145"/>
      <c r="P1256" s="166">
        <f t="shared" si="461"/>
        <v>15985</v>
      </c>
      <c r="Q1256" s="166">
        <f t="shared" si="462"/>
        <v>0</v>
      </c>
      <c r="R1256" s="166">
        <f t="shared" si="462"/>
        <v>15985</v>
      </c>
    </row>
    <row r="1257" spans="2:18" x14ac:dyDescent="0.2">
      <c r="B1257" s="171">
        <f t="shared" si="467"/>
        <v>7</v>
      </c>
      <c r="C1257" s="143"/>
      <c r="D1257" s="144"/>
      <c r="E1257" s="134"/>
      <c r="F1257" s="134">
        <v>631</v>
      </c>
      <c r="G1257" s="194" t="s">
        <v>519</v>
      </c>
      <c r="H1257" s="527">
        <v>50</v>
      </c>
      <c r="I1257" s="527"/>
      <c r="J1257" s="527">
        <f t="shared" si="464"/>
        <v>50</v>
      </c>
      <c r="K1257" s="145"/>
      <c r="L1257" s="396"/>
      <c r="M1257" s="396"/>
      <c r="N1257" s="396"/>
      <c r="O1257" s="145"/>
      <c r="P1257" s="167">
        <f t="shared" si="461"/>
        <v>50</v>
      </c>
      <c r="Q1257" s="167">
        <f t="shared" si="462"/>
        <v>0</v>
      </c>
      <c r="R1257" s="167">
        <f t="shared" si="462"/>
        <v>50</v>
      </c>
    </row>
    <row r="1258" spans="2:18" x14ac:dyDescent="0.2">
      <c r="B1258" s="171">
        <f t="shared" si="467"/>
        <v>8</v>
      </c>
      <c r="C1258" s="143"/>
      <c r="D1258" s="144"/>
      <c r="E1258" s="134"/>
      <c r="F1258" s="134">
        <v>632</v>
      </c>
      <c r="G1258" s="194" t="s">
        <v>246</v>
      </c>
      <c r="H1258" s="527">
        <v>1825</v>
      </c>
      <c r="I1258" s="527"/>
      <c r="J1258" s="527">
        <f t="shared" si="464"/>
        <v>1825</v>
      </c>
      <c r="K1258" s="145"/>
      <c r="L1258" s="396"/>
      <c r="M1258" s="396"/>
      <c r="N1258" s="396"/>
      <c r="O1258" s="145"/>
      <c r="P1258" s="167">
        <f t="shared" si="461"/>
        <v>1825</v>
      </c>
      <c r="Q1258" s="167">
        <f t="shared" si="462"/>
        <v>0</v>
      </c>
      <c r="R1258" s="167">
        <f t="shared" si="462"/>
        <v>1825</v>
      </c>
    </row>
    <row r="1259" spans="2:18" x14ac:dyDescent="0.2">
      <c r="B1259" s="171">
        <f t="shared" si="467"/>
        <v>9</v>
      </c>
      <c r="C1259" s="143"/>
      <c r="D1259" s="144"/>
      <c r="E1259" s="134"/>
      <c r="F1259" s="134">
        <v>633</v>
      </c>
      <c r="G1259" s="194" t="s">
        <v>247</v>
      </c>
      <c r="H1259" s="527">
        <f>4600-110</f>
        <v>4490</v>
      </c>
      <c r="I1259" s="527"/>
      <c r="J1259" s="527">
        <f t="shared" si="464"/>
        <v>4490</v>
      </c>
      <c r="K1259" s="145"/>
      <c r="L1259" s="396"/>
      <c r="M1259" s="396"/>
      <c r="N1259" s="396"/>
      <c r="O1259" s="145"/>
      <c r="P1259" s="167">
        <f t="shared" si="461"/>
        <v>4490</v>
      </c>
      <c r="Q1259" s="167">
        <f t="shared" si="462"/>
        <v>0</v>
      </c>
      <c r="R1259" s="167">
        <f t="shared" si="462"/>
        <v>4490</v>
      </c>
    </row>
    <row r="1260" spans="2:18" x14ac:dyDescent="0.2">
      <c r="B1260" s="171">
        <f t="shared" si="467"/>
        <v>10</v>
      </c>
      <c r="C1260" s="143"/>
      <c r="D1260" s="144"/>
      <c r="E1260" s="134"/>
      <c r="F1260" s="134">
        <v>634</v>
      </c>
      <c r="G1260" s="194" t="s">
        <v>260</v>
      </c>
      <c r="H1260" s="527">
        <v>2470</v>
      </c>
      <c r="I1260" s="527"/>
      <c r="J1260" s="527">
        <f t="shared" si="464"/>
        <v>2470</v>
      </c>
      <c r="K1260" s="145"/>
      <c r="L1260" s="396"/>
      <c r="M1260" s="396"/>
      <c r="N1260" s="396"/>
      <c r="O1260" s="145"/>
      <c r="P1260" s="167">
        <f t="shared" si="461"/>
        <v>2470</v>
      </c>
      <c r="Q1260" s="167">
        <f t="shared" si="462"/>
        <v>0</v>
      </c>
      <c r="R1260" s="167">
        <f t="shared" si="462"/>
        <v>2470</v>
      </c>
    </row>
    <row r="1261" spans="2:18" x14ac:dyDescent="0.2">
      <c r="B1261" s="171">
        <f t="shared" si="467"/>
        <v>11</v>
      </c>
      <c r="C1261" s="143"/>
      <c r="D1261" s="144"/>
      <c r="E1261" s="144"/>
      <c r="F1261" s="134">
        <v>635</v>
      </c>
      <c r="G1261" s="194" t="s">
        <v>261</v>
      </c>
      <c r="H1261" s="527">
        <v>800</v>
      </c>
      <c r="I1261" s="527"/>
      <c r="J1261" s="527">
        <f t="shared" si="464"/>
        <v>800</v>
      </c>
      <c r="K1261" s="145"/>
      <c r="L1261" s="396"/>
      <c r="M1261" s="396"/>
      <c r="N1261" s="396"/>
      <c r="O1261" s="145"/>
      <c r="P1261" s="167">
        <f t="shared" si="461"/>
        <v>800</v>
      </c>
      <c r="Q1261" s="167">
        <f t="shared" si="462"/>
        <v>0</v>
      </c>
      <c r="R1261" s="167">
        <f t="shared" si="462"/>
        <v>800</v>
      </c>
    </row>
    <row r="1262" spans="2:18" x14ac:dyDescent="0.2">
      <c r="B1262" s="171">
        <f t="shared" si="467"/>
        <v>12</v>
      </c>
      <c r="C1262" s="143"/>
      <c r="D1262" s="144"/>
      <c r="E1262" s="144"/>
      <c r="F1262" s="134">
        <v>637</v>
      </c>
      <c r="G1262" s="194" t="s">
        <v>248</v>
      </c>
      <c r="H1262" s="398">
        <f>6850-500</f>
        <v>6350</v>
      </c>
      <c r="I1262" s="398"/>
      <c r="J1262" s="398">
        <f t="shared" si="464"/>
        <v>6350</v>
      </c>
      <c r="K1262" s="145"/>
      <c r="L1262" s="396"/>
      <c r="M1262" s="396"/>
      <c r="N1262" s="396"/>
      <c r="O1262" s="145"/>
      <c r="P1262" s="167">
        <f t="shared" si="461"/>
        <v>6350</v>
      </c>
      <c r="Q1262" s="167">
        <f t="shared" si="462"/>
        <v>0</v>
      </c>
      <c r="R1262" s="167">
        <f t="shared" si="462"/>
        <v>6350</v>
      </c>
    </row>
    <row r="1263" spans="2:18" x14ac:dyDescent="0.2">
      <c r="B1263" s="171">
        <f t="shared" si="467"/>
        <v>13</v>
      </c>
      <c r="C1263" s="143"/>
      <c r="D1263" s="144"/>
      <c r="E1263" s="144"/>
      <c r="F1263" s="154">
        <v>640</v>
      </c>
      <c r="G1263" s="199" t="s">
        <v>424</v>
      </c>
      <c r="H1263" s="494">
        <f>190+110</f>
        <v>300</v>
      </c>
      <c r="I1263" s="494"/>
      <c r="J1263" s="494">
        <f t="shared" si="464"/>
        <v>300</v>
      </c>
      <c r="K1263" s="132"/>
      <c r="L1263" s="396"/>
      <c r="M1263" s="396"/>
      <c r="N1263" s="396"/>
      <c r="O1263" s="145"/>
      <c r="P1263" s="166">
        <f t="shared" si="461"/>
        <v>300</v>
      </c>
      <c r="Q1263" s="166">
        <f t="shared" si="462"/>
        <v>0</v>
      </c>
      <c r="R1263" s="166">
        <f t="shared" si="462"/>
        <v>300</v>
      </c>
    </row>
    <row r="1264" spans="2:18" x14ac:dyDescent="0.2">
      <c r="B1264" s="171">
        <f t="shared" si="467"/>
        <v>14</v>
      </c>
      <c r="C1264" s="143"/>
      <c r="D1264" s="155"/>
      <c r="E1264" s="156" t="s">
        <v>266</v>
      </c>
      <c r="F1264" s="224" t="s">
        <v>630</v>
      </c>
      <c r="G1264" s="224"/>
      <c r="H1264" s="387">
        <f>SUM(H1265:H1266)</f>
        <v>26500</v>
      </c>
      <c r="I1264" s="387">
        <f t="shared" ref="I1264" si="470">SUM(I1265:I1266)</f>
        <v>0</v>
      </c>
      <c r="J1264" s="387">
        <f t="shared" si="464"/>
        <v>26500</v>
      </c>
      <c r="K1264" s="145"/>
      <c r="L1264" s="396"/>
      <c r="M1264" s="396"/>
      <c r="N1264" s="396"/>
      <c r="O1264" s="145"/>
      <c r="P1264" s="166">
        <f t="shared" si="461"/>
        <v>26500</v>
      </c>
      <c r="Q1264" s="166">
        <f t="shared" si="462"/>
        <v>0</v>
      </c>
      <c r="R1264" s="166">
        <f t="shared" si="462"/>
        <v>26500</v>
      </c>
    </row>
    <row r="1265" spans="2:18" x14ac:dyDescent="0.2">
      <c r="B1265" s="171">
        <f t="shared" si="467"/>
        <v>15</v>
      </c>
      <c r="C1265" s="143"/>
      <c r="D1265" s="176"/>
      <c r="E1265" s="364"/>
      <c r="F1265" s="149">
        <v>620</v>
      </c>
      <c r="G1265" s="199" t="s">
        <v>259</v>
      </c>
      <c r="H1265" s="494">
        <v>575</v>
      </c>
      <c r="I1265" s="494"/>
      <c r="J1265" s="494">
        <f t="shared" si="464"/>
        <v>575</v>
      </c>
      <c r="K1265" s="145"/>
      <c r="L1265" s="396"/>
      <c r="M1265" s="396"/>
      <c r="N1265" s="396"/>
      <c r="O1265" s="145"/>
      <c r="P1265" s="166">
        <f t="shared" si="461"/>
        <v>575</v>
      </c>
      <c r="Q1265" s="166">
        <f t="shared" si="462"/>
        <v>0</v>
      </c>
      <c r="R1265" s="166">
        <f t="shared" si="462"/>
        <v>575</v>
      </c>
    </row>
    <row r="1266" spans="2:18" x14ac:dyDescent="0.2">
      <c r="B1266" s="171">
        <f t="shared" si="467"/>
        <v>16</v>
      </c>
      <c r="C1266" s="143"/>
      <c r="D1266" s="144"/>
      <c r="E1266" s="144"/>
      <c r="F1266" s="149">
        <v>630</v>
      </c>
      <c r="G1266" s="199" t="s">
        <v>249</v>
      </c>
      <c r="H1266" s="494">
        <f>SUM(H1267:H1271)</f>
        <v>25925</v>
      </c>
      <c r="I1266" s="494"/>
      <c r="J1266" s="494">
        <f t="shared" si="464"/>
        <v>25925</v>
      </c>
      <c r="K1266" s="145"/>
      <c r="L1266" s="396"/>
      <c r="M1266" s="396"/>
      <c r="N1266" s="396"/>
      <c r="O1266" s="145"/>
      <c r="P1266" s="166">
        <f t="shared" si="461"/>
        <v>25925</v>
      </c>
      <c r="Q1266" s="166">
        <f t="shared" si="462"/>
        <v>0</v>
      </c>
      <c r="R1266" s="166">
        <f t="shared" si="462"/>
        <v>25925</v>
      </c>
    </row>
    <row r="1267" spans="2:18" x14ac:dyDescent="0.2">
      <c r="B1267" s="171">
        <f t="shared" si="467"/>
        <v>17</v>
      </c>
      <c r="C1267" s="143"/>
      <c r="D1267" s="144"/>
      <c r="E1267" s="144"/>
      <c r="F1267" s="134">
        <v>632</v>
      </c>
      <c r="G1267" s="194" t="s">
        <v>246</v>
      </c>
      <c r="H1267" s="398">
        <v>1525</v>
      </c>
      <c r="I1267" s="398"/>
      <c r="J1267" s="398">
        <f t="shared" si="464"/>
        <v>1525</v>
      </c>
      <c r="K1267" s="145"/>
      <c r="L1267" s="396"/>
      <c r="M1267" s="396"/>
      <c r="N1267" s="396"/>
      <c r="O1267" s="145"/>
      <c r="P1267" s="167">
        <f t="shared" si="461"/>
        <v>1525</v>
      </c>
      <c r="Q1267" s="167">
        <f t="shared" ref="Q1267:R1281" si="471">I1267+M1267</f>
        <v>0</v>
      </c>
      <c r="R1267" s="167">
        <f t="shared" si="471"/>
        <v>1525</v>
      </c>
    </row>
    <row r="1268" spans="2:18" x14ac:dyDescent="0.2">
      <c r="B1268" s="171">
        <f t="shared" si="467"/>
        <v>18</v>
      </c>
      <c r="C1268" s="143"/>
      <c r="D1268" s="144"/>
      <c r="E1268" s="144"/>
      <c r="F1268" s="134">
        <v>633</v>
      </c>
      <c r="G1268" s="194" t="s">
        <v>247</v>
      </c>
      <c r="H1268" s="398">
        <v>3000</v>
      </c>
      <c r="I1268" s="398"/>
      <c r="J1268" s="398">
        <f t="shared" si="464"/>
        <v>3000</v>
      </c>
      <c r="K1268" s="145"/>
      <c r="L1268" s="396"/>
      <c r="M1268" s="396"/>
      <c r="N1268" s="396"/>
      <c r="O1268" s="145"/>
      <c r="P1268" s="167">
        <f t="shared" si="461"/>
        <v>3000</v>
      </c>
      <c r="Q1268" s="167">
        <f t="shared" si="471"/>
        <v>0</v>
      </c>
      <c r="R1268" s="167">
        <f t="shared" si="471"/>
        <v>3000</v>
      </c>
    </row>
    <row r="1269" spans="2:18" x14ac:dyDescent="0.2">
      <c r="B1269" s="171">
        <f t="shared" si="467"/>
        <v>19</v>
      </c>
      <c r="C1269" s="143"/>
      <c r="D1269" s="144"/>
      <c r="E1269" s="144"/>
      <c r="F1269" s="134">
        <v>634</v>
      </c>
      <c r="G1269" s="194" t="s">
        <v>260</v>
      </c>
      <c r="H1269" s="398">
        <v>200</v>
      </c>
      <c r="I1269" s="398"/>
      <c r="J1269" s="398">
        <f t="shared" si="464"/>
        <v>200</v>
      </c>
      <c r="K1269" s="145"/>
      <c r="L1269" s="396"/>
      <c r="M1269" s="396"/>
      <c r="N1269" s="396"/>
      <c r="O1269" s="145"/>
      <c r="P1269" s="167">
        <f t="shared" si="461"/>
        <v>200</v>
      </c>
      <c r="Q1269" s="167">
        <f t="shared" si="471"/>
        <v>0</v>
      </c>
      <c r="R1269" s="167">
        <f t="shared" si="471"/>
        <v>200</v>
      </c>
    </row>
    <row r="1270" spans="2:18" x14ac:dyDescent="0.2">
      <c r="B1270" s="171">
        <f t="shared" si="467"/>
        <v>20</v>
      </c>
      <c r="C1270" s="143"/>
      <c r="D1270" s="144"/>
      <c r="E1270" s="144"/>
      <c r="F1270" s="134">
        <v>635</v>
      </c>
      <c r="G1270" s="194" t="s">
        <v>261</v>
      </c>
      <c r="H1270" s="398">
        <f>200+16500+3000</f>
        <v>19700</v>
      </c>
      <c r="I1270" s="398"/>
      <c r="J1270" s="398">
        <f t="shared" si="464"/>
        <v>19700</v>
      </c>
      <c r="K1270" s="145"/>
      <c r="L1270" s="396"/>
      <c r="M1270" s="396"/>
      <c r="N1270" s="396"/>
      <c r="O1270" s="145"/>
      <c r="P1270" s="167">
        <f t="shared" si="461"/>
        <v>19700</v>
      </c>
      <c r="Q1270" s="167">
        <f t="shared" si="471"/>
        <v>0</v>
      </c>
      <c r="R1270" s="167">
        <f t="shared" si="471"/>
        <v>19700</v>
      </c>
    </row>
    <row r="1271" spans="2:18" x14ac:dyDescent="0.2">
      <c r="B1271" s="171">
        <f t="shared" si="467"/>
        <v>21</v>
      </c>
      <c r="C1271" s="143"/>
      <c r="D1271" s="144"/>
      <c r="E1271" s="144"/>
      <c r="F1271" s="134">
        <v>637</v>
      </c>
      <c r="G1271" s="194" t="s">
        <v>248</v>
      </c>
      <c r="H1271" s="398">
        <f>2000-500</f>
        <v>1500</v>
      </c>
      <c r="I1271" s="398"/>
      <c r="J1271" s="398">
        <f t="shared" si="464"/>
        <v>1500</v>
      </c>
      <c r="K1271" s="145"/>
      <c r="L1271" s="396"/>
      <c r="M1271" s="396"/>
      <c r="N1271" s="396"/>
      <c r="O1271" s="145"/>
      <c r="P1271" s="167">
        <f t="shared" si="461"/>
        <v>1500</v>
      </c>
      <c r="Q1271" s="167">
        <f t="shared" si="471"/>
        <v>0</v>
      </c>
      <c r="R1271" s="167">
        <f t="shared" si="471"/>
        <v>1500</v>
      </c>
    </row>
    <row r="1272" spans="2:18" x14ac:dyDescent="0.2">
      <c r="B1272" s="171">
        <f t="shared" si="467"/>
        <v>22</v>
      </c>
      <c r="C1272" s="143"/>
      <c r="D1272" s="155"/>
      <c r="E1272" s="156" t="s">
        <v>241</v>
      </c>
      <c r="F1272" s="156"/>
      <c r="G1272" s="224" t="s">
        <v>449</v>
      </c>
      <c r="H1272" s="387">
        <f>H1273+H1274+H1275+H1281</f>
        <v>421200</v>
      </c>
      <c r="I1272" s="387">
        <f t="shared" ref="I1272" si="472">I1273+I1274+I1275+I1281</f>
        <v>0</v>
      </c>
      <c r="J1272" s="387">
        <f t="shared" si="464"/>
        <v>421200</v>
      </c>
      <c r="K1272" s="145"/>
      <c r="L1272" s="396"/>
      <c r="M1272" s="396"/>
      <c r="N1272" s="396"/>
      <c r="O1272" s="145"/>
      <c r="P1272" s="166">
        <f t="shared" si="461"/>
        <v>421200</v>
      </c>
      <c r="Q1272" s="166">
        <f t="shared" si="471"/>
        <v>0</v>
      </c>
      <c r="R1272" s="166">
        <f t="shared" si="471"/>
        <v>421200</v>
      </c>
    </row>
    <row r="1273" spans="2:18" x14ac:dyDescent="0.2">
      <c r="B1273" s="171">
        <f t="shared" si="467"/>
        <v>23</v>
      </c>
      <c r="C1273" s="143"/>
      <c r="D1273" s="144"/>
      <c r="E1273" s="144"/>
      <c r="F1273" s="149">
        <v>610</v>
      </c>
      <c r="G1273" s="199" t="s">
        <v>257</v>
      </c>
      <c r="H1273" s="494">
        <f>95000-36700</f>
        <v>58300</v>
      </c>
      <c r="I1273" s="494"/>
      <c r="J1273" s="494">
        <f t="shared" si="464"/>
        <v>58300</v>
      </c>
      <c r="K1273" s="145"/>
      <c r="L1273" s="396"/>
      <c r="M1273" s="396"/>
      <c r="N1273" s="396"/>
      <c r="O1273" s="145"/>
      <c r="P1273" s="166">
        <f t="shared" si="461"/>
        <v>58300</v>
      </c>
      <c r="Q1273" s="166">
        <f t="shared" si="471"/>
        <v>0</v>
      </c>
      <c r="R1273" s="166">
        <f t="shared" si="471"/>
        <v>58300</v>
      </c>
    </row>
    <row r="1274" spans="2:18" x14ac:dyDescent="0.2">
      <c r="B1274" s="171">
        <f t="shared" si="467"/>
        <v>24</v>
      </c>
      <c r="C1274" s="143"/>
      <c r="D1274" s="144"/>
      <c r="E1274" s="144"/>
      <c r="F1274" s="149">
        <v>620</v>
      </c>
      <c r="G1274" s="199" t="s">
        <v>259</v>
      </c>
      <c r="H1274" s="388">
        <f>60000+10100+21660</f>
        <v>91760</v>
      </c>
      <c r="I1274" s="388"/>
      <c r="J1274" s="388">
        <f t="shared" si="464"/>
        <v>91760</v>
      </c>
      <c r="K1274" s="145"/>
      <c r="L1274" s="396"/>
      <c r="M1274" s="396"/>
      <c r="N1274" s="396"/>
      <c r="O1274" s="145"/>
      <c r="P1274" s="166">
        <f t="shared" si="461"/>
        <v>91760</v>
      </c>
      <c r="Q1274" s="166">
        <f t="shared" si="471"/>
        <v>0</v>
      </c>
      <c r="R1274" s="166">
        <f t="shared" si="471"/>
        <v>91760</v>
      </c>
    </row>
    <row r="1275" spans="2:18" x14ac:dyDescent="0.2">
      <c r="B1275" s="171">
        <f t="shared" si="467"/>
        <v>25</v>
      </c>
      <c r="C1275" s="143"/>
      <c r="D1275" s="144"/>
      <c r="E1275" s="144"/>
      <c r="F1275" s="149">
        <v>630</v>
      </c>
      <c r="G1275" s="199" t="s">
        <v>249</v>
      </c>
      <c r="H1275" s="388">
        <f>SUM(H1276:H1280)</f>
        <v>270840</v>
      </c>
      <c r="I1275" s="388"/>
      <c r="J1275" s="388">
        <f t="shared" si="464"/>
        <v>270840</v>
      </c>
      <c r="K1275" s="145"/>
      <c r="L1275" s="396"/>
      <c r="M1275" s="396"/>
      <c r="N1275" s="396"/>
      <c r="O1275" s="145"/>
      <c r="P1275" s="166">
        <f t="shared" si="461"/>
        <v>270840</v>
      </c>
      <c r="Q1275" s="166">
        <f t="shared" si="471"/>
        <v>0</v>
      </c>
      <c r="R1275" s="166">
        <f t="shared" si="471"/>
        <v>270840</v>
      </c>
    </row>
    <row r="1276" spans="2:18" x14ac:dyDescent="0.2">
      <c r="B1276" s="171">
        <f t="shared" si="467"/>
        <v>26</v>
      </c>
      <c r="C1276" s="143"/>
      <c r="D1276" s="144"/>
      <c r="E1276" s="144"/>
      <c r="F1276" s="134">
        <v>633</v>
      </c>
      <c r="G1276" s="194" t="s">
        <v>247</v>
      </c>
      <c r="H1276" s="527">
        <f>29550-2800</f>
        <v>26750</v>
      </c>
      <c r="I1276" s="527"/>
      <c r="J1276" s="527">
        <f t="shared" si="464"/>
        <v>26750</v>
      </c>
      <c r="K1276" s="145"/>
      <c r="L1276" s="396"/>
      <c r="M1276" s="396"/>
      <c r="N1276" s="396"/>
      <c r="O1276" s="145"/>
      <c r="P1276" s="167">
        <f t="shared" si="461"/>
        <v>26750</v>
      </c>
      <c r="Q1276" s="167">
        <f t="shared" si="471"/>
        <v>0</v>
      </c>
      <c r="R1276" s="167">
        <f t="shared" si="471"/>
        <v>26750</v>
      </c>
    </row>
    <row r="1277" spans="2:18" x14ac:dyDescent="0.2">
      <c r="B1277" s="171">
        <f t="shared" si="467"/>
        <v>27</v>
      </c>
      <c r="C1277" s="143"/>
      <c r="D1277" s="144"/>
      <c r="E1277" s="144"/>
      <c r="F1277" s="134">
        <v>634</v>
      </c>
      <c r="G1277" s="194" t="s">
        <v>260</v>
      </c>
      <c r="H1277" s="527">
        <f>30000-9700</f>
        <v>20300</v>
      </c>
      <c r="I1277" s="527"/>
      <c r="J1277" s="527">
        <f t="shared" si="464"/>
        <v>20300</v>
      </c>
      <c r="K1277" s="145"/>
      <c r="L1277" s="396"/>
      <c r="M1277" s="396"/>
      <c r="N1277" s="396"/>
      <c r="O1277" s="145"/>
      <c r="P1277" s="167">
        <f t="shared" si="461"/>
        <v>20300</v>
      </c>
      <c r="Q1277" s="167">
        <f t="shared" si="471"/>
        <v>0</v>
      </c>
      <c r="R1277" s="167">
        <f t="shared" si="471"/>
        <v>20300</v>
      </c>
    </row>
    <row r="1278" spans="2:18" x14ac:dyDescent="0.2">
      <c r="B1278" s="171">
        <f t="shared" si="467"/>
        <v>28</v>
      </c>
      <c r="C1278" s="143"/>
      <c r="D1278" s="144"/>
      <c r="E1278" s="144"/>
      <c r="F1278" s="134">
        <v>635</v>
      </c>
      <c r="G1278" s="194" t="s">
        <v>261</v>
      </c>
      <c r="H1278" s="527">
        <f>50000-16500-20500-5000</f>
        <v>8000</v>
      </c>
      <c r="I1278" s="527"/>
      <c r="J1278" s="527">
        <f t="shared" si="464"/>
        <v>8000</v>
      </c>
      <c r="K1278" s="145"/>
      <c r="L1278" s="396"/>
      <c r="M1278" s="396"/>
      <c r="N1278" s="396"/>
      <c r="O1278" s="145"/>
      <c r="P1278" s="167">
        <f t="shared" si="461"/>
        <v>8000</v>
      </c>
      <c r="Q1278" s="167">
        <f t="shared" si="471"/>
        <v>0</v>
      </c>
      <c r="R1278" s="167">
        <f t="shared" si="471"/>
        <v>8000</v>
      </c>
    </row>
    <row r="1279" spans="2:18" x14ac:dyDescent="0.2">
      <c r="B1279" s="171">
        <f t="shared" si="467"/>
        <v>29</v>
      </c>
      <c r="C1279" s="143"/>
      <c r="D1279" s="144"/>
      <c r="E1279" s="144"/>
      <c r="F1279" s="134">
        <v>636</v>
      </c>
      <c r="G1279" s="194" t="s">
        <v>346</v>
      </c>
      <c r="H1279" s="527">
        <v>150</v>
      </c>
      <c r="I1279" s="527"/>
      <c r="J1279" s="527">
        <f t="shared" si="464"/>
        <v>150</v>
      </c>
      <c r="K1279" s="145"/>
      <c r="L1279" s="396"/>
      <c r="M1279" s="396"/>
      <c r="N1279" s="396"/>
      <c r="O1279" s="145"/>
      <c r="P1279" s="167">
        <f t="shared" si="461"/>
        <v>150</v>
      </c>
      <c r="Q1279" s="167">
        <f t="shared" si="471"/>
        <v>0</v>
      </c>
      <c r="R1279" s="167">
        <f t="shared" si="471"/>
        <v>150</v>
      </c>
    </row>
    <row r="1280" spans="2:18" x14ac:dyDescent="0.2">
      <c r="B1280" s="171">
        <f t="shared" si="467"/>
        <v>30</v>
      </c>
      <c r="C1280" s="143"/>
      <c r="D1280" s="144"/>
      <c r="E1280" s="144"/>
      <c r="F1280" s="134">
        <v>637</v>
      </c>
      <c r="G1280" s="194" t="s">
        <v>248</v>
      </c>
      <c r="H1280" s="527">
        <f>90000+59600+66040</f>
        <v>215640</v>
      </c>
      <c r="I1280" s="527"/>
      <c r="J1280" s="527">
        <f t="shared" si="464"/>
        <v>215640</v>
      </c>
      <c r="K1280" s="145"/>
      <c r="L1280" s="396"/>
      <c r="M1280" s="396"/>
      <c r="N1280" s="396"/>
      <c r="O1280" s="145"/>
      <c r="P1280" s="167">
        <f t="shared" si="461"/>
        <v>215640</v>
      </c>
      <c r="Q1280" s="167">
        <f t="shared" si="471"/>
        <v>0</v>
      </c>
      <c r="R1280" s="167">
        <f t="shared" si="471"/>
        <v>215640</v>
      </c>
    </row>
    <row r="1281" spans="2:18" x14ac:dyDescent="0.2">
      <c r="B1281" s="171">
        <f t="shared" si="467"/>
        <v>31</v>
      </c>
      <c r="C1281" s="143"/>
      <c r="D1281" s="144"/>
      <c r="E1281" s="144"/>
      <c r="F1281" s="149">
        <v>640</v>
      </c>
      <c r="G1281" s="199" t="s">
        <v>424</v>
      </c>
      <c r="H1281" s="388">
        <v>300</v>
      </c>
      <c r="I1281" s="388"/>
      <c r="J1281" s="388">
        <f t="shared" si="464"/>
        <v>300</v>
      </c>
      <c r="K1281" s="145"/>
      <c r="L1281" s="396"/>
      <c r="M1281" s="396"/>
      <c r="N1281" s="396"/>
      <c r="O1281" s="145"/>
      <c r="P1281" s="166">
        <f t="shared" si="461"/>
        <v>300</v>
      </c>
      <c r="Q1281" s="166">
        <f t="shared" si="471"/>
        <v>0</v>
      </c>
      <c r="R1281" s="166">
        <f t="shared" si="471"/>
        <v>300</v>
      </c>
    </row>
    <row r="1282" spans="2:18" x14ac:dyDescent="0.2">
      <c r="B1282" s="171">
        <f t="shared" si="467"/>
        <v>32</v>
      </c>
      <c r="C1282" s="130"/>
      <c r="D1282" s="131"/>
      <c r="E1282" s="131"/>
      <c r="F1282" s="131"/>
      <c r="G1282" s="194"/>
      <c r="H1282" s="527"/>
      <c r="I1282" s="527"/>
      <c r="J1282" s="527"/>
      <c r="K1282" s="132"/>
      <c r="L1282" s="396"/>
      <c r="M1282" s="396"/>
      <c r="N1282" s="396"/>
      <c r="O1282" s="132"/>
      <c r="P1282" s="167"/>
      <c r="Q1282" s="167"/>
      <c r="R1282" s="167"/>
    </row>
    <row r="1283" spans="2:18" x14ac:dyDescent="0.2">
      <c r="B1283" s="171">
        <f t="shared" si="467"/>
        <v>33</v>
      </c>
      <c r="C1283" s="130"/>
      <c r="D1283" s="131"/>
      <c r="E1283" s="131" t="s">
        <v>241</v>
      </c>
      <c r="F1283" s="131" t="s">
        <v>214</v>
      </c>
      <c r="G1283" s="714" t="s">
        <v>807</v>
      </c>
      <c r="H1283" s="715">
        <v>1500</v>
      </c>
      <c r="I1283" s="715"/>
      <c r="J1283" s="715">
        <f t="shared" si="464"/>
        <v>1500</v>
      </c>
      <c r="K1283" s="716"/>
      <c r="L1283" s="858"/>
      <c r="M1283" s="858"/>
      <c r="N1283" s="858"/>
      <c r="O1283" s="716"/>
      <c r="P1283" s="732">
        <f>H1283</f>
        <v>1500</v>
      </c>
      <c r="Q1283" s="732">
        <f t="shared" ref="Q1283:R1283" si="473">I1283</f>
        <v>0</v>
      </c>
      <c r="R1283" s="732">
        <f t="shared" si="473"/>
        <v>1500</v>
      </c>
    </row>
    <row r="1284" spans="2:18" ht="24" x14ac:dyDescent="0.2">
      <c r="B1284" s="171">
        <f t="shared" si="467"/>
        <v>34</v>
      </c>
      <c r="C1284" s="130"/>
      <c r="D1284" s="131"/>
      <c r="E1284" s="839" t="s">
        <v>241</v>
      </c>
      <c r="F1284" s="839" t="s">
        <v>321</v>
      </c>
      <c r="G1284" s="840" t="s">
        <v>806</v>
      </c>
      <c r="H1284" s="715"/>
      <c r="I1284" s="715"/>
      <c r="J1284" s="838">
        <f t="shared" si="464"/>
        <v>0</v>
      </c>
      <c r="K1284" s="716"/>
      <c r="L1284" s="874">
        <v>3500</v>
      </c>
      <c r="M1284" s="874"/>
      <c r="N1284" s="874">
        <f t="shared" si="466"/>
        <v>3500</v>
      </c>
      <c r="O1284" s="741"/>
      <c r="P1284" s="742">
        <f>L1284</f>
        <v>3500</v>
      </c>
      <c r="Q1284" s="742">
        <f t="shared" ref="Q1284:R1284" si="474">M1284</f>
        <v>0</v>
      </c>
      <c r="R1284" s="742">
        <f t="shared" si="474"/>
        <v>3500</v>
      </c>
    </row>
    <row r="1285" spans="2:18" x14ac:dyDescent="0.2">
      <c r="B1285" s="171">
        <f t="shared" si="467"/>
        <v>35</v>
      </c>
      <c r="C1285" s="130"/>
      <c r="D1285" s="131"/>
      <c r="E1285" s="131"/>
      <c r="F1285" s="131"/>
      <c r="G1285" s="194"/>
      <c r="H1285" s="527"/>
      <c r="I1285" s="527"/>
      <c r="J1285" s="527"/>
      <c r="K1285" s="132"/>
      <c r="L1285" s="396"/>
      <c r="M1285" s="396"/>
      <c r="N1285" s="396"/>
      <c r="O1285" s="132"/>
      <c r="P1285" s="167"/>
      <c r="Q1285" s="167"/>
      <c r="R1285" s="167"/>
    </row>
    <row r="1286" spans="2:18" ht="15.75" x14ac:dyDescent="0.25">
      <c r="B1286" s="171">
        <f t="shared" si="467"/>
        <v>36</v>
      </c>
      <c r="C1286" s="21">
        <v>2</v>
      </c>
      <c r="D1286" s="126" t="s">
        <v>167</v>
      </c>
      <c r="E1286" s="22"/>
      <c r="F1286" s="22"/>
      <c r="G1286" s="195"/>
      <c r="H1286" s="411">
        <f>H1287+H1293</f>
        <v>3059001</v>
      </c>
      <c r="I1286" s="411">
        <f t="shared" ref="I1286" si="475">I1287+I1293</f>
        <v>0</v>
      </c>
      <c r="J1286" s="411">
        <f t="shared" si="464"/>
        <v>3059001</v>
      </c>
      <c r="K1286" s="112"/>
      <c r="L1286" s="397">
        <f>L1287+L1293</f>
        <v>89185</v>
      </c>
      <c r="M1286" s="397">
        <f t="shared" ref="M1286" si="476">M1287+M1293</f>
        <v>0</v>
      </c>
      <c r="N1286" s="397">
        <f t="shared" si="466"/>
        <v>89185</v>
      </c>
      <c r="O1286" s="112"/>
      <c r="P1286" s="374">
        <f t="shared" ref="P1286:P1291" si="477">H1286+L1286</f>
        <v>3148186</v>
      </c>
      <c r="Q1286" s="374">
        <f t="shared" ref="Q1286:R1292" si="478">I1286+M1286</f>
        <v>0</v>
      </c>
      <c r="R1286" s="374">
        <f t="shared" si="478"/>
        <v>3148186</v>
      </c>
    </row>
    <row r="1287" spans="2:18" x14ac:dyDescent="0.2">
      <c r="B1287" s="171">
        <f t="shared" si="467"/>
        <v>37</v>
      </c>
      <c r="C1287" s="76"/>
      <c r="D1287" s="177" t="s">
        <v>4</v>
      </c>
      <c r="E1287" s="230"/>
      <c r="F1287" s="230" t="s">
        <v>162</v>
      </c>
      <c r="G1287" s="231"/>
      <c r="H1287" s="387">
        <f>SUM(H1288:H1291)</f>
        <v>3056701</v>
      </c>
      <c r="I1287" s="387">
        <f t="shared" ref="I1287" si="479">SUM(I1288:I1291)</f>
        <v>0</v>
      </c>
      <c r="J1287" s="387">
        <f t="shared" si="464"/>
        <v>3056701</v>
      </c>
      <c r="K1287" s="20"/>
      <c r="L1287" s="528">
        <f>L1292</f>
        <v>950</v>
      </c>
      <c r="M1287" s="528"/>
      <c r="N1287" s="528">
        <f t="shared" si="466"/>
        <v>950</v>
      </c>
      <c r="O1287" s="20"/>
      <c r="P1287" s="166">
        <f t="shared" si="477"/>
        <v>3057651</v>
      </c>
      <c r="Q1287" s="166">
        <f t="shared" si="478"/>
        <v>0</v>
      </c>
      <c r="R1287" s="166">
        <f t="shared" si="478"/>
        <v>3057651</v>
      </c>
    </row>
    <row r="1288" spans="2:18" x14ac:dyDescent="0.2">
      <c r="B1288" s="171">
        <f t="shared" si="467"/>
        <v>38</v>
      </c>
      <c r="C1288" s="130"/>
      <c r="D1288" s="130"/>
      <c r="E1288" s="134" t="s">
        <v>268</v>
      </c>
      <c r="F1288" s="134">
        <v>637</v>
      </c>
      <c r="G1288" s="194" t="s">
        <v>649</v>
      </c>
      <c r="H1288" s="527">
        <f>540000-46000+11200</f>
        <v>505200</v>
      </c>
      <c r="I1288" s="527"/>
      <c r="J1288" s="527">
        <f t="shared" si="464"/>
        <v>505200</v>
      </c>
      <c r="K1288" s="132"/>
      <c r="L1288" s="527"/>
      <c r="M1288" s="527"/>
      <c r="N1288" s="527"/>
      <c r="O1288" s="132"/>
      <c r="P1288" s="168">
        <f t="shared" si="477"/>
        <v>505200</v>
      </c>
      <c r="Q1288" s="168">
        <f t="shared" si="478"/>
        <v>0</v>
      </c>
      <c r="R1288" s="168">
        <f t="shared" si="478"/>
        <v>505200</v>
      </c>
    </row>
    <row r="1289" spans="2:18" x14ac:dyDescent="0.2">
      <c r="B1289" s="171">
        <f t="shared" si="467"/>
        <v>39</v>
      </c>
      <c r="C1289" s="130"/>
      <c r="D1289" s="130"/>
      <c r="E1289" s="134" t="s">
        <v>268</v>
      </c>
      <c r="F1289" s="134">
        <v>637</v>
      </c>
      <c r="G1289" s="194" t="s">
        <v>839</v>
      </c>
      <c r="H1289" s="398">
        <f>2630000-1500-33717-1150-64432-29200</f>
        <v>2500001</v>
      </c>
      <c r="I1289" s="398"/>
      <c r="J1289" s="398">
        <f t="shared" si="464"/>
        <v>2500001</v>
      </c>
      <c r="K1289" s="132"/>
      <c r="L1289" s="527"/>
      <c r="M1289" s="527"/>
      <c r="N1289" s="527"/>
      <c r="O1289" s="132"/>
      <c r="P1289" s="168">
        <f t="shared" si="477"/>
        <v>2500001</v>
      </c>
      <c r="Q1289" s="168">
        <f t="shared" si="478"/>
        <v>0</v>
      </c>
      <c r="R1289" s="168">
        <f t="shared" si="478"/>
        <v>2500001</v>
      </c>
    </row>
    <row r="1290" spans="2:18" x14ac:dyDescent="0.2">
      <c r="B1290" s="171">
        <f t="shared" si="467"/>
        <v>40</v>
      </c>
      <c r="C1290" s="130"/>
      <c r="D1290" s="130"/>
      <c r="E1290" s="134" t="s">
        <v>268</v>
      </c>
      <c r="F1290" s="134">
        <v>637</v>
      </c>
      <c r="G1290" s="194" t="s">
        <v>650</v>
      </c>
      <c r="H1290" s="527">
        <f>50000-1500</f>
        <v>48500</v>
      </c>
      <c r="I1290" s="527"/>
      <c r="J1290" s="527">
        <f t="shared" si="464"/>
        <v>48500</v>
      </c>
      <c r="K1290" s="132"/>
      <c r="L1290" s="527"/>
      <c r="M1290" s="527"/>
      <c r="N1290" s="527"/>
      <c r="O1290" s="132"/>
      <c r="P1290" s="168">
        <f t="shared" si="477"/>
        <v>48500</v>
      </c>
      <c r="Q1290" s="168">
        <f>I1290+M1290</f>
        <v>0</v>
      </c>
      <c r="R1290" s="168">
        <f t="shared" si="478"/>
        <v>48500</v>
      </c>
    </row>
    <row r="1291" spans="2:18" x14ac:dyDescent="0.2">
      <c r="B1291" s="171">
        <f t="shared" si="467"/>
        <v>41</v>
      </c>
      <c r="C1291" s="130"/>
      <c r="D1291" s="130"/>
      <c r="E1291" s="161" t="s">
        <v>268</v>
      </c>
      <c r="F1291" s="161">
        <v>637</v>
      </c>
      <c r="G1291" s="194" t="s">
        <v>731</v>
      </c>
      <c r="H1291" s="527">
        <f>6000-3000</f>
        <v>3000</v>
      </c>
      <c r="I1291" s="527"/>
      <c r="J1291" s="527">
        <f t="shared" si="464"/>
        <v>3000</v>
      </c>
      <c r="K1291" s="132"/>
      <c r="L1291" s="528"/>
      <c r="M1291" s="528"/>
      <c r="N1291" s="528"/>
      <c r="O1291" s="132"/>
      <c r="P1291" s="168">
        <f t="shared" si="477"/>
        <v>3000</v>
      </c>
      <c r="Q1291" s="168">
        <f t="shared" si="478"/>
        <v>0</v>
      </c>
      <c r="R1291" s="168">
        <f t="shared" si="478"/>
        <v>3000</v>
      </c>
    </row>
    <row r="1292" spans="2:18" x14ac:dyDescent="0.2">
      <c r="B1292" s="171">
        <f t="shared" si="467"/>
        <v>42</v>
      </c>
      <c r="C1292" s="130"/>
      <c r="D1292" s="130"/>
      <c r="E1292" s="161" t="s">
        <v>268</v>
      </c>
      <c r="F1292" s="161">
        <v>717</v>
      </c>
      <c r="G1292" s="194" t="s">
        <v>827</v>
      </c>
      <c r="H1292" s="527"/>
      <c r="I1292" s="527"/>
      <c r="J1292" s="527"/>
      <c r="K1292" s="132"/>
      <c r="L1292" s="528">
        <v>950</v>
      </c>
      <c r="M1292" s="528"/>
      <c r="N1292" s="528">
        <f t="shared" si="466"/>
        <v>950</v>
      </c>
      <c r="O1292" s="132"/>
      <c r="P1292" s="167">
        <v>950</v>
      </c>
      <c r="Q1292" s="168">
        <f t="shared" si="478"/>
        <v>0</v>
      </c>
      <c r="R1292" s="167">
        <v>952</v>
      </c>
    </row>
    <row r="1293" spans="2:18" x14ac:dyDescent="0.2">
      <c r="B1293" s="171">
        <f t="shared" si="467"/>
        <v>43</v>
      </c>
      <c r="C1293" s="76"/>
      <c r="D1293" s="177" t="s">
        <v>5</v>
      </c>
      <c r="E1293" s="230"/>
      <c r="F1293" s="230" t="s">
        <v>105</v>
      </c>
      <c r="G1293" s="231"/>
      <c r="H1293" s="387">
        <f>H1294</f>
        <v>2300</v>
      </c>
      <c r="I1293" s="387">
        <f t="shared" ref="I1293" si="480">I1294</f>
        <v>0</v>
      </c>
      <c r="J1293" s="387">
        <f t="shared" si="464"/>
        <v>2300</v>
      </c>
      <c r="K1293" s="20"/>
      <c r="L1293" s="528">
        <f>SUM(L1294:L1296)</f>
        <v>88235</v>
      </c>
      <c r="M1293" s="528"/>
      <c r="N1293" s="528">
        <f t="shared" si="466"/>
        <v>88235</v>
      </c>
      <c r="O1293" s="20"/>
      <c r="P1293" s="166">
        <f t="shared" ref="P1293:P1325" si="481">H1293+L1293</f>
        <v>90535</v>
      </c>
      <c r="Q1293" s="166">
        <f t="shared" ref="Q1293:R1308" si="482">I1293+M1293</f>
        <v>0</v>
      </c>
      <c r="R1293" s="166">
        <f t="shared" si="482"/>
        <v>90535</v>
      </c>
    </row>
    <row r="1294" spans="2:18" x14ac:dyDescent="0.2">
      <c r="B1294" s="171">
        <f t="shared" si="467"/>
        <v>44</v>
      </c>
      <c r="C1294" s="130"/>
      <c r="D1294" s="130"/>
      <c r="E1294" s="134" t="s">
        <v>268</v>
      </c>
      <c r="F1294" s="134">
        <v>637</v>
      </c>
      <c r="G1294" s="194" t="s">
        <v>269</v>
      </c>
      <c r="H1294" s="527">
        <v>2300</v>
      </c>
      <c r="I1294" s="527"/>
      <c r="J1294" s="527">
        <f t="shared" si="464"/>
        <v>2300</v>
      </c>
      <c r="K1294" s="132"/>
      <c r="L1294" s="527"/>
      <c r="M1294" s="527"/>
      <c r="N1294" s="527"/>
      <c r="O1294" s="132"/>
      <c r="P1294" s="168">
        <f t="shared" si="481"/>
        <v>2300</v>
      </c>
      <c r="Q1294" s="168">
        <f t="shared" si="482"/>
        <v>0</v>
      </c>
      <c r="R1294" s="168">
        <f t="shared" si="482"/>
        <v>2300</v>
      </c>
    </row>
    <row r="1295" spans="2:18" x14ac:dyDescent="0.2">
      <c r="B1295" s="171">
        <f t="shared" si="467"/>
        <v>45</v>
      </c>
      <c r="C1295" s="130"/>
      <c r="D1295" s="159"/>
      <c r="E1295" s="134" t="s">
        <v>268</v>
      </c>
      <c r="F1295" s="134">
        <v>717</v>
      </c>
      <c r="G1295" s="194" t="s">
        <v>433</v>
      </c>
      <c r="H1295" s="382"/>
      <c r="I1295" s="382"/>
      <c r="J1295" s="382">
        <f t="shared" si="464"/>
        <v>0</v>
      </c>
      <c r="K1295" s="132"/>
      <c r="L1295" s="382">
        <v>65060</v>
      </c>
      <c r="M1295" s="382"/>
      <c r="N1295" s="382">
        <f t="shared" si="466"/>
        <v>65060</v>
      </c>
      <c r="O1295" s="132"/>
      <c r="P1295" s="213">
        <f t="shared" si="481"/>
        <v>65060</v>
      </c>
      <c r="Q1295" s="213">
        <f t="shared" si="482"/>
        <v>0</v>
      </c>
      <c r="R1295" s="213">
        <f t="shared" si="482"/>
        <v>65060</v>
      </c>
    </row>
    <row r="1296" spans="2:18" ht="22.5" x14ac:dyDescent="0.2">
      <c r="B1296" s="171">
        <f t="shared" si="467"/>
        <v>46</v>
      </c>
      <c r="C1296" s="454"/>
      <c r="D1296" s="464"/>
      <c r="E1296" s="451" t="s">
        <v>268</v>
      </c>
      <c r="F1296" s="451">
        <v>717</v>
      </c>
      <c r="G1296" s="450" t="s">
        <v>580</v>
      </c>
      <c r="H1296" s="465"/>
      <c r="I1296" s="465"/>
      <c r="J1296" s="465">
        <f t="shared" si="464"/>
        <v>0</v>
      </c>
      <c r="K1296" s="448"/>
      <c r="L1296" s="465">
        <v>23175</v>
      </c>
      <c r="M1296" s="465"/>
      <c r="N1296" s="465">
        <f t="shared" si="466"/>
        <v>23175</v>
      </c>
      <c r="O1296" s="448"/>
      <c r="P1296" s="466">
        <f t="shared" si="481"/>
        <v>23175</v>
      </c>
      <c r="Q1296" s="466">
        <f t="shared" si="482"/>
        <v>0</v>
      </c>
      <c r="R1296" s="466">
        <f t="shared" si="482"/>
        <v>23175</v>
      </c>
    </row>
    <row r="1297" spans="2:18" ht="15.75" x14ac:dyDescent="0.25">
      <c r="B1297" s="171">
        <f t="shared" si="467"/>
        <v>47</v>
      </c>
      <c r="C1297" s="23">
        <v>3</v>
      </c>
      <c r="D1297" s="127" t="s">
        <v>144</v>
      </c>
      <c r="E1297" s="24"/>
      <c r="F1297" s="24"/>
      <c r="G1297" s="193"/>
      <c r="H1297" s="414">
        <f>SUM(H1298:H1303)</f>
        <v>16650</v>
      </c>
      <c r="I1297" s="414">
        <f t="shared" ref="I1297" si="483">SUM(I1298:I1303)</f>
        <v>0</v>
      </c>
      <c r="J1297" s="414">
        <f t="shared" si="464"/>
        <v>16650</v>
      </c>
      <c r="K1297" s="88"/>
      <c r="L1297" s="875">
        <f>SUM(L1298:L1299)</f>
        <v>0</v>
      </c>
      <c r="M1297" s="875">
        <f t="shared" ref="M1297" si="484">SUM(M1298:M1299)</f>
        <v>0</v>
      </c>
      <c r="N1297" s="875">
        <f t="shared" si="466"/>
        <v>0</v>
      </c>
      <c r="O1297" s="88"/>
      <c r="P1297" s="373">
        <f t="shared" si="481"/>
        <v>16650</v>
      </c>
      <c r="Q1297" s="373">
        <f t="shared" si="482"/>
        <v>0</v>
      </c>
      <c r="R1297" s="373">
        <f t="shared" si="482"/>
        <v>16650</v>
      </c>
    </row>
    <row r="1298" spans="2:18" x14ac:dyDescent="0.2">
      <c r="B1298" s="171">
        <f t="shared" si="467"/>
        <v>48</v>
      </c>
      <c r="C1298" s="135"/>
      <c r="D1298" s="135"/>
      <c r="E1298" s="525" t="s">
        <v>270</v>
      </c>
      <c r="F1298" s="525">
        <v>637</v>
      </c>
      <c r="G1298" s="202" t="s">
        <v>271</v>
      </c>
      <c r="H1298" s="527">
        <v>7000</v>
      </c>
      <c r="I1298" s="527"/>
      <c r="J1298" s="527">
        <f t="shared" si="464"/>
        <v>7000</v>
      </c>
      <c r="K1298" s="132"/>
      <c r="L1298" s="527"/>
      <c r="M1298" s="527"/>
      <c r="N1298" s="527"/>
      <c r="O1298" s="132"/>
      <c r="P1298" s="168">
        <f t="shared" si="481"/>
        <v>7000</v>
      </c>
      <c r="Q1298" s="168">
        <f t="shared" si="482"/>
        <v>0</v>
      </c>
      <c r="R1298" s="168">
        <f t="shared" si="482"/>
        <v>7000</v>
      </c>
    </row>
    <row r="1299" spans="2:18" x14ac:dyDescent="0.2">
      <c r="B1299" s="171">
        <f t="shared" si="467"/>
        <v>49</v>
      </c>
      <c r="C1299" s="130"/>
      <c r="D1299" s="130"/>
      <c r="E1299" s="525" t="s">
        <v>270</v>
      </c>
      <c r="F1299" s="134">
        <v>633</v>
      </c>
      <c r="G1299" s="194" t="s">
        <v>500</v>
      </c>
      <c r="H1299" s="527">
        <v>100</v>
      </c>
      <c r="I1299" s="527"/>
      <c r="J1299" s="527">
        <f t="shared" si="464"/>
        <v>100</v>
      </c>
      <c r="K1299" s="132"/>
      <c r="L1299" s="527"/>
      <c r="M1299" s="527"/>
      <c r="N1299" s="527"/>
      <c r="O1299" s="132"/>
      <c r="P1299" s="168">
        <f t="shared" si="481"/>
        <v>100</v>
      </c>
      <c r="Q1299" s="168">
        <f t="shared" si="482"/>
        <v>0</v>
      </c>
      <c r="R1299" s="168">
        <f t="shared" si="482"/>
        <v>100</v>
      </c>
    </row>
    <row r="1300" spans="2:18" x14ac:dyDescent="0.2">
      <c r="B1300" s="171">
        <f t="shared" si="467"/>
        <v>50</v>
      </c>
      <c r="C1300" s="130"/>
      <c r="D1300" s="159"/>
      <c r="E1300" s="525" t="s">
        <v>270</v>
      </c>
      <c r="F1300" s="525">
        <v>637</v>
      </c>
      <c r="G1300" s="194" t="s">
        <v>544</v>
      </c>
      <c r="H1300" s="382">
        <v>900</v>
      </c>
      <c r="I1300" s="382"/>
      <c r="J1300" s="382">
        <f t="shared" si="464"/>
        <v>900</v>
      </c>
      <c r="K1300" s="132"/>
      <c r="L1300" s="382"/>
      <c r="M1300" s="382"/>
      <c r="N1300" s="382"/>
      <c r="O1300" s="132"/>
      <c r="P1300" s="213">
        <f t="shared" si="481"/>
        <v>900</v>
      </c>
      <c r="Q1300" s="213">
        <f t="shared" si="482"/>
        <v>0</v>
      </c>
      <c r="R1300" s="213">
        <f t="shared" si="482"/>
        <v>900</v>
      </c>
    </row>
    <row r="1301" spans="2:18" x14ac:dyDescent="0.2">
      <c r="B1301" s="171">
        <f t="shared" si="467"/>
        <v>51</v>
      </c>
      <c r="C1301" s="130"/>
      <c r="D1301" s="159"/>
      <c r="E1301" s="525" t="s">
        <v>270</v>
      </c>
      <c r="F1301" s="525">
        <v>637</v>
      </c>
      <c r="G1301" s="194" t="s">
        <v>829</v>
      </c>
      <c r="H1301" s="382">
        <v>1150</v>
      </c>
      <c r="I1301" s="382"/>
      <c r="J1301" s="382">
        <f t="shared" si="464"/>
        <v>1150</v>
      </c>
      <c r="K1301" s="132"/>
      <c r="L1301" s="382"/>
      <c r="M1301" s="382"/>
      <c r="N1301" s="382"/>
      <c r="O1301" s="132"/>
      <c r="P1301" s="213">
        <f t="shared" si="481"/>
        <v>1150</v>
      </c>
      <c r="Q1301" s="213">
        <f t="shared" si="482"/>
        <v>0</v>
      </c>
      <c r="R1301" s="213">
        <f t="shared" si="482"/>
        <v>1150</v>
      </c>
    </row>
    <row r="1302" spans="2:18" ht="36" x14ac:dyDescent="0.2">
      <c r="B1302" s="171">
        <f t="shared" si="467"/>
        <v>52</v>
      </c>
      <c r="C1302" s="454"/>
      <c r="D1302" s="464"/>
      <c r="E1302" s="458" t="s">
        <v>276</v>
      </c>
      <c r="F1302" s="458">
        <v>640</v>
      </c>
      <c r="G1302" s="496" t="s">
        <v>843</v>
      </c>
      <c r="H1302" s="465">
        <v>2500</v>
      </c>
      <c r="I1302" s="465"/>
      <c r="J1302" s="465">
        <f t="shared" si="464"/>
        <v>2500</v>
      </c>
      <c r="K1302" s="448"/>
      <c r="L1302" s="465"/>
      <c r="M1302" s="465"/>
      <c r="N1302" s="465"/>
      <c r="O1302" s="448"/>
      <c r="P1302" s="466">
        <f t="shared" si="481"/>
        <v>2500</v>
      </c>
      <c r="Q1302" s="466">
        <f t="shared" si="482"/>
        <v>0</v>
      </c>
      <c r="R1302" s="466">
        <f t="shared" si="482"/>
        <v>2500</v>
      </c>
    </row>
    <row r="1303" spans="2:18" ht="24" x14ac:dyDescent="0.2">
      <c r="B1303" s="171">
        <f t="shared" si="467"/>
        <v>53</v>
      </c>
      <c r="C1303" s="454"/>
      <c r="D1303" s="464"/>
      <c r="E1303" s="458" t="s">
        <v>276</v>
      </c>
      <c r="F1303" s="458">
        <v>640</v>
      </c>
      <c r="G1303" s="496" t="s">
        <v>857</v>
      </c>
      <c r="H1303" s="465">
        <v>5000</v>
      </c>
      <c r="I1303" s="465"/>
      <c r="J1303" s="465">
        <f t="shared" si="464"/>
        <v>5000</v>
      </c>
      <c r="K1303" s="448"/>
      <c r="L1303" s="465"/>
      <c r="M1303" s="465"/>
      <c r="N1303" s="465"/>
      <c r="O1303" s="448"/>
      <c r="P1303" s="466">
        <f t="shared" si="481"/>
        <v>5000</v>
      </c>
      <c r="Q1303" s="466">
        <f t="shared" si="482"/>
        <v>0</v>
      </c>
      <c r="R1303" s="466">
        <f t="shared" si="482"/>
        <v>5000</v>
      </c>
    </row>
    <row r="1304" spans="2:18" ht="15.75" x14ac:dyDescent="0.25">
      <c r="B1304" s="171">
        <f t="shared" si="467"/>
        <v>54</v>
      </c>
      <c r="C1304" s="23">
        <v>4</v>
      </c>
      <c r="D1304" s="127" t="s">
        <v>115</v>
      </c>
      <c r="E1304" s="24"/>
      <c r="F1304" s="24"/>
      <c r="G1304" s="193"/>
      <c r="H1304" s="414">
        <f>H1305</f>
        <v>15000</v>
      </c>
      <c r="I1304" s="414">
        <f t="shared" ref="I1304" si="485">I1305</f>
        <v>0</v>
      </c>
      <c r="J1304" s="414">
        <f t="shared" si="464"/>
        <v>15000</v>
      </c>
      <c r="K1304" s="88"/>
      <c r="L1304" s="875">
        <v>0</v>
      </c>
      <c r="M1304" s="875">
        <v>0</v>
      </c>
      <c r="N1304" s="875">
        <f t="shared" si="466"/>
        <v>0</v>
      </c>
      <c r="O1304" s="88"/>
      <c r="P1304" s="373">
        <f t="shared" si="481"/>
        <v>15000</v>
      </c>
      <c r="Q1304" s="373">
        <f t="shared" si="482"/>
        <v>0</v>
      </c>
      <c r="R1304" s="373">
        <f t="shared" si="482"/>
        <v>15000</v>
      </c>
    </row>
    <row r="1305" spans="2:18" ht="24" x14ac:dyDescent="0.2">
      <c r="B1305" s="171">
        <f t="shared" si="467"/>
        <v>55</v>
      </c>
      <c r="C1305" s="457"/>
      <c r="D1305" s="457"/>
      <c r="E1305" s="458" t="s">
        <v>241</v>
      </c>
      <c r="F1305" s="458">
        <v>640</v>
      </c>
      <c r="G1305" s="603" t="s">
        <v>577</v>
      </c>
      <c r="H1305" s="532">
        <v>15000</v>
      </c>
      <c r="I1305" s="532"/>
      <c r="J1305" s="532">
        <f t="shared" si="464"/>
        <v>15000</v>
      </c>
      <c r="K1305" s="448"/>
      <c r="L1305" s="532"/>
      <c r="M1305" s="532"/>
      <c r="N1305" s="532"/>
      <c r="O1305" s="448"/>
      <c r="P1305" s="459">
        <f t="shared" si="481"/>
        <v>15000</v>
      </c>
      <c r="Q1305" s="459">
        <f t="shared" si="482"/>
        <v>0</v>
      </c>
      <c r="R1305" s="459">
        <f t="shared" si="482"/>
        <v>15000</v>
      </c>
    </row>
    <row r="1306" spans="2:18" ht="15.75" x14ac:dyDescent="0.25">
      <c r="B1306" s="171">
        <f t="shared" si="467"/>
        <v>56</v>
      </c>
      <c r="C1306" s="23">
        <v>5</v>
      </c>
      <c r="D1306" s="127" t="s">
        <v>116</v>
      </c>
      <c r="E1306" s="24"/>
      <c r="F1306" s="24"/>
      <c r="G1306" s="193"/>
      <c r="H1306" s="414">
        <f>H1307</f>
        <v>11645</v>
      </c>
      <c r="I1306" s="414">
        <f t="shared" ref="I1306" si="486">I1307</f>
        <v>0</v>
      </c>
      <c r="J1306" s="414">
        <f t="shared" si="464"/>
        <v>11645</v>
      </c>
      <c r="K1306" s="88"/>
      <c r="L1306" s="875">
        <v>0</v>
      </c>
      <c r="M1306" s="875">
        <v>0</v>
      </c>
      <c r="N1306" s="875">
        <f t="shared" si="466"/>
        <v>0</v>
      </c>
      <c r="O1306" s="88"/>
      <c r="P1306" s="373">
        <f t="shared" si="481"/>
        <v>11645</v>
      </c>
      <c r="Q1306" s="373">
        <f t="shared" si="482"/>
        <v>0</v>
      </c>
      <c r="R1306" s="373">
        <f t="shared" si="482"/>
        <v>11645</v>
      </c>
    </row>
    <row r="1307" spans="2:18" x14ac:dyDescent="0.2">
      <c r="B1307" s="171">
        <f t="shared" si="467"/>
        <v>57</v>
      </c>
      <c r="C1307" s="135"/>
      <c r="D1307" s="135"/>
      <c r="E1307" s="156" t="s">
        <v>241</v>
      </c>
      <c r="F1307" s="156"/>
      <c r="G1307" s="224" t="s">
        <v>444</v>
      </c>
      <c r="H1307" s="387">
        <f>H1308+H1309+H1310</f>
        <v>11645</v>
      </c>
      <c r="I1307" s="387">
        <f t="shared" ref="I1307" si="487">I1308+I1309+I1310</f>
        <v>0</v>
      </c>
      <c r="J1307" s="387">
        <f t="shared" si="464"/>
        <v>11645</v>
      </c>
      <c r="K1307" s="132"/>
      <c r="L1307" s="527"/>
      <c r="M1307" s="527"/>
      <c r="N1307" s="527"/>
      <c r="O1307" s="132"/>
      <c r="P1307" s="531">
        <f t="shared" si="481"/>
        <v>11645</v>
      </c>
      <c r="Q1307" s="531">
        <f t="shared" si="482"/>
        <v>0</v>
      </c>
      <c r="R1307" s="531">
        <f t="shared" si="482"/>
        <v>11645</v>
      </c>
    </row>
    <row r="1308" spans="2:18" x14ac:dyDescent="0.2">
      <c r="B1308" s="171">
        <f t="shared" si="467"/>
        <v>58</v>
      </c>
      <c r="C1308" s="130"/>
      <c r="D1308" s="130"/>
      <c r="E1308" s="149"/>
      <c r="F1308" s="149">
        <v>610</v>
      </c>
      <c r="G1308" s="199" t="s">
        <v>257</v>
      </c>
      <c r="H1308" s="388">
        <v>1100</v>
      </c>
      <c r="I1308" s="388"/>
      <c r="J1308" s="388">
        <f t="shared" si="464"/>
        <v>1100</v>
      </c>
      <c r="K1308" s="132"/>
      <c r="L1308" s="527"/>
      <c r="M1308" s="527"/>
      <c r="N1308" s="527"/>
      <c r="O1308" s="132"/>
      <c r="P1308" s="531">
        <f t="shared" si="481"/>
        <v>1100</v>
      </c>
      <c r="Q1308" s="531">
        <f t="shared" si="482"/>
        <v>0</v>
      </c>
      <c r="R1308" s="531">
        <f t="shared" si="482"/>
        <v>1100</v>
      </c>
    </row>
    <row r="1309" spans="2:18" x14ac:dyDescent="0.2">
      <c r="B1309" s="171">
        <f t="shared" si="467"/>
        <v>59</v>
      </c>
      <c r="C1309" s="130"/>
      <c r="D1309" s="130"/>
      <c r="E1309" s="134"/>
      <c r="F1309" s="149">
        <v>620</v>
      </c>
      <c r="G1309" s="199" t="s">
        <v>259</v>
      </c>
      <c r="H1309" s="388">
        <v>395</v>
      </c>
      <c r="I1309" s="388"/>
      <c r="J1309" s="388">
        <f t="shared" si="464"/>
        <v>395</v>
      </c>
      <c r="K1309" s="132"/>
      <c r="L1309" s="527"/>
      <c r="M1309" s="527"/>
      <c r="N1309" s="527"/>
      <c r="O1309" s="132"/>
      <c r="P1309" s="531">
        <f t="shared" si="481"/>
        <v>395</v>
      </c>
      <c r="Q1309" s="531">
        <f t="shared" ref="Q1309:R1324" si="488">I1309+M1309</f>
        <v>0</v>
      </c>
      <c r="R1309" s="531">
        <f t="shared" si="488"/>
        <v>395</v>
      </c>
    </row>
    <row r="1310" spans="2:18" x14ac:dyDescent="0.2">
      <c r="B1310" s="171">
        <f t="shared" si="467"/>
        <v>60</v>
      </c>
      <c r="C1310" s="130"/>
      <c r="D1310" s="130"/>
      <c r="E1310" s="134"/>
      <c r="F1310" s="149">
        <v>630</v>
      </c>
      <c r="G1310" s="199" t="s">
        <v>236</v>
      </c>
      <c r="H1310" s="388">
        <f>SUM(H1311:H1313)</f>
        <v>10150</v>
      </c>
      <c r="I1310" s="388"/>
      <c r="J1310" s="388">
        <f t="shared" si="464"/>
        <v>10150</v>
      </c>
      <c r="K1310" s="132"/>
      <c r="L1310" s="527"/>
      <c r="M1310" s="527"/>
      <c r="N1310" s="527"/>
      <c r="O1310" s="132"/>
      <c r="P1310" s="531">
        <f t="shared" si="481"/>
        <v>10150</v>
      </c>
      <c r="Q1310" s="531">
        <f t="shared" si="488"/>
        <v>0</v>
      </c>
      <c r="R1310" s="531">
        <f t="shared" si="488"/>
        <v>10150</v>
      </c>
    </row>
    <row r="1311" spans="2:18" x14ac:dyDescent="0.2">
      <c r="B1311" s="171">
        <f t="shared" si="467"/>
        <v>61</v>
      </c>
      <c r="C1311" s="130"/>
      <c r="D1311" s="130"/>
      <c r="E1311" s="134"/>
      <c r="F1311" s="134">
        <v>632</v>
      </c>
      <c r="G1311" s="194" t="s">
        <v>246</v>
      </c>
      <c r="H1311" s="527">
        <v>5000</v>
      </c>
      <c r="I1311" s="527"/>
      <c r="J1311" s="527">
        <f t="shared" si="464"/>
        <v>5000</v>
      </c>
      <c r="K1311" s="132"/>
      <c r="L1311" s="527"/>
      <c r="M1311" s="527"/>
      <c r="N1311" s="527"/>
      <c r="O1311" s="132"/>
      <c r="P1311" s="168">
        <f t="shared" si="481"/>
        <v>5000</v>
      </c>
      <c r="Q1311" s="168">
        <f t="shared" si="488"/>
        <v>0</v>
      </c>
      <c r="R1311" s="168">
        <f t="shared" si="488"/>
        <v>5000</v>
      </c>
    </row>
    <row r="1312" spans="2:18" x14ac:dyDescent="0.2">
      <c r="B1312" s="171">
        <f t="shared" si="467"/>
        <v>62</v>
      </c>
      <c r="C1312" s="130"/>
      <c r="D1312" s="130"/>
      <c r="E1312" s="134"/>
      <c r="F1312" s="134">
        <v>633</v>
      </c>
      <c r="G1312" s="194" t="s">
        <v>247</v>
      </c>
      <c r="H1312" s="527">
        <f>1250+2000</f>
        <v>3250</v>
      </c>
      <c r="I1312" s="527"/>
      <c r="J1312" s="527">
        <f t="shared" si="464"/>
        <v>3250</v>
      </c>
      <c r="K1312" s="132"/>
      <c r="L1312" s="527"/>
      <c r="M1312" s="527"/>
      <c r="N1312" s="527"/>
      <c r="O1312" s="132"/>
      <c r="P1312" s="168">
        <f t="shared" si="481"/>
        <v>3250</v>
      </c>
      <c r="Q1312" s="168">
        <f t="shared" si="488"/>
        <v>0</v>
      </c>
      <c r="R1312" s="168">
        <f t="shared" si="488"/>
        <v>3250</v>
      </c>
    </row>
    <row r="1313" spans="2:18" x14ac:dyDescent="0.2">
      <c r="B1313" s="171">
        <f t="shared" si="467"/>
        <v>63</v>
      </c>
      <c r="C1313" s="130"/>
      <c r="D1313" s="130"/>
      <c r="E1313" s="134"/>
      <c r="F1313" s="134">
        <v>637</v>
      </c>
      <c r="G1313" s="194" t="s">
        <v>248</v>
      </c>
      <c r="H1313" s="527">
        <v>1900</v>
      </c>
      <c r="I1313" s="527"/>
      <c r="J1313" s="527">
        <f t="shared" si="464"/>
        <v>1900</v>
      </c>
      <c r="K1313" s="132"/>
      <c r="L1313" s="527"/>
      <c r="M1313" s="527"/>
      <c r="N1313" s="527"/>
      <c r="O1313" s="132"/>
      <c r="P1313" s="168">
        <f t="shared" si="481"/>
        <v>1900</v>
      </c>
      <c r="Q1313" s="168">
        <f t="shared" si="488"/>
        <v>0</v>
      </c>
      <c r="R1313" s="168">
        <f t="shared" si="488"/>
        <v>1900</v>
      </c>
    </row>
    <row r="1314" spans="2:18" ht="15.75" x14ac:dyDescent="0.25">
      <c r="B1314" s="171">
        <f t="shared" si="467"/>
        <v>64</v>
      </c>
      <c r="C1314" s="23">
        <v>6</v>
      </c>
      <c r="D1314" s="127" t="s">
        <v>176</v>
      </c>
      <c r="E1314" s="24"/>
      <c r="F1314" s="24"/>
      <c r="G1314" s="193"/>
      <c r="H1314" s="414">
        <f>H1315</f>
        <v>198000</v>
      </c>
      <c r="I1314" s="414">
        <f t="shared" ref="I1314" si="489">I1315</f>
        <v>0</v>
      </c>
      <c r="J1314" s="414">
        <f t="shared" si="464"/>
        <v>198000</v>
      </c>
      <c r="K1314" s="88"/>
      <c r="L1314" s="875">
        <f>SUM(L1315:L1325)</f>
        <v>0</v>
      </c>
      <c r="M1314" s="875">
        <f t="shared" ref="M1314" si="490">SUM(M1315:M1325)</f>
        <v>0</v>
      </c>
      <c r="N1314" s="875">
        <f t="shared" si="466"/>
        <v>0</v>
      </c>
      <c r="O1314" s="88"/>
      <c r="P1314" s="373">
        <f t="shared" si="481"/>
        <v>198000</v>
      </c>
      <c r="Q1314" s="373">
        <f t="shared" si="488"/>
        <v>0</v>
      </c>
      <c r="R1314" s="373">
        <f t="shared" si="488"/>
        <v>198000</v>
      </c>
    </row>
    <row r="1315" spans="2:18" x14ac:dyDescent="0.2">
      <c r="B1315" s="171">
        <f t="shared" si="467"/>
        <v>65</v>
      </c>
      <c r="C1315" s="135"/>
      <c r="D1315" s="135"/>
      <c r="E1315" s="156" t="s">
        <v>241</v>
      </c>
      <c r="F1315" s="156"/>
      <c r="G1315" s="224" t="s">
        <v>444</v>
      </c>
      <c r="H1315" s="387">
        <f>H1316+H1317+H1318+H1325</f>
        <v>198000</v>
      </c>
      <c r="I1315" s="387">
        <f t="shared" ref="I1315" si="491">I1316+I1317+I1318+I1325</f>
        <v>0</v>
      </c>
      <c r="J1315" s="387">
        <f t="shared" si="464"/>
        <v>198000</v>
      </c>
      <c r="K1315" s="132"/>
      <c r="L1315" s="527"/>
      <c r="M1315" s="527"/>
      <c r="N1315" s="527"/>
      <c r="O1315" s="132"/>
      <c r="P1315" s="531">
        <f t="shared" si="481"/>
        <v>198000</v>
      </c>
      <c r="Q1315" s="531">
        <f t="shared" si="488"/>
        <v>0</v>
      </c>
      <c r="R1315" s="531">
        <f t="shared" si="488"/>
        <v>198000</v>
      </c>
    </row>
    <row r="1316" spans="2:18" x14ac:dyDescent="0.2">
      <c r="B1316" s="171">
        <f t="shared" si="467"/>
        <v>66</v>
      </c>
      <c r="C1316" s="130"/>
      <c r="D1316" s="130"/>
      <c r="E1316" s="149"/>
      <c r="F1316" s="149">
        <v>610</v>
      </c>
      <c r="G1316" s="199" t="s">
        <v>257</v>
      </c>
      <c r="H1316" s="388">
        <f>49800+17900+18200</f>
        <v>85900</v>
      </c>
      <c r="I1316" s="388"/>
      <c r="J1316" s="388">
        <f t="shared" ref="J1316:J1325" si="492">H1316+I1316</f>
        <v>85900</v>
      </c>
      <c r="K1316" s="132"/>
      <c r="L1316" s="527"/>
      <c r="M1316" s="527"/>
      <c r="N1316" s="527"/>
      <c r="O1316" s="132"/>
      <c r="P1316" s="531">
        <f t="shared" si="481"/>
        <v>85900</v>
      </c>
      <c r="Q1316" s="531">
        <f t="shared" si="488"/>
        <v>0</v>
      </c>
      <c r="R1316" s="531">
        <f t="shared" si="488"/>
        <v>85900</v>
      </c>
    </row>
    <row r="1317" spans="2:18" x14ac:dyDescent="0.2">
      <c r="B1317" s="171">
        <f t="shared" ref="B1317:B1325" si="493">B1316+1</f>
        <v>67</v>
      </c>
      <c r="C1317" s="130"/>
      <c r="D1317" s="130"/>
      <c r="E1317" s="134"/>
      <c r="F1317" s="149">
        <v>620</v>
      </c>
      <c r="G1317" s="199" t="s">
        <v>259</v>
      </c>
      <c r="H1317" s="388">
        <f>10150+1420+14210+815+3045+1015+4825+1080</f>
        <v>36560</v>
      </c>
      <c r="I1317" s="388"/>
      <c r="J1317" s="388">
        <f t="shared" si="492"/>
        <v>36560</v>
      </c>
      <c r="K1317" s="132"/>
      <c r="L1317" s="527"/>
      <c r="M1317" s="527"/>
      <c r="N1317" s="527"/>
      <c r="O1317" s="132"/>
      <c r="P1317" s="531">
        <f t="shared" si="481"/>
        <v>36560</v>
      </c>
      <c r="Q1317" s="531">
        <f t="shared" si="488"/>
        <v>0</v>
      </c>
      <c r="R1317" s="531">
        <f t="shared" si="488"/>
        <v>36560</v>
      </c>
    </row>
    <row r="1318" spans="2:18" x14ac:dyDescent="0.2">
      <c r="B1318" s="171">
        <f t="shared" si="493"/>
        <v>68</v>
      </c>
      <c r="C1318" s="130"/>
      <c r="D1318" s="130"/>
      <c r="E1318" s="134"/>
      <c r="F1318" s="149">
        <v>630</v>
      </c>
      <c r="G1318" s="199" t="s">
        <v>236</v>
      </c>
      <c r="H1318" s="388">
        <f>SUM(H1319:H1324)</f>
        <v>72190</v>
      </c>
      <c r="I1318" s="388"/>
      <c r="J1318" s="388">
        <f t="shared" si="492"/>
        <v>72190</v>
      </c>
      <c r="K1318" s="132"/>
      <c r="L1318" s="527"/>
      <c r="M1318" s="527"/>
      <c r="N1318" s="527"/>
      <c r="O1318" s="132"/>
      <c r="P1318" s="531">
        <f t="shared" si="481"/>
        <v>72190</v>
      </c>
      <c r="Q1318" s="531">
        <f t="shared" si="488"/>
        <v>0</v>
      </c>
      <c r="R1318" s="531">
        <f t="shared" si="488"/>
        <v>72190</v>
      </c>
    </row>
    <row r="1319" spans="2:18" x14ac:dyDescent="0.2">
      <c r="B1319" s="171">
        <f t="shared" si="493"/>
        <v>69</v>
      </c>
      <c r="C1319" s="130"/>
      <c r="D1319" s="130"/>
      <c r="E1319" s="134"/>
      <c r="F1319" s="134">
        <v>631</v>
      </c>
      <c r="G1319" s="194" t="s">
        <v>519</v>
      </c>
      <c r="H1319" s="527">
        <f>100</f>
        <v>100</v>
      </c>
      <c r="I1319" s="527"/>
      <c r="J1319" s="527">
        <f t="shared" si="492"/>
        <v>100</v>
      </c>
      <c r="K1319" s="132"/>
      <c r="L1319" s="527"/>
      <c r="M1319" s="527"/>
      <c r="N1319" s="527"/>
      <c r="O1319" s="132"/>
      <c r="P1319" s="168">
        <f t="shared" si="481"/>
        <v>100</v>
      </c>
      <c r="Q1319" s="168">
        <f t="shared" si="488"/>
        <v>0</v>
      </c>
      <c r="R1319" s="168">
        <f t="shared" si="488"/>
        <v>100</v>
      </c>
    </row>
    <row r="1320" spans="2:18" x14ac:dyDescent="0.2">
      <c r="B1320" s="171">
        <f t="shared" si="493"/>
        <v>70</v>
      </c>
      <c r="C1320" s="130"/>
      <c r="D1320" s="130"/>
      <c r="E1320" s="134"/>
      <c r="F1320" s="134">
        <v>632</v>
      </c>
      <c r="G1320" s="194" t="s">
        <v>246</v>
      </c>
      <c r="H1320" s="527">
        <f>2700+500</f>
        <v>3200</v>
      </c>
      <c r="I1320" s="527"/>
      <c r="J1320" s="527">
        <f t="shared" si="492"/>
        <v>3200</v>
      </c>
      <c r="K1320" s="132"/>
      <c r="L1320" s="527"/>
      <c r="M1320" s="527"/>
      <c r="N1320" s="527"/>
      <c r="O1320" s="132"/>
      <c r="P1320" s="168">
        <f t="shared" si="481"/>
        <v>3200</v>
      </c>
      <c r="Q1320" s="168">
        <f t="shared" si="488"/>
        <v>0</v>
      </c>
      <c r="R1320" s="168">
        <f t="shared" si="488"/>
        <v>3200</v>
      </c>
    </row>
    <row r="1321" spans="2:18" x14ac:dyDescent="0.2">
      <c r="B1321" s="171">
        <f t="shared" si="493"/>
        <v>71</v>
      </c>
      <c r="C1321" s="130"/>
      <c r="D1321" s="130"/>
      <c r="E1321" s="134"/>
      <c r="F1321" s="134">
        <v>633</v>
      </c>
      <c r="G1321" s="194" t="s">
        <v>247</v>
      </c>
      <c r="H1321" s="527">
        <f>1000+1700+200+500+50</f>
        <v>3450</v>
      </c>
      <c r="I1321" s="527"/>
      <c r="J1321" s="527">
        <f t="shared" si="492"/>
        <v>3450</v>
      </c>
      <c r="K1321" s="132"/>
      <c r="L1321" s="527"/>
      <c r="M1321" s="527"/>
      <c r="N1321" s="527"/>
      <c r="O1321" s="132"/>
      <c r="P1321" s="168">
        <f t="shared" si="481"/>
        <v>3450</v>
      </c>
      <c r="Q1321" s="168">
        <f t="shared" si="488"/>
        <v>0</v>
      </c>
      <c r="R1321" s="168">
        <f t="shared" si="488"/>
        <v>3450</v>
      </c>
    </row>
    <row r="1322" spans="2:18" x14ac:dyDescent="0.2">
      <c r="B1322" s="171">
        <f t="shared" si="493"/>
        <v>72</v>
      </c>
      <c r="C1322" s="130"/>
      <c r="D1322" s="130"/>
      <c r="E1322" s="134"/>
      <c r="F1322" s="134">
        <v>634</v>
      </c>
      <c r="G1322" s="194" t="s">
        <v>260</v>
      </c>
      <c r="H1322" s="527">
        <f>3200+2500+4000+400</f>
        <v>10100</v>
      </c>
      <c r="I1322" s="527"/>
      <c r="J1322" s="527">
        <f t="shared" si="492"/>
        <v>10100</v>
      </c>
      <c r="K1322" s="132"/>
      <c r="L1322" s="527"/>
      <c r="M1322" s="527"/>
      <c r="N1322" s="527"/>
      <c r="O1322" s="132"/>
      <c r="P1322" s="168">
        <f t="shared" si="481"/>
        <v>10100</v>
      </c>
      <c r="Q1322" s="168">
        <f t="shared" si="488"/>
        <v>0</v>
      </c>
      <c r="R1322" s="168">
        <f t="shared" si="488"/>
        <v>10100</v>
      </c>
    </row>
    <row r="1323" spans="2:18" x14ac:dyDescent="0.2">
      <c r="B1323" s="171">
        <f t="shared" si="493"/>
        <v>73</v>
      </c>
      <c r="C1323" s="130"/>
      <c r="D1323" s="130"/>
      <c r="E1323" s="134"/>
      <c r="F1323" s="134">
        <v>635</v>
      </c>
      <c r="G1323" s="194" t="s">
        <v>261</v>
      </c>
      <c r="H1323" s="527">
        <f>4000+100</f>
        <v>4100</v>
      </c>
      <c r="I1323" s="527"/>
      <c r="J1323" s="527">
        <f t="shared" si="492"/>
        <v>4100</v>
      </c>
      <c r="K1323" s="132"/>
      <c r="L1323" s="527"/>
      <c r="M1323" s="527"/>
      <c r="N1323" s="527"/>
      <c r="O1323" s="132"/>
      <c r="P1323" s="168">
        <f t="shared" si="481"/>
        <v>4100</v>
      </c>
      <c r="Q1323" s="168">
        <f t="shared" si="488"/>
        <v>0</v>
      </c>
      <c r="R1323" s="168">
        <f t="shared" si="488"/>
        <v>4100</v>
      </c>
    </row>
    <row r="1324" spans="2:18" x14ac:dyDescent="0.2">
      <c r="B1324" s="171">
        <f t="shared" si="493"/>
        <v>74</v>
      </c>
      <c r="C1324" s="130"/>
      <c r="D1324" s="130"/>
      <c r="E1324" s="134"/>
      <c r="F1324" s="134">
        <v>637</v>
      </c>
      <c r="G1324" s="194" t="s">
        <v>248</v>
      </c>
      <c r="H1324" s="527">
        <f>56440-2000-3200</f>
        <v>51240</v>
      </c>
      <c r="I1324" s="527"/>
      <c r="J1324" s="527">
        <f t="shared" si="492"/>
        <v>51240</v>
      </c>
      <c r="K1324" s="148"/>
      <c r="L1324" s="527"/>
      <c r="M1324" s="527"/>
      <c r="N1324" s="527"/>
      <c r="O1324" s="132"/>
      <c r="P1324" s="168">
        <f t="shared" si="481"/>
        <v>51240</v>
      </c>
      <c r="Q1324" s="168">
        <f t="shared" si="488"/>
        <v>0</v>
      </c>
      <c r="R1324" s="168">
        <f t="shared" si="488"/>
        <v>51240</v>
      </c>
    </row>
    <row r="1325" spans="2:18" ht="13.5" thickBot="1" x14ac:dyDescent="0.25">
      <c r="B1325" s="207">
        <f t="shared" si="493"/>
        <v>75</v>
      </c>
      <c r="C1325" s="351"/>
      <c r="D1325" s="351"/>
      <c r="E1325" s="211"/>
      <c r="F1325" s="784">
        <v>640</v>
      </c>
      <c r="G1325" s="785" t="s">
        <v>424</v>
      </c>
      <c r="H1325" s="786">
        <f>150+3200</f>
        <v>3350</v>
      </c>
      <c r="I1325" s="786"/>
      <c r="J1325" s="786">
        <f t="shared" si="492"/>
        <v>3350</v>
      </c>
      <c r="K1325" s="141"/>
      <c r="L1325" s="389"/>
      <c r="M1325" s="389"/>
      <c r="N1325" s="389"/>
      <c r="O1325" s="141"/>
      <c r="P1325" s="787">
        <f t="shared" si="481"/>
        <v>3350</v>
      </c>
      <c r="Q1325" s="787">
        <f t="shared" ref="Q1325:R1325" si="494">I1325+M1325</f>
        <v>0</v>
      </c>
      <c r="R1325" s="787">
        <f t="shared" si="494"/>
        <v>3350</v>
      </c>
    </row>
    <row r="1328" spans="2:18" ht="27.75" thickBot="1" x14ac:dyDescent="0.4">
      <c r="B1328" s="492" t="s">
        <v>165</v>
      </c>
      <c r="C1328" s="492"/>
      <c r="D1328" s="492"/>
      <c r="E1328" s="492"/>
      <c r="F1328" s="492"/>
      <c r="G1328" s="492"/>
      <c r="H1328" s="493"/>
      <c r="I1328" s="493"/>
      <c r="J1328" s="493"/>
      <c r="K1328" s="492"/>
      <c r="L1328" s="492"/>
      <c r="M1328" s="492"/>
      <c r="N1328" s="492"/>
      <c r="O1328" s="492"/>
      <c r="P1328" s="492"/>
      <c r="Q1328" s="492"/>
      <c r="R1328" s="492"/>
    </row>
    <row r="1329" spans="2:18" ht="13.5" customHeight="1" thickBot="1" x14ac:dyDescent="0.25">
      <c r="B1329" s="905" t="s">
        <v>631</v>
      </c>
      <c r="C1329" s="906"/>
      <c r="D1329" s="906"/>
      <c r="E1329" s="906"/>
      <c r="F1329" s="906"/>
      <c r="G1329" s="906"/>
      <c r="H1329" s="906"/>
      <c r="I1329" s="906"/>
      <c r="J1329" s="906"/>
      <c r="K1329" s="906"/>
      <c r="L1329" s="906"/>
      <c r="M1329" s="906"/>
      <c r="N1329" s="907"/>
      <c r="O1329" s="120"/>
      <c r="P1329" s="895" t="s">
        <v>721</v>
      </c>
      <c r="Q1329" s="895" t="s">
        <v>860</v>
      </c>
      <c r="R1329" s="895" t="s">
        <v>721</v>
      </c>
    </row>
    <row r="1330" spans="2:18" ht="13.5" customHeight="1" thickTop="1" x14ac:dyDescent="0.2">
      <c r="B1330" s="506"/>
      <c r="C1330" s="898" t="s">
        <v>477</v>
      </c>
      <c r="D1330" s="898" t="s">
        <v>476</v>
      </c>
      <c r="E1330" s="898" t="s">
        <v>474</v>
      </c>
      <c r="F1330" s="898" t="s">
        <v>475</v>
      </c>
      <c r="G1330" s="508" t="s">
        <v>3</v>
      </c>
      <c r="H1330" s="900" t="s">
        <v>722</v>
      </c>
      <c r="I1330" s="904" t="s">
        <v>860</v>
      </c>
      <c r="J1330" s="904" t="s">
        <v>722</v>
      </c>
      <c r="L1330" s="902" t="s">
        <v>723</v>
      </c>
      <c r="M1330" s="902" t="s">
        <v>860</v>
      </c>
      <c r="N1330" s="902" t="s">
        <v>723</v>
      </c>
      <c r="P1330" s="896"/>
      <c r="Q1330" s="896"/>
      <c r="R1330" s="896"/>
    </row>
    <row r="1331" spans="2:18" ht="58.5" customHeight="1" thickBot="1" x14ac:dyDescent="0.25">
      <c r="B1331" s="510"/>
      <c r="C1331" s="899"/>
      <c r="D1331" s="899"/>
      <c r="E1331" s="899"/>
      <c r="F1331" s="899"/>
      <c r="G1331" s="509"/>
      <c r="H1331" s="901"/>
      <c r="I1331" s="901"/>
      <c r="J1331" s="901"/>
      <c r="L1331" s="903"/>
      <c r="M1331" s="903"/>
      <c r="N1331" s="903"/>
      <c r="P1331" s="897"/>
      <c r="Q1331" s="897"/>
      <c r="R1331" s="897"/>
    </row>
    <row r="1332" spans="2:18" ht="19.5" thickTop="1" thickBot="1" x14ac:dyDescent="0.25">
      <c r="B1332" s="618">
        <v>1</v>
      </c>
      <c r="C1332" s="125" t="s">
        <v>228</v>
      </c>
      <c r="D1332" s="111"/>
      <c r="E1332" s="111"/>
      <c r="F1332" s="111"/>
      <c r="G1332" s="201"/>
      <c r="H1332" s="409">
        <f>H1333+H1343+H1345+H1358+H1367+H1411+H1430+H1441+H1443+H1449+H1458</f>
        <v>2036518</v>
      </c>
      <c r="I1332" s="409">
        <f t="shared" ref="I1332" si="495">I1333+I1343+I1345+I1358+I1367+I1411+I1430+I1441+I1443+I1449+I1458</f>
        <v>0</v>
      </c>
      <c r="J1332" s="409">
        <f>H1332+I1332</f>
        <v>2036518</v>
      </c>
      <c r="K1332" s="113"/>
      <c r="L1332" s="378">
        <f>L1333+L1343+L1345+L1358+L1367+L1411+L1430+L1441+L1443+L1449+L1458</f>
        <v>0</v>
      </c>
      <c r="M1332" s="378">
        <f t="shared" ref="M1332" si="496">M1333+M1343+M1345+M1358+M1367+M1411+M1430+M1441+M1443+M1449+M1458</f>
        <v>0</v>
      </c>
      <c r="N1332" s="378">
        <f>L1332+M1332</f>
        <v>0</v>
      </c>
      <c r="O1332" s="113"/>
      <c r="P1332" s="372">
        <f t="shared" ref="P1332:P1377" si="497">H1332+L1332</f>
        <v>2036518</v>
      </c>
      <c r="Q1332" s="372">
        <f t="shared" ref="Q1332:R1347" si="498">I1332+M1332</f>
        <v>0</v>
      </c>
      <c r="R1332" s="372">
        <f t="shared" si="498"/>
        <v>2036518</v>
      </c>
    </row>
    <row r="1333" spans="2:18" ht="16.5" thickTop="1" x14ac:dyDescent="0.25">
      <c r="B1333" s="171">
        <f>B1332+1</f>
        <v>2</v>
      </c>
      <c r="C1333" s="23">
        <v>1</v>
      </c>
      <c r="D1333" s="127" t="s">
        <v>100</v>
      </c>
      <c r="E1333" s="24"/>
      <c r="F1333" s="24"/>
      <c r="G1333" s="193"/>
      <c r="H1333" s="410">
        <f>H1334</f>
        <v>175350</v>
      </c>
      <c r="I1333" s="410">
        <f t="shared" ref="I1333" si="499">I1334</f>
        <v>0</v>
      </c>
      <c r="J1333" s="410">
        <f t="shared" ref="J1333:J1396" si="500">H1333+I1333</f>
        <v>175350</v>
      </c>
      <c r="K1333" s="88"/>
      <c r="L1333" s="395"/>
      <c r="M1333" s="395"/>
      <c r="N1333" s="395"/>
      <c r="O1333" s="88"/>
      <c r="P1333" s="373">
        <f t="shared" si="497"/>
        <v>175350</v>
      </c>
      <c r="Q1333" s="373">
        <f t="shared" si="498"/>
        <v>0</v>
      </c>
      <c r="R1333" s="373">
        <f t="shared" si="498"/>
        <v>175350</v>
      </c>
    </row>
    <row r="1334" spans="2:18" x14ac:dyDescent="0.2">
      <c r="B1334" s="171">
        <f t="shared" ref="B1334:B1397" si="501">B1333+1</f>
        <v>3</v>
      </c>
      <c r="C1334" s="143"/>
      <c r="D1334" s="144"/>
      <c r="E1334" s="357" t="s">
        <v>675</v>
      </c>
      <c r="F1334" s="357"/>
      <c r="G1334" s="358" t="s">
        <v>450</v>
      </c>
      <c r="H1334" s="404">
        <f>H1335+H1336+H1337+H1342</f>
        <v>175350</v>
      </c>
      <c r="I1334" s="404">
        <f t="shared" ref="I1334" si="502">I1335+I1336+I1337+I1342</f>
        <v>0</v>
      </c>
      <c r="J1334" s="404">
        <f t="shared" si="500"/>
        <v>175350</v>
      </c>
      <c r="K1334" s="359"/>
      <c r="L1334" s="876"/>
      <c r="M1334" s="876"/>
      <c r="N1334" s="876"/>
      <c r="O1334" s="359"/>
      <c r="P1334" s="360">
        <f t="shared" si="497"/>
        <v>175350</v>
      </c>
      <c r="Q1334" s="360">
        <f t="shared" si="498"/>
        <v>0</v>
      </c>
      <c r="R1334" s="360">
        <f t="shared" si="498"/>
        <v>175350</v>
      </c>
    </row>
    <row r="1335" spans="2:18" x14ac:dyDescent="0.2">
      <c r="B1335" s="171">
        <f t="shared" si="501"/>
        <v>4</v>
      </c>
      <c r="C1335" s="143"/>
      <c r="D1335" s="144"/>
      <c r="E1335" s="149"/>
      <c r="F1335" s="149">
        <v>610</v>
      </c>
      <c r="G1335" s="199" t="s">
        <v>257</v>
      </c>
      <c r="H1335" s="388">
        <v>94630</v>
      </c>
      <c r="I1335" s="388"/>
      <c r="J1335" s="388">
        <f t="shared" si="500"/>
        <v>94630</v>
      </c>
      <c r="K1335" s="145"/>
      <c r="L1335" s="396"/>
      <c r="M1335" s="396"/>
      <c r="N1335" s="396"/>
      <c r="O1335" s="145"/>
      <c r="P1335" s="166">
        <f t="shared" si="497"/>
        <v>94630</v>
      </c>
      <c r="Q1335" s="166">
        <f t="shared" si="498"/>
        <v>0</v>
      </c>
      <c r="R1335" s="166">
        <f t="shared" si="498"/>
        <v>94630</v>
      </c>
    </row>
    <row r="1336" spans="2:18" x14ac:dyDescent="0.2">
      <c r="B1336" s="171">
        <f t="shared" si="501"/>
        <v>5</v>
      </c>
      <c r="C1336" s="143"/>
      <c r="D1336" s="144"/>
      <c r="E1336" s="134"/>
      <c r="F1336" s="149">
        <v>620</v>
      </c>
      <c r="G1336" s="199" t="s">
        <v>259</v>
      </c>
      <c r="H1336" s="388">
        <v>32965</v>
      </c>
      <c r="I1336" s="388"/>
      <c r="J1336" s="388">
        <f t="shared" si="500"/>
        <v>32965</v>
      </c>
      <c r="K1336" s="145"/>
      <c r="L1336" s="396"/>
      <c r="M1336" s="396"/>
      <c r="N1336" s="396"/>
      <c r="O1336" s="145"/>
      <c r="P1336" s="166">
        <f t="shared" si="497"/>
        <v>32965</v>
      </c>
      <c r="Q1336" s="166">
        <f t="shared" si="498"/>
        <v>0</v>
      </c>
      <c r="R1336" s="166">
        <f t="shared" si="498"/>
        <v>32965</v>
      </c>
    </row>
    <row r="1337" spans="2:18" x14ac:dyDescent="0.2">
      <c r="B1337" s="171">
        <f t="shared" si="501"/>
        <v>6</v>
      </c>
      <c r="C1337" s="143"/>
      <c r="D1337" s="144"/>
      <c r="E1337" s="134"/>
      <c r="F1337" s="149">
        <v>630</v>
      </c>
      <c r="G1337" s="199" t="s">
        <v>340</v>
      </c>
      <c r="H1337" s="388">
        <f>SUM(H1338:H1341)</f>
        <v>47455</v>
      </c>
      <c r="I1337" s="388"/>
      <c r="J1337" s="388">
        <f t="shared" si="500"/>
        <v>47455</v>
      </c>
      <c r="K1337" s="145"/>
      <c r="L1337" s="396"/>
      <c r="M1337" s="396"/>
      <c r="N1337" s="396"/>
      <c r="O1337" s="145"/>
      <c r="P1337" s="166">
        <f t="shared" si="497"/>
        <v>47455</v>
      </c>
      <c r="Q1337" s="166">
        <f t="shared" si="498"/>
        <v>0</v>
      </c>
      <c r="R1337" s="166">
        <f t="shared" si="498"/>
        <v>47455</v>
      </c>
    </row>
    <row r="1338" spans="2:18" x14ac:dyDescent="0.2">
      <c r="B1338" s="171">
        <f t="shared" si="501"/>
        <v>7</v>
      </c>
      <c r="C1338" s="143"/>
      <c r="D1338" s="144"/>
      <c r="E1338" s="134"/>
      <c r="F1338" s="134">
        <v>632</v>
      </c>
      <c r="G1338" s="194" t="s">
        <v>246</v>
      </c>
      <c r="H1338" s="527">
        <v>15880</v>
      </c>
      <c r="I1338" s="527"/>
      <c r="J1338" s="527">
        <f t="shared" si="500"/>
        <v>15880</v>
      </c>
      <c r="K1338" s="145"/>
      <c r="L1338" s="396"/>
      <c r="M1338" s="396"/>
      <c r="N1338" s="396"/>
      <c r="O1338" s="145"/>
      <c r="P1338" s="167">
        <f t="shared" si="497"/>
        <v>15880</v>
      </c>
      <c r="Q1338" s="167">
        <f t="shared" si="498"/>
        <v>0</v>
      </c>
      <c r="R1338" s="167">
        <f t="shared" si="498"/>
        <v>15880</v>
      </c>
    </row>
    <row r="1339" spans="2:18" x14ac:dyDescent="0.2">
      <c r="B1339" s="171">
        <f t="shared" si="501"/>
        <v>8</v>
      </c>
      <c r="C1339" s="143"/>
      <c r="D1339" s="144"/>
      <c r="E1339" s="134"/>
      <c r="F1339" s="134">
        <v>633</v>
      </c>
      <c r="G1339" s="194" t="s">
        <v>247</v>
      </c>
      <c r="H1339" s="527">
        <v>23750</v>
      </c>
      <c r="I1339" s="527"/>
      <c r="J1339" s="527">
        <f t="shared" si="500"/>
        <v>23750</v>
      </c>
      <c r="K1339" s="145"/>
      <c r="L1339" s="396"/>
      <c r="M1339" s="396"/>
      <c r="N1339" s="396"/>
      <c r="O1339" s="145"/>
      <c r="P1339" s="167">
        <f t="shared" si="497"/>
        <v>23750</v>
      </c>
      <c r="Q1339" s="167">
        <f t="shared" si="498"/>
        <v>0</v>
      </c>
      <c r="R1339" s="167">
        <f t="shared" si="498"/>
        <v>23750</v>
      </c>
    </row>
    <row r="1340" spans="2:18" x14ac:dyDescent="0.2">
      <c r="B1340" s="171">
        <f t="shared" si="501"/>
        <v>9</v>
      </c>
      <c r="C1340" s="143"/>
      <c r="D1340" s="144"/>
      <c r="E1340" s="134"/>
      <c r="F1340" s="134">
        <v>635</v>
      </c>
      <c r="G1340" s="194" t="s">
        <v>261</v>
      </c>
      <c r="H1340" s="527">
        <v>3310</v>
      </c>
      <c r="I1340" s="527"/>
      <c r="J1340" s="527">
        <f t="shared" si="500"/>
        <v>3310</v>
      </c>
      <c r="K1340" s="145"/>
      <c r="L1340" s="396"/>
      <c r="M1340" s="396"/>
      <c r="N1340" s="396"/>
      <c r="O1340" s="145"/>
      <c r="P1340" s="167">
        <f t="shared" si="497"/>
        <v>3310</v>
      </c>
      <c r="Q1340" s="167">
        <f t="shared" si="498"/>
        <v>0</v>
      </c>
      <c r="R1340" s="167">
        <f t="shared" si="498"/>
        <v>3310</v>
      </c>
    </row>
    <row r="1341" spans="2:18" x14ac:dyDescent="0.2">
      <c r="B1341" s="171">
        <f t="shared" si="501"/>
        <v>10</v>
      </c>
      <c r="C1341" s="143"/>
      <c r="D1341" s="144"/>
      <c r="E1341" s="134"/>
      <c r="F1341" s="134">
        <v>637</v>
      </c>
      <c r="G1341" s="194" t="s">
        <v>248</v>
      </c>
      <c r="H1341" s="527">
        <v>4515</v>
      </c>
      <c r="I1341" s="527"/>
      <c r="J1341" s="527">
        <f t="shared" si="500"/>
        <v>4515</v>
      </c>
      <c r="K1341" s="145"/>
      <c r="L1341" s="396"/>
      <c r="M1341" s="396"/>
      <c r="N1341" s="396"/>
      <c r="O1341" s="145"/>
      <c r="P1341" s="167">
        <f t="shared" si="497"/>
        <v>4515</v>
      </c>
      <c r="Q1341" s="167">
        <f t="shared" si="498"/>
        <v>0</v>
      </c>
      <c r="R1341" s="167">
        <f t="shared" si="498"/>
        <v>4515</v>
      </c>
    </row>
    <row r="1342" spans="2:18" x14ac:dyDescent="0.2">
      <c r="B1342" s="171">
        <f t="shared" si="501"/>
        <v>11</v>
      </c>
      <c r="C1342" s="143"/>
      <c r="D1342" s="144"/>
      <c r="E1342" s="144"/>
      <c r="F1342" s="149">
        <v>640</v>
      </c>
      <c r="G1342" s="199" t="s">
        <v>296</v>
      </c>
      <c r="H1342" s="388">
        <v>300</v>
      </c>
      <c r="I1342" s="388"/>
      <c r="J1342" s="388">
        <f t="shared" si="500"/>
        <v>300</v>
      </c>
      <c r="K1342" s="243"/>
      <c r="L1342" s="388"/>
      <c r="M1342" s="388"/>
      <c r="N1342" s="388"/>
      <c r="O1342" s="243"/>
      <c r="P1342" s="168">
        <f t="shared" si="497"/>
        <v>300</v>
      </c>
      <c r="Q1342" s="168">
        <f t="shared" si="498"/>
        <v>0</v>
      </c>
      <c r="R1342" s="168">
        <f t="shared" si="498"/>
        <v>300</v>
      </c>
    </row>
    <row r="1343" spans="2:18" ht="15.75" x14ac:dyDescent="0.25">
      <c r="B1343" s="171">
        <f t="shared" si="501"/>
        <v>12</v>
      </c>
      <c r="C1343" s="21">
        <v>2</v>
      </c>
      <c r="D1343" s="126" t="s">
        <v>229</v>
      </c>
      <c r="E1343" s="22"/>
      <c r="F1343" s="22"/>
      <c r="G1343" s="195"/>
      <c r="H1343" s="411">
        <f>H1344</f>
        <v>1000</v>
      </c>
      <c r="I1343" s="411">
        <f t="shared" ref="I1343" si="503">I1344</f>
        <v>0</v>
      </c>
      <c r="J1343" s="411">
        <f t="shared" si="500"/>
        <v>1000</v>
      </c>
      <c r="K1343" s="244"/>
      <c r="L1343" s="877"/>
      <c r="M1343" s="877"/>
      <c r="N1343" s="877"/>
      <c r="O1343" s="244"/>
      <c r="P1343" s="374">
        <f t="shared" si="497"/>
        <v>1000</v>
      </c>
      <c r="Q1343" s="374">
        <f t="shared" si="498"/>
        <v>0</v>
      </c>
      <c r="R1343" s="374">
        <f t="shared" si="498"/>
        <v>1000</v>
      </c>
    </row>
    <row r="1344" spans="2:18" x14ac:dyDescent="0.2">
      <c r="B1344" s="171">
        <f t="shared" si="501"/>
        <v>13</v>
      </c>
      <c r="C1344" s="130"/>
      <c r="D1344" s="130"/>
      <c r="E1344" s="134" t="s">
        <v>671</v>
      </c>
      <c r="F1344" s="134">
        <v>640</v>
      </c>
      <c r="G1344" s="194" t="s">
        <v>282</v>
      </c>
      <c r="H1344" s="527">
        <v>1000</v>
      </c>
      <c r="I1344" s="527"/>
      <c r="J1344" s="527">
        <f t="shared" si="500"/>
        <v>1000</v>
      </c>
      <c r="K1344" s="181"/>
      <c r="L1344" s="527"/>
      <c r="M1344" s="527"/>
      <c r="N1344" s="527"/>
      <c r="O1344" s="181"/>
      <c r="P1344" s="168">
        <f t="shared" si="497"/>
        <v>1000</v>
      </c>
      <c r="Q1344" s="168">
        <f t="shared" si="498"/>
        <v>0</v>
      </c>
      <c r="R1344" s="168">
        <f t="shared" si="498"/>
        <v>1000</v>
      </c>
    </row>
    <row r="1345" spans="2:18" ht="15.75" x14ac:dyDescent="0.25">
      <c r="B1345" s="171">
        <f t="shared" si="501"/>
        <v>14</v>
      </c>
      <c r="C1345" s="23">
        <v>3</v>
      </c>
      <c r="D1345" s="127" t="s">
        <v>2</v>
      </c>
      <c r="E1345" s="24"/>
      <c r="F1345" s="24"/>
      <c r="G1345" s="193"/>
      <c r="H1345" s="417">
        <f>H1346+H1347+H1348+H1349+H1357</f>
        <v>14965</v>
      </c>
      <c r="I1345" s="417">
        <f t="shared" ref="I1345" si="504">I1346+I1347+I1348+I1349+I1357</f>
        <v>0</v>
      </c>
      <c r="J1345" s="417">
        <f t="shared" si="500"/>
        <v>14965</v>
      </c>
      <c r="K1345" s="245"/>
      <c r="L1345" s="877"/>
      <c r="M1345" s="877"/>
      <c r="N1345" s="877"/>
      <c r="O1345" s="245"/>
      <c r="P1345" s="374">
        <f t="shared" si="497"/>
        <v>14965</v>
      </c>
      <c r="Q1345" s="374">
        <f t="shared" si="498"/>
        <v>0</v>
      </c>
      <c r="R1345" s="374">
        <f t="shared" si="498"/>
        <v>14965</v>
      </c>
    </row>
    <row r="1346" spans="2:18" x14ac:dyDescent="0.2">
      <c r="B1346" s="171">
        <f t="shared" si="501"/>
        <v>15</v>
      </c>
      <c r="C1346" s="130"/>
      <c r="D1346" s="159"/>
      <c r="E1346" s="452" t="s">
        <v>672</v>
      </c>
      <c r="F1346" s="158">
        <v>640</v>
      </c>
      <c r="G1346" s="194" t="s">
        <v>283</v>
      </c>
      <c r="H1346" s="382">
        <v>2000</v>
      </c>
      <c r="I1346" s="382"/>
      <c r="J1346" s="382">
        <f t="shared" si="500"/>
        <v>2000</v>
      </c>
      <c r="K1346" s="132"/>
      <c r="L1346" s="382"/>
      <c r="M1346" s="382"/>
      <c r="N1346" s="382"/>
      <c r="O1346" s="132"/>
      <c r="P1346" s="213">
        <f t="shared" si="497"/>
        <v>2000</v>
      </c>
      <c r="Q1346" s="213">
        <f t="shared" si="498"/>
        <v>0</v>
      </c>
      <c r="R1346" s="213">
        <f t="shared" si="498"/>
        <v>2000</v>
      </c>
    </row>
    <row r="1347" spans="2:18" ht="24" x14ac:dyDescent="0.2">
      <c r="B1347" s="171">
        <f t="shared" si="501"/>
        <v>16</v>
      </c>
      <c r="C1347" s="130"/>
      <c r="D1347" s="159"/>
      <c r="E1347" s="452" t="s">
        <v>672</v>
      </c>
      <c r="F1347" s="452">
        <v>640</v>
      </c>
      <c r="G1347" s="604" t="s">
        <v>609</v>
      </c>
      <c r="H1347" s="465">
        <v>898</v>
      </c>
      <c r="I1347" s="465"/>
      <c r="J1347" s="465">
        <f t="shared" si="500"/>
        <v>898</v>
      </c>
      <c r="K1347" s="448"/>
      <c r="L1347" s="465"/>
      <c r="M1347" s="465"/>
      <c r="N1347" s="465"/>
      <c r="O1347" s="448"/>
      <c r="P1347" s="466">
        <f t="shared" si="497"/>
        <v>898</v>
      </c>
      <c r="Q1347" s="466">
        <f t="shared" si="498"/>
        <v>0</v>
      </c>
      <c r="R1347" s="466">
        <f t="shared" si="498"/>
        <v>898</v>
      </c>
    </row>
    <row r="1348" spans="2:18" ht="24" x14ac:dyDescent="0.2">
      <c r="B1348" s="171">
        <f t="shared" si="501"/>
        <v>17</v>
      </c>
      <c r="C1348" s="130"/>
      <c r="D1348" s="159"/>
      <c r="E1348" s="452" t="s">
        <v>672</v>
      </c>
      <c r="F1348" s="452">
        <v>640</v>
      </c>
      <c r="G1348" s="604" t="s">
        <v>610</v>
      </c>
      <c r="H1348" s="465">
        <v>1910</v>
      </c>
      <c r="I1348" s="465"/>
      <c r="J1348" s="465">
        <f t="shared" si="500"/>
        <v>1910</v>
      </c>
      <c r="K1348" s="448"/>
      <c r="L1348" s="465"/>
      <c r="M1348" s="465"/>
      <c r="N1348" s="465"/>
      <c r="O1348" s="448"/>
      <c r="P1348" s="466">
        <f t="shared" si="497"/>
        <v>1910</v>
      </c>
      <c r="Q1348" s="466">
        <f t="shared" ref="Q1348:R1363" si="505">I1348+M1348</f>
        <v>0</v>
      </c>
      <c r="R1348" s="466">
        <f t="shared" si="505"/>
        <v>1910</v>
      </c>
    </row>
    <row r="1349" spans="2:18" ht="24" x14ac:dyDescent="0.2">
      <c r="B1349" s="171">
        <f t="shared" si="501"/>
        <v>18</v>
      </c>
      <c r="C1349" s="130"/>
      <c r="D1349" s="159"/>
      <c r="E1349" s="452" t="s">
        <v>672</v>
      </c>
      <c r="F1349" s="452">
        <v>640</v>
      </c>
      <c r="G1349" s="604" t="s">
        <v>611</v>
      </c>
      <c r="H1349" s="382">
        <f>SUM(H1350:H1356)</f>
        <v>8157</v>
      </c>
      <c r="I1349" s="382"/>
      <c r="J1349" s="382">
        <f t="shared" si="500"/>
        <v>8157</v>
      </c>
      <c r="K1349" s="132"/>
      <c r="L1349" s="382"/>
      <c r="M1349" s="382"/>
      <c r="N1349" s="382"/>
      <c r="O1349" s="132"/>
      <c r="P1349" s="213">
        <f t="shared" si="497"/>
        <v>8157</v>
      </c>
      <c r="Q1349" s="213">
        <f t="shared" si="505"/>
        <v>0</v>
      </c>
      <c r="R1349" s="213">
        <f t="shared" si="505"/>
        <v>8157</v>
      </c>
    </row>
    <row r="1350" spans="2:18" x14ac:dyDescent="0.2">
      <c r="B1350" s="171">
        <f t="shared" si="501"/>
        <v>19</v>
      </c>
      <c r="C1350" s="130"/>
      <c r="D1350" s="159"/>
      <c r="E1350" s="452"/>
      <c r="F1350" s="452"/>
      <c r="G1350" s="604" t="s">
        <v>612</v>
      </c>
      <c r="H1350" s="382">
        <v>417</v>
      </c>
      <c r="I1350" s="382"/>
      <c r="J1350" s="382">
        <f t="shared" si="500"/>
        <v>417</v>
      </c>
      <c r="K1350" s="132"/>
      <c r="L1350" s="382"/>
      <c r="M1350" s="382"/>
      <c r="N1350" s="382"/>
      <c r="O1350" s="132"/>
      <c r="P1350" s="213">
        <f t="shared" si="497"/>
        <v>417</v>
      </c>
      <c r="Q1350" s="213">
        <f t="shared" si="505"/>
        <v>0</v>
      </c>
      <c r="R1350" s="213">
        <f t="shared" si="505"/>
        <v>417</v>
      </c>
    </row>
    <row r="1351" spans="2:18" x14ac:dyDescent="0.2">
      <c r="B1351" s="171">
        <f t="shared" si="501"/>
        <v>20</v>
      </c>
      <c r="C1351" s="130"/>
      <c r="D1351" s="159"/>
      <c r="E1351" s="452"/>
      <c r="F1351" s="452"/>
      <c r="G1351" s="604" t="s">
        <v>613</v>
      </c>
      <c r="H1351" s="382">
        <v>1802</v>
      </c>
      <c r="I1351" s="382"/>
      <c r="J1351" s="382">
        <f t="shared" si="500"/>
        <v>1802</v>
      </c>
      <c r="K1351" s="132"/>
      <c r="L1351" s="382"/>
      <c r="M1351" s="382"/>
      <c r="N1351" s="382"/>
      <c r="O1351" s="132"/>
      <c r="P1351" s="213">
        <f t="shared" si="497"/>
        <v>1802</v>
      </c>
      <c r="Q1351" s="213">
        <f t="shared" si="505"/>
        <v>0</v>
      </c>
      <c r="R1351" s="213">
        <f t="shared" si="505"/>
        <v>1802</v>
      </c>
    </row>
    <row r="1352" spans="2:18" x14ac:dyDescent="0.2">
      <c r="B1352" s="171">
        <f t="shared" si="501"/>
        <v>21</v>
      </c>
      <c r="C1352" s="130"/>
      <c r="D1352" s="159"/>
      <c r="E1352" s="452"/>
      <c r="F1352" s="452"/>
      <c r="G1352" s="604" t="s">
        <v>614</v>
      </c>
      <c r="H1352" s="382">
        <v>1350</v>
      </c>
      <c r="I1352" s="382"/>
      <c r="J1352" s="382">
        <f t="shared" si="500"/>
        <v>1350</v>
      </c>
      <c r="K1352" s="132"/>
      <c r="L1352" s="382"/>
      <c r="M1352" s="382"/>
      <c r="N1352" s="382"/>
      <c r="O1352" s="132"/>
      <c r="P1352" s="213">
        <f t="shared" si="497"/>
        <v>1350</v>
      </c>
      <c r="Q1352" s="213">
        <f t="shared" si="505"/>
        <v>0</v>
      </c>
      <c r="R1352" s="213">
        <f t="shared" si="505"/>
        <v>1350</v>
      </c>
    </row>
    <row r="1353" spans="2:18" x14ac:dyDescent="0.2">
      <c r="B1353" s="171">
        <f t="shared" si="501"/>
        <v>22</v>
      </c>
      <c r="C1353" s="130"/>
      <c r="D1353" s="159"/>
      <c r="E1353" s="452"/>
      <c r="F1353" s="452"/>
      <c r="G1353" s="604" t="s">
        <v>615</v>
      </c>
      <c r="H1353" s="382">
        <v>366</v>
      </c>
      <c r="I1353" s="382"/>
      <c r="J1353" s="382">
        <f t="shared" si="500"/>
        <v>366</v>
      </c>
      <c r="K1353" s="132"/>
      <c r="L1353" s="382"/>
      <c r="M1353" s="382"/>
      <c r="N1353" s="382"/>
      <c r="O1353" s="132"/>
      <c r="P1353" s="213">
        <f t="shared" si="497"/>
        <v>366</v>
      </c>
      <c r="Q1353" s="213">
        <f t="shared" si="505"/>
        <v>0</v>
      </c>
      <c r="R1353" s="213">
        <f t="shared" si="505"/>
        <v>366</v>
      </c>
    </row>
    <row r="1354" spans="2:18" x14ac:dyDescent="0.2">
      <c r="B1354" s="171">
        <f t="shared" si="501"/>
        <v>23</v>
      </c>
      <c r="C1354" s="130"/>
      <c r="D1354" s="159"/>
      <c r="E1354" s="452"/>
      <c r="F1354" s="452"/>
      <c r="G1354" s="604" t="s">
        <v>616</v>
      </c>
      <c r="H1354" s="382">
        <v>474</v>
      </c>
      <c r="I1354" s="382"/>
      <c r="J1354" s="382">
        <f t="shared" si="500"/>
        <v>474</v>
      </c>
      <c r="K1354" s="132"/>
      <c r="L1354" s="382"/>
      <c r="M1354" s="382"/>
      <c r="N1354" s="382"/>
      <c r="O1354" s="132"/>
      <c r="P1354" s="213">
        <f t="shared" si="497"/>
        <v>474</v>
      </c>
      <c r="Q1354" s="213">
        <f t="shared" si="505"/>
        <v>0</v>
      </c>
      <c r="R1354" s="213">
        <f t="shared" si="505"/>
        <v>474</v>
      </c>
    </row>
    <row r="1355" spans="2:18" x14ac:dyDescent="0.2">
      <c r="B1355" s="171">
        <f t="shared" si="501"/>
        <v>24</v>
      </c>
      <c r="C1355" s="130"/>
      <c r="D1355" s="159"/>
      <c r="E1355" s="452"/>
      <c r="F1355" s="452"/>
      <c r="G1355" s="604" t="s">
        <v>617</v>
      </c>
      <c r="H1355" s="382">
        <v>1070</v>
      </c>
      <c r="I1355" s="382"/>
      <c r="J1355" s="382">
        <f t="shared" si="500"/>
        <v>1070</v>
      </c>
      <c r="K1355" s="132"/>
      <c r="L1355" s="382"/>
      <c r="M1355" s="382"/>
      <c r="N1355" s="382"/>
      <c r="O1355" s="132"/>
      <c r="P1355" s="213">
        <f t="shared" si="497"/>
        <v>1070</v>
      </c>
      <c r="Q1355" s="213">
        <f t="shared" si="505"/>
        <v>0</v>
      </c>
      <c r="R1355" s="213">
        <f t="shared" si="505"/>
        <v>1070</v>
      </c>
    </row>
    <row r="1356" spans="2:18" x14ac:dyDescent="0.2">
      <c r="B1356" s="171">
        <f t="shared" si="501"/>
        <v>25</v>
      </c>
      <c r="C1356" s="130"/>
      <c r="D1356" s="159"/>
      <c r="E1356" s="452"/>
      <c r="F1356" s="452"/>
      <c r="G1356" s="604" t="s">
        <v>618</v>
      </c>
      <c r="H1356" s="382">
        <v>2678</v>
      </c>
      <c r="I1356" s="382"/>
      <c r="J1356" s="382">
        <f t="shared" si="500"/>
        <v>2678</v>
      </c>
      <c r="K1356" s="132"/>
      <c r="L1356" s="382"/>
      <c r="M1356" s="382"/>
      <c r="N1356" s="382"/>
      <c r="O1356" s="132"/>
      <c r="P1356" s="213">
        <f t="shared" si="497"/>
        <v>2678</v>
      </c>
      <c r="Q1356" s="213">
        <f t="shared" si="505"/>
        <v>0</v>
      </c>
      <c r="R1356" s="213">
        <f t="shared" si="505"/>
        <v>2678</v>
      </c>
    </row>
    <row r="1357" spans="2:18" ht="33.75" x14ac:dyDescent="0.2">
      <c r="B1357" s="171">
        <f t="shared" si="501"/>
        <v>26</v>
      </c>
      <c r="C1357" s="130"/>
      <c r="D1357" s="159"/>
      <c r="E1357" s="452" t="s">
        <v>672</v>
      </c>
      <c r="F1357" s="452">
        <v>640</v>
      </c>
      <c r="G1357" s="552" t="s">
        <v>627</v>
      </c>
      <c r="H1357" s="465">
        <v>2000</v>
      </c>
      <c r="I1357" s="465"/>
      <c r="J1357" s="465">
        <f t="shared" si="500"/>
        <v>2000</v>
      </c>
      <c r="K1357" s="132"/>
      <c r="L1357" s="382"/>
      <c r="M1357" s="382"/>
      <c r="N1357" s="382"/>
      <c r="O1357" s="132"/>
      <c r="P1357" s="551">
        <f t="shared" si="497"/>
        <v>2000</v>
      </c>
      <c r="Q1357" s="551">
        <f t="shared" si="505"/>
        <v>0</v>
      </c>
      <c r="R1357" s="551">
        <f t="shared" si="505"/>
        <v>2000</v>
      </c>
    </row>
    <row r="1358" spans="2:18" ht="15.75" x14ac:dyDescent="0.25">
      <c r="B1358" s="171">
        <f t="shared" si="501"/>
        <v>27</v>
      </c>
      <c r="C1358" s="23">
        <v>4</v>
      </c>
      <c r="D1358" s="127" t="s">
        <v>319</v>
      </c>
      <c r="E1358" s="24"/>
      <c r="F1358" s="24"/>
      <c r="G1358" s="193"/>
      <c r="H1358" s="414">
        <f>H1359</f>
        <v>22458</v>
      </c>
      <c r="I1358" s="414">
        <f t="shared" ref="I1358" si="506">I1359</f>
        <v>0</v>
      </c>
      <c r="J1358" s="414">
        <f t="shared" si="500"/>
        <v>22458</v>
      </c>
      <c r="K1358" s="88"/>
      <c r="L1358" s="393"/>
      <c r="M1358" s="393"/>
      <c r="N1358" s="393"/>
      <c r="O1358" s="88"/>
      <c r="P1358" s="373">
        <f t="shared" si="497"/>
        <v>22458</v>
      </c>
      <c r="Q1358" s="373">
        <f t="shared" si="505"/>
        <v>0</v>
      </c>
      <c r="R1358" s="373">
        <f t="shared" si="505"/>
        <v>22458</v>
      </c>
    </row>
    <row r="1359" spans="2:18" x14ac:dyDescent="0.2">
      <c r="B1359" s="171">
        <f t="shared" si="501"/>
        <v>28</v>
      </c>
      <c r="C1359" s="135"/>
      <c r="D1359" s="135"/>
      <c r="E1359" s="357" t="s">
        <v>671</v>
      </c>
      <c r="F1359" s="357"/>
      <c r="G1359" s="358" t="s">
        <v>451</v>
      </c>
      <c r="H1359" s="404">
        <f>H1360+H1361+H1362</f>
        <v>22458</v>
      </c>
      <c r="I1359" s="404">
        <f t="shared" ref="I1359" si="507">I1360+I1361+I1362</f>
        <v>0</v>
      </c>
      <c r="J1359" s="404">
        <f t="shared" si="500"/>
        <v>22458</v>
      </c>
      <c r="K1359" s="361"/>
      <c r="L1359" s="878"/>
      <c r="M1359" s="878"/>
      <c r="N1359" s="878"/>
      <c r="O1359" s="361"/>
      <c r="P1359" s="362">
        <f t="shared" si="497"/>
        <v>22458</v>
      </c>
      <c r="Q1359" s="362">
        <f t="shared" si="505"/>
        <v>0</v>
      </c>
      <c r="R1359" s="362">
        <f t="shared" si="505"/>
        <v>22458</v>
      </c>
    </row>
    <row r="1360" spans="2:18" x14ac:dyDescent="0.2">
      <c r="B1360" s="171">
        <f t="shared" si="501"/>
        <v>29</v>
      </c>
      <c r="C1360" s="130"/>
      <c r="D1360" s="130"/>
      <c r="E1360" s="149"/>
      <c r="F1360" s="149">
        <v>610</v>
      </c>
      <c r="G1360" s="199" t="s">
        <v>257</v>
      </c>
      <c r="H1360" s="388">
        <v>11031</v>
      </c>
      <c r="I1360" s="388"/>
      <c r="J1360" s="388">
        <f t="shared" si="500"/>
        <v>11031</v>
      </c>
      <c r="K1360" s="132"/>
      <c r="L1360" s="527"/>
      <c r="M1360" s="527"/>
      <c r="N1360" s="527"/>
      <c r="O1360" s="132"/>
      <c r="P1360" s="531">
        <f t="shared" si="497"/>
        <v>11031</v>
      </c>
      <c r="Q1360" s="531">
        <f t="shared" si="505"/>
        <v>0</v>
      </c>
      <c r="R1360" s="531">
        <f t="shared" si="505"/>
        <v>11031</v>
      </c>
    </row>
    <row r="1361" spans="2:18" x14ac:dyDescent="0.2">
      <c r="B1361" s="171">
        <f t="shared" si="501"/>
        <v>30</v>
      </c>
      <c r="C1361" s="130"/>
      <c r="D1361" s="130"/>
      <c r="E1361" s="134"/>
      <c r="F1361" s="149">
        <v>620</v>
      </c>
      <c r="G1361" s="199" t="s">
        <v>259</v>
      </c>
      <c r="H1361" s="388">
        <v>3861</v>
      </c>
      <c r="I1361" s="388"/>
      <c r="J1361" s="388">
        <f t="shared" si="500"/>
        <v>3861</v>
      </c>
      <c r="K1361" s="132"/>
      <c r="L1361" s="527"/>
      <c r="M1361" s="527"/>
      <c r="N1361" s="527"/>
      <c r="O1361" s="132"/>
      <c r="P1361" s="531">
        <f t="shared" si="497"/>
        <v>3861</v>
      </c>
      <c r="Q1361" s="531">
        <f t="shared" si="505"/>
        <v>0</v>
      </c>
      <c r="R1361" s="531">
        <f t="shared" si="505"/>
        <v>3861</v>
      </c>
    </row>
    <row r="1362" spans="2:18" x14ac:dyDescent="0.2">
      <c r="B1362" s="171">
        <f t="shared" si="501"/>
        <v>31</v>
      </c>
      <c r="C1362" s="130"/>
      <c r="D1362" s="130"/>
      <c r="E1362" s="134"/>
      <c r="F1362" s="149">
        <v>630</v>
      </c>
      <c r="G1362" s="199" t="s">
        <v>340</v>
      </c>
      <c r="H1362" s="388">
        <f>SUM(H1363:H1366)</f>
        <v>7566</v>
      </c>
      <c r="I1362" s="388"/>
      <c r="J1362" s="388">
        <f t="shared" si="500"/>
        <v>7566</v>
      </c>
      <c r="K1362" s="132"/>
      <c r="L1362" s="527"/>
      <c r="M1362" s="527"/>
      <c r="N1362" s="527"/>
      <c r="O1362" s="132"/>
      <c r="P1362" s="531">
        <f t="shared" si="497"/>
        <v>7566</v>
      </c>
      <c r="Q1362" s="531">
        <f t="shared" si="505"/>
        <v>0</v>
      </c>
      <c r="R1362" s="531">
        <f t="shared" si="505"/>
        <v>7566</v>
      </c>
    </row>
    <row r="1363" spans="2:18" x14ac:dyDescent="0.2">
      <c r="B1363" s="171">
        <f t="shared" si="501"/>
        <v>32</v>
      </c>
      <c r="C1363" s="130"/>
      <c r="D1363" s="130"/>
      <c r="E1363" s="134"/>
      <c r="F1363" s="134">
        <v>632</v>
      </c>
      <c r="G1363" s="194" t="s">
        <v>246</v>
      </c>
      <c r="H1363" s="527">
        <v>5113</v>
      </c>
      <c r="I1363" s="527"/>
      <c r="J1363" s="527">
        <f t="shared" si="500"/>
        <v>5113</v>
      </c>
      <c r="K1363" s="132"/>
      <c r="L1363" s="527"/>
      <c r="M1363" s="527"/>
      <c r="N1363" s="527"/>
      <c r="O1363" s="132"/>
      <c r="P1363" s="168">
        <f t="shared" si="497"/>
        <v>5113</v>
      </c>
      <c r="Q1363" s="168">
        <f t="shared" si="505"/>
        <v>0</v>
      </c>
      <c r="R1363" s="168">
        <f t="shared" si="505"/>
        <v>5113</v>
      </c>
    </row>
    <row r="1364" spans="2:18" x14ac:dyDescent="0.2">
      <c r="B1364" s="171">
        <f t="shared" si="501"/>
        <v>33</v>
      </c>
      <c r="C1364" s="130"/>
      <c r="D1364" s="130"/>
      <c r="E1364" s="134"/>
      <c r="F1364" s="134">
        <v>633</v>
      </c>
      <c r="G1364" s="194" t="s">
        <v>247</v>
      </c>
      <c r="H1364" s="527">
        <v>100</v>
      </c>
      <c r="I1364" s="527"/>
      <c r="J1364" s="527">
        <f t="shared" si="500"/>
        <v>100</v>
      </c>
      <c r="K1364" s="132"/>
      <c r="L1364" s="527"/>
      <c r="M1364" s="527"/>
      <c r="N1364" s="527"/>
      <c r="O1364" s="132"/>
      <c r="P1364" s="168">
        <f t="shared" si="497"/>
        <v>100</v>
      </c>
      <c r="Q1364" s="168">
        <f t="shared" ref="Q1364:R1377" si="508">I1364+M1364</f>
        <v>0</v>
      </c>
      <c r="R1364" s="168">
        <f t="shared" si="508"/>
        <v>100</v>
      </c>
    </row>
    <row r="1365" spans="2:18" x14ac:dyDescent="0.2">
      <c r="B1365" s="171">
        <f t="shared" si="501"/>
        <v>34</v>
      </c>
      <c r="C1365" s="130"/>
      <c r="D1365" s="130"/>
      <c r="E1365" s="134"/>
      <c r="F1365" s="134">
        <v>635</v>
      </c>
      <c r="G1365" s="194" t="s">
        <v>261</v>
      </c>
      <c r="H1365" s="527">
        <v>500</v>
      </c>
      <c r="I1365" s="527"/>
      <c r="J1365" s="527">
        <f t="shared" si="500"/>
        <v>500</v>
      </c>
      <c r="K1365" s="132"/>
      <c r="L1365" s="527"/>
      <c r="M1365" s="527"/>
      <c r="N1365" s="527"/>
      <c r="O1365" s="132"/>
      <c r="P1365" s="168">
        <f t="shared" si="497"/>
        <v>500</v>
      </c>
      <c r="Q1365" s="168">
        <f t="shared" si="508"/>
        <v>0</v>
      </c>
      <c r="R1365" s="168">
        <f t="shared" si="508"/>
        <v>500</v>
      </c>
    </row>
    <row r="1366" spans="2:18" x14ac:dyDescent="0.2">
      <c r="B1366" s="171">
        <f t="shared" si="501"/>
        <v>35</v>
      </c>
      <c r="C1366" s="130"/>
      <c r="D1366" s="130"/>
      <c r="E1366" s="134"/>
      <c r="F1366" s="134">
        <v>637</v>
      </c>
      <c r="G1366" s="194" t="s">
        <v>320</v>
      </c>
      <c r="H1366" s="527">
        <v>1853</v>
      </c>
      <c r="I1366" s="527"/>
      <c r="J1366" s="527">
        <f t="shared" si="500"/>
        <v>1853</v>
      </c>
      <c r="K1366" s="132"/>
      <c r="L1366" s="527"/>
      <c r="M1366" s="527"/>
      <c r="N1366" s="527"/>
      <c r="O1366" s="132"/>
      <c r="P1366" s="168">
        <f t="shared" si="497"/>
        <v>1853</v>
      </c>
      <c r="Q1366" s="168">
        <f t="shared" si="508"/>
        <v>0</v>
      </c>
      <c r="R1366" s="168">
        <f t="shared" si="508"/>
        <v>1853</v>
      </c>
    </row>
    <row r="1367" spans="2:18" ht="15.75" x14ac:dyDescent="0.25">
      <c r="B1367" s="171">
        <f t="shared" si="501"/>
        <v>36</v>
      </c>
      <c r="C1367" s="23">
        <v>5</v>
      </c>
      <c r="D1367" s="127" t="s">
        <v>145</v>
      </c>
      <c r="E1367" s="24"/>
      <c r="F1367" s="24"/>
      <c r="G1367" s="193"/>
      <c r="H1367" s="414">
        <f>H1368+H1386+H1400</f>
        <v>447905</v>
      </c>
      <c r="I1367" s="414"/>
      <c r="J1367" s="414">
        <f t="shared" si="500"/>
        <v>447905</v>
      </c>
      <c r="K1367" s="88"/>
      <c r="L1367" s="393"/>
      <c r="M1367" s="393"/>
      <c r="N1367" s="393"/>
      <c r="O1367" s="88"/>
      <c r="P1367" s="373">
        <f t="shared" si="497"/>
        <v>447905</v>
      </c>
      <c r="Q1367" s="373">
        <f t="shared" si="508"/>
        <v>0</v>
      </c>
      <c r="R1367" s="373">
        <f t="shared" si="508"/>
        <v>447905</v>
      </c>
    </row>
    <row r="1368" spans="2:18" x14ac:dyDescent="0.2">
      <c r="B1368" s="171">
        <f t="shared" si="501"/>
        <v>37</v>
      </c>
      <c r="C1368" s="76"/>
      <c r="D1368" s="177" t="s">
        <v>4</v>
      </c>
      <c r="E1368" s="514" t="s">
        <v>673</v>
      </c>
      <c r="F1368" s="230" t="s">
        <v>456</v>
      </c>
      <c r="G1368" s="231"/>
      <c r="H1368" s="387">
        <f>H1369+H1383+H1384+H1385+H1379+H1380+H1381</f>
        <v>8135</v>
      </c>
      <c r="I1368" s="387">
        <f t="shared" ref="I1368" si="509">I1369+I1383+I1384+I1385+I1379+I1380+I1381</f>
        <v>0</v>
      </c>
      <c r="J1368" s="387">
        <f t="shared" si="500"/>
        <v>8135</v>
      </c>
      <c r="K1368" s="20"/>
      <c r="L1368" s="879"/>
      <c r="M1368" s="879"/>
      <c r="N1368" s="879"/>
      <c r="O1368" s="20"/>
      <c r="P1368" s="232">
        <f t="shared" si="497"/>
        <v>8135</v>
      </c>
      <c r="Q1368" s="232">
        <f t="shared" si="508"/>
        <v>0</v>
      </c>
      <c r="R1368" s="232">
        <f t="shared" si="508"/>
        <v>8135</v>
      </c>
    </row>
    <row r="1369" spans="2:18" x14ac:dyDescent="0.2">
      <c r="B1369" s="171">
        <f t="shared" si="501"/>
        <v>38</v>
      </c>
      <c r="C1369" s="130"/>
      <c r="D1369" s="130"/>
      <c r="E1369" s="134"/>
      <c r="F1369" s="149">
        <v>630</v>
      </c>
      <c r="G1369" s="199" t="s">
        <v>236</v>
      </c>
      <c r="H1369" s="494">
        <f>SUM(H1370:H1377)</f>
        <v>5035</v>
      </c>
      <c r="I1369" s="494">
        <f t="shared" ref="I1369" si="510">SUM(I1370:I1377)</f>
        <v>0</v>
      </c>
      <c r="J1369" s="494">
        <f t="shared" si="500"/>
        <v>5035</v>
      </c>
      <c r="K1369" s="132"/>
      <c r="L1369" s="527"/>
      <c r="M1369" s="527"/>
      <c r="N1369" s="527"/>
      <c r="O1369" s="132"/>
      <c r="P1369" s="271">
        <f t="shared" si="497"/>
        <v>5035</v>
      </c>
      <c r="Q1369" s="271">
        <f t="shared" si="508"/>
        <v>0</v>
      </c>
      <c r="R1369" s="271">
        <f t="shared" si="508"/>
        <v>5035</v>
      </c>
    </row>
    <row r="1370" spans="2:18" x14ac:dyDescent="0.2">
      <c r="B1370" s="171">
        <f t="shared" si="501"/>
        <v>39</v>
      </c>
      <c r="C1370" s="130"/>
      <c r="D1370" s="130"/>
      <c r="E1370" s="161" t="s">
        <v>673</v>
      </c>
      <c r="F1370" s="525">
        <v>630</v>
      </c>
      <c r="G1370" s="194" t="s">
        <v>619</v>
      </c>
      <c r="H1370" s="527">
        <v>496</v>
      </c>
      <c r="I1370" s="527"/>
      <c r="J1370" s="527">
        <f t="shared" si="500"/>
        <v>496</v>
      </c>
      <c r="K1370" s="132"/>
      <c r="L1370" s="528"/>
      <c r="M1370" s="528"/>
      <c r="N1370" s="528"/>
      <c r="O1370" s="132"/>
      <c r="P1370" s="167">
        <f t="shared" si="497"/>
        <v>496</v>
      </c>
      <c r="Q1370" s="167">
        <f t="shared" si="508"/>
        <v>0</v>
      </c>
      <c r="R1370" s="167">
        <f t="shared" si="508"/>
        <v>496</v>
      </c>
    </row>
    <row r="1371" spans="2:18" x14ac:dyDescent="0.2">
      <c r="B1371" s="171">
        <f t="shared" si="501"/>
        <v>40</v>
      </c>
      <c r="C1371" s="130"/>
      <c r="D1371" s="130"/>
      <c r="E1371" s="161" t="s">
        <v>673</v>
      </c>
      <c r="F1371" s="525">
        <v>630</v>
      </c>
      <c r="G1371" s="604" t="s">
        <v>620</v>
      </c>
      <c r="H1371" s="527">
        <v>467</v>
      </c>
      <c r="I1371" s="527"/>
      <c r="J1371" s="527">
        <f t="shared" si="500"/>
        <v>467</v>
      </c>
      <c r="K1371" s="132"/>
      <c r="L1371" s="528"/>
      <c r="M1371" s="528"/>
      <c r="N1371" s="528"/>
      <c r="O1371" s="132"/>
      <c r="P1371" s="167">
        <f t="shared" si="497"/>
        <v>467</v>
      </c>
      <c r="Q1371" s="167">
        <f t="shared" si="508"/>
        <v>0</v>
      </c>
      <c r="R1371" s="167">
        <f t="shared" si="508"/>
        <v>467</v>
      </c>
    </row>
    <row r="1372" spans="2:18" x14ac:dyDescent="0.2">
      <c r="B1372" s="171">
        <f t="shared" si="501"/>
        <v>41</v>
      </c>
      <c r="C1372" s="130"/>
      <c r="D1372" s="130"/>
      <c r="E1372" s="161" t="s">
        <v>673</v>
      </c>
      <c r="F1372" s="525">
        <v>630</v>
      </c>
      <c r="G1372" s="604" t="s">
        <v>621</v>
      </c>
      <c r="H1372" s="527">
        <v>711</v>
      </c>
      <c r="I1372" s="527"/>
      <c r="J1372" s="527">
        <f t="shared" si="500"/>
        <v>711</v>
      </c>
      <c r="K1372" s="132"/>
      <c r="L1372" s="528"/>
      <c r="M1372" s="528"/>
      <c r="N1372" s="528"/>
      <c r="O1372" s="132"/>
      <c r="P1372" s="167">
        <f t="shared" si="497"/>
        <v>711</v>
      </c>
      <c r="Q1372" s="167">
        <f t="shared" si="508"/>
        <v>0</v>
      </c>
      <c r="R1372" s="167">
        <f t="shared" si="508"/>
        <v>711</v>
      </c>
    </row>
    <row r="1373" spans="2:18" x14ac:dyDescent="0.2">
      <c r="B1373" s="171">
        <f t="shared" si="501"/>
        <v>42</v>
      </c>
      <c r="C1373" s="130"/>
      <c r="D1373" s="130"/>
      <c r="E1373" s="161" t="s">
        <v>673</v>
      </c>
      <c r="F1373" s="525">
        <v>630</v>
      </c>
      <c r="G1373" s="604" t="s">
        <v>622</v>
      </c>
      <c r="H1373" s="527">
        <v>632</v>
      </c>
      <c r="I1373" s="527"/>
      <c r="J1373" s="527">
        <f t="shared" si="500"/>
        <v>632</v>
      </c>
      <c r="K1373" s="132"/>
      <c r="L1373" s="528"/>
      <c r="M1373" s="528"/>
      <c r="N1373" s="528"/>
      <c r="O1373" s="132"/>
      <c r="P1373" s="167">
        <f t="shared" si="497"/>
        <v>632</v>
      </c>
      <c r="Q1373" s="167">
        <f t="shared" si="508"/>
        <v>0</v>
      </c>
      <c r="R1373" s="167">
        <f t="shared" si="508"/>
        <v>632</v>
      </c>
    </row>
    <row r="1374" spans="2:18" x14ac:dyDescent="0.2">
      <c r="B1374" s="171">
        <f t="shared" si="501"/>
        <v>43</v>
      </c>
      <c r="C1374" s="130"/>
      <c r="D1374" s="130"/>
      <c r="E1374" s="161" t="s">
        <v>673</v>
      </c>
      <c r="F1374" s="525">
        <v>630</v>
      </c>
      <c r="G1374" s="604" t="s">
        <v>623</v>
      </c>
      <c r="H1374" s="527">
        <v>524</v>
      </c>
      <c r="I1374" s="527"/>
      <c r="J1374" s="527">
        <f t="shared" si="500"/>
        <v>524</v>
      </c>
      <c r="K1374" s="132"/>
      <c r="L1374" s="528"/>
      <c r="M1374" s="528"/>
      <c r="N1374" s="528"/>
      <c r="O1374" s="132"/>
      <c r="P1374" s="167">
        <f t="shared" si="497"/>
        <v>524</v>
      </c>
      <c r="Q1374" s="167">
        <f t="shared" si="508"/>
        <v>0</v>
      </c>
      <c r="R1374" s="167">
        <f t="shared" si="508"/>
        <v>524</v>
      </c>
    </row>
    <row r="1375" spans="2:18" x14ac:dyDescent="0.2">
      <c r="B1375" s="171">
        <f t="shared" si="501"/>
        <v>44</v>
      </c>
      <c r="C1375" s="130"/>
      <c r="D1375" s="130"/>
      <c r="E1375" s="161" t="s">
        <v>673</v>
      </c>
      <c r="F1375" s="525">
        <v>630</v>
      </c>
      <c r="G1375" s="604" t="s">
        <v>624</v>
      </c>
      <c r="H1375" s="527">
        <v>1099</v>
      </c>
      <c r="I1375" s="527"/>
      <c r="J1375" s="527">
        <f t="shared" si="500"/>
        <v>1099</v>
      </c>
      <c r="K1375" s="132"/>
      <c r="L1375" s="528"/>
      <c r="M1375" s="528"/>
      <c r="N1375" s="528"/>
      <c r="O1375" s="132"/>
      <c r="P1375" s="167">
        <f t="shared" si="497"/>
        <v>1099</v>
      </c>
      <c r="Q1375" s="167">
        <f t="shared" si="508"/>
        <v>0</v>
      </c>
      <c r="R1375" s="167">
        <f t="shared" si="508"/>
        <v>1099</v>
      </c>
    </row>
    <row r="1376" spans="2:18" x14ac:dyDescent="0.2">
      <c r="B1376" s="171">
        <f t="shared" si="501"/>
        <v>45</v>
      </c>
      <c r="C1376" s="130"/>
      <c r="D1376" s="130"/>
      <c r="E1376" s="161" t="s">
        <v>673</v>
      </c>
      <c r="F1376" s="525">
        <v>630</v>
      </c>
      <c r="G1376" s="604" t="s">
        <v>625</v>
      </c>
      <c r="H1376" s="527">
        <v>675</v>
      </c>
      <c r="I1376" s="527"/>
      <c r="J1376" s="527">
        <f t="shared" si="500"/>
        <v>675</v>
      </c>
      <c r="K1376" s="132"/>
      <c r="L1376" s="528"/>
      <c r="M1376" s="528"/>
      <c r="N1376" s="528"/>
      <c r="O1376" s="132"/>
      <c r="P1376" s="167">
        <f t="shared" si="497"/>
        <v>675</v>
      </c>
      <c r="Q1376" s="167">
        <f t="shared" si="508"/>
        <v>0</v>
      </c>
      <c r="R1376" s="167">
        <f t="shared" si="508"/>
        <v>675</v>
      </c>
    </row>
    <row r="1377" spans="2:18" x14ac:dyDescent="0.2">
      <c r="B1377" s="171">
        <f t="shared" si="501"/>
        <v>46</v>
      </c>
      <c r="C1377" s="130"/>
      <c r="D1377" s="130"/>
      <c r="E1377" s="161" t="s">
        <v>673</v>
      </c>
      <c r="F1377" s="525">
        <v>630</v>
      </c>
      <c r="G1377" s="604" t="s">
        <v>626</v>
      </c>
      <c r="H1377" s="527">
        <v>431</v>
      </c>
      <c r="I1377" s="527"/>
      <c r="J1377" s="527">
        <f t="shared" si="500"/>
        <v>431</v>
      </c>
      <c r="K1377" s="132"/>
      <c r="L1377" s="528"/>
      <c r="M1377" s="528"/>
      <c r="N1377" s="528"/>
      <c r="O1377" s="132"/>
      <c r="P1377" s="167">
        <f t="shared" si="497"/>
        <v>431</v>
      </c>
      <c r="Q1377" s="167">
        <f t="shared" si="508"/>
        <v>0</v>
      </c>
      <c r="R1377" s="167">
        <f t="shared" si="508"/>
        <v>431</v>
      </c>
    </row>
    <row r="1378" spans="2:18" x14ac:dyDescent="0.2">
      <c r="B1378" s="171">
        <f t="shared" si="501"/>
        <v>47</v>
      </c>
      <c r="C1378" s="130"/>
      <c r="D1378" s="130"/>
      <c r="E1378" s="161"/>
      <c r="F1378" s="525"/>
      <c r="G1378" s="604"/>
      <c r="H1378" s="527"/>
      <c r="I1378" s="527"/>
      <c r="J1378" s="527"/>
      <c r="K1378" s="132"/>
      <c r="L1378" s="528"/>
      <c r="M1378" s="528"/>
      <c r="N1378" s="528"/>
      <c r="O1378" s="132"/>
      <c r="P1378" s="167"/>
      <c r="Q1378" s="167"/>
      <c r="R1378" s="167"/>
    </row>
    <row r="1379" spans="2:18" x14ac:dyDescent="0.2">
      <c r="B1379" s="171">
        <f t="shared" si="501"/>
        <v>48</v>
      </c>
      <c r="C1379" s="130"/>
      <c r="D1379" s="130"/>
      <c r="E1379" s="161" t="s">
        <v>670</v>
      </c>
      <c r="F1379" s="525">
        <v>640</v>
      </c>
      <c r="G1379" s="604" t="s">
        <v>732</v>
      </c>
      <c r="H1379" s="527">
        <f>600-230</f>
        <v>370</v>
      </c>
      <c r="I1379" s="527"/>
      <c r="J1379" s="527">
        <f t="shared" si="500"/>
        <v>370</v>
      </c>
      <c r="K1379" s="132"/>
      <c r="L1379" s="528"/>
      <c r="M1379" s="528"/>
      <c r="N1379" s="528"/>
      <c r="O1379" s="132"/>
      <c r="P1379" s="167">
        <f>H1379+L1379</f>
        <v>370</v>
      </c>
      <c r="Q1379" s="167">
        <f t="shared" ref="Q1379:R1381" si="511">I1379+M1379</f>
        <v>0</v>
      </c>
      <c r="R1379" s="167">
        <f t="shared" si="511"/>
        <v>370</v>
      </c>
    </row>
    <row r="1380" spans="2:18" x14ac:dyDescent="0.2">
      <c r="B1380" s="171">
        <f t="shared" si="501"/>
        <v>49</v>
      </c>
      <c r="C1380" s="130"/>
      <c r="D1380" s="130"/>
      <c r="E1380" s="161" t="s">
        <v>670</v>
      </c>
      <c r="F1380" s="525">
        <v>640</v>
      </c>
      <c r="G1380" s="604" t="s">
        <v>733</v>
      </c>
      <c r="H1380" s="527">
        <v>1500</v>
      </c>
      <c r="I1380" s="527"/>
      <c r="J1380" s="527">
        <f t="shared" si="500"/>
        <v>1500</v>
      </c>
      <c r="K1380" s="132"/>
      <c r="L1380" s="528"/>
      <c r="M1380" s="528"/>
      <c r="N1380" s="528"/>
      <c r="O1380" s="132"/>
      <c r="P1380" s="167">
        <f>H1380+L1380</f>
        <v>1500</v>
      </c>
      <c r="Q1380" s="167">
        <f t="shared" si="511"/>
        <v>0</v>
      </c>
      <c r="R1380" s="167">
        <f t="shared" si="511"/>
        <v>1500</v>
      </c>
    </row>
    <row r="1381" spans="2:18" x14ac:dyDescent="0.2">
      <c r="B1381" s="171">
        <f t="shared" si="501"/>
        <v>50</v>
      </c>
      <c r="C1381" s="130"/>
      <c r="D1381" s="130"/>
      <c r="E1381" s="161" t="s">
        <v>670</v>
      </c>
      <c r="F1381" s="525">
        <v>640</v>
      </c>
      <c r="G1381" s="604" t="s">
        <v>836</v>
      </c>
      <c r="H1381" s="527">
        <v>230</v>
      </c>
      <c r="I1381" s="527"/>
      <c r="J1381" s="527">
        <f t="shared" si="500"/>
        <v>230</v>
      </c>
      <c r="K1381" s="132"/>
      <c r="L1381" s="528"/>
      <c r="M1381" s="528"/>
      <c r="N1381" s="528"/>
      <c r="O1381" s="132"/>
      <c r="P1381" s="167">
        <f>H1381+L1381</f>
        <v>230</v>
      </c>
      <c r="Q1381" s="167">
        <f t="shared" si="511"/>
        <v>0</v>
      </c>
      <c r="R1381" s="167">
        <f t="shared" si="511"/>
        <v>230</v>
      </c>
    </row>
    <row r="1382" spans="2:18" x14ac:dyDescent="0.2">
      <c r="B1382" s="171">
        <f t="shared" si="501"/>
        <v>51</v>
      </c>
      <c r="C1382" s="130"/>
      <c r="D1382" s="130"/>
      <c r="E1382" s="161"/>
      <c r="F1382" s="525"/>
      <c r="G1382" s="604"/>
      <c r="H1382" s="527"/>
      <c r="I1382" s="527"/>
      <c r="J1382" s="527"/>
      <c r="K1382" s="132"/>
      <c r="L1382" s="528"/>
      <c r="M1382" s="528"/>
      <c r="N1382" s="528"/>
      <c r="O1382" s="132"/>
      <c r="P1382" s="167"/>
      <c r="Q1382" s="167"/>
      <c r="R1382" s="167"/>
    </row>
    <row r="1383" spans="2:18" x14ac:dyDescent="0.2">
      <c r="B1383" s="171">
        <f t="shared" si="501"/>
        <v>52</v>
      </c>
      <c r="C1383" s="130"/>
      <c r="D1383" s="130"/>
      <c r="E1383" s="161"/>
      <c r="F1383" s="525">
        <v>633</v>
      </c>
      <c r="G1383" s="194" t="s">
        <v>581</v>
      </c>
      <c r="H1383" s="527">
        <v>150</v>
      </c>
      <c r="I1383" s="527"/>
      <c r="J1383" s="527">
        <f t="shared" si="500"/>
        <v>150</v>
      </c>
      <c r="K1383" s="132"/>
      <c r="L1383" s="528"/>
      <c r="M1383" s="528"/>
      <c r="N1383" s="528"/>
      <c r="O1383" s="132"/>
      <c r="P1383" s="167">
        <f t="shared" ref="P1383:P1397" si="512">H1383+L1383</f>
        <v>150</v>
      </c>
      <c r="Q1383" s="167">
        <f t="shared" ref="Q1383:R1397" si="513">I1383+M1383</f>
        <v>0</v>
      </c>
      <c r="R1383" s="167">
        <f t="shared" si="513"/>
        <v>150</v>
      </c>
    </row>
    <row r="1384" spans="2:18" x14ac:dyDescent="0.2">
      <c r="B1384" s="171">
        <f t="shared" si="501"/>
        <v>53</v>
      </c>
      <c r="C1384" s="130"/>
      <c r="D1384" s="130"/>
      <c r="E1384" s="161"/>
      <c r="F1384" s="525">
        <v>634</v>
      </c>
      <c r="G1384" s="194" t="s">
        <v>581</v>
      </c>
      <c r="H1384" s="527">
        <v>650</v>
      </c>
      <c r="I1384" s="527"/>
      <c r="J1384" s="527">
        <f t="shared" si="500"/>
        <v>650</v>
      </c>
      <c r="K1384" s="132"/>
      <c r="L1384" s="528"/>
      <c r="M1384" s="528"/>
      <c r="N1384" s="528"/>
      <c r="O1384" s="132"/>
      <c r="P1384" s="167">
        <f t="shared" si="512"/>
        <v>650</v>
      </c>
      <c r="Q1384" s="167">
        <f t="shared" si="513"/>
        <v>0</v>
      </c>
      <c r="R1384" s="167">
        <f t="shared" si="513"/>
        <v>650</v>
      </c>
    </row>
    <row r="1385" spans="2:18" x14ac:dyDescent="0.2">
      <c r="B1385" s="171">
        <f t="shared" si="501"/>
        <v>54</v>
      </c>
      <c r="C1385" s="130"/>
      <c r="D1385" s="130"/>
      <c r="E1385" s="161"/>
      <c r="F1385" s="525">
        <v>637</v>
      </c>
      <c r="G1385" s="194" t="s">
        <v>581</v>
      </c>
      <c r="H1385" s="527">
        <v>200</v>
      </c>
      <c r="I1385" s="527"/>
      <c r="J1385" s="527">
        <f t="shared" si="500"/>
        <v>200</v>
      </c>
      <c r="K1385" s="132"/>
      <c r="L1385" s="528"/>
      <c r="M1385" s="528"/>
      <c r="N1385" s="528"/>
      <c r="O1385" s="132"/>
      <c r="P1385" s="167">
        <f t="shared" si="512"/>
        <v>200</v>
      </c>
      <c r="Q1385" s="167">
        <f t="shared" si="513"/>
        <v>0</v>
      </c>
      <c r="R1385" s="167">
        <f t="shared" si="513"/>
        <v>200</v>
      </c>
    </row>
    <row r="1386" spans="2:18" x14ac:dyDescent="0.2">
      <c r="B1386" s="171">
        <f t="shared" si="501"/>
        <v>55</v>
      </c>
      <c r="C1386" s="76"/>
      <c r="D1386" s="177" t="s">
        <v>5</v>
      </c>
      <c r="E1386" s="230"/>
      <c r="F1386" s="230" t="s">
        <v>188</v>
      </c>
      <c r="G1386" s="231"/>
      <c r="H1386" s="387">
        <f>H1387+H1399</f>
        <v>419840</v>
      </c>
      <c r="I1386" s="387">
        <f t="shared" ref="I1386" si="514">I1387+I1399</f>
        <v>0</v>
      </c>
      <c r="J1386" s="387">
        <f t="shared" si="500"/>
        <v>419840</v>
      </c>
      <c r="K1386" s="20"/>
      <c r="L1386" s="879"/>
      <c r="M1386" s="879"/>
      <c r="N1386" s="879"/>
      <c r="O1386" s="20"/>
      <c r="P1386" s="235">
        <f t="shared" si="512"/>
        <v>419840</v>
      </c>
      <c r="Q1386" s="235">
        <f t="shared" si="513"/>
        <v>0</v>
      </c>
      <c r="R1386" s="235">
        <f t="shared" si="513"/>
        <v>419840</v>
      </c>
    </row>
    <row r="1387" spans="2:18" x14ac:dyDescent="0.2">
      <c r="B1387" s="171">
        <f t="shared" si="501"/>
        <v>56</v>
      </c>
      <c r="C1387" s="130"/>
      <c r="D1387" s="130"/>
      <c r="E1387" s="357" t="s">
        <v>673</v>
      </c>
      <c r="F1387" s="357"/>
      <c r="G1387" s="358" t="s">
        <v>290</v>
      </c>
      <c r="H1387" s="404">
        <f>H1388+H1389+H1390+H1397</f>
        <v>413202</v>
      </c>
      <c r="I1387" s="404">
        <f t="shared" ref="I1387" si="515">I1388+I1389+I1390+I1397</f>
        <v>0</v>
      </c>
      <c r="J1387" s="404">
        <f t="shared" si="500"/>
        <v>413202</v>
      </c>
      <c r="K1387" s="361"/>
      <c r="L1387" s="878"/>
      <c r="M1387" s="878"/>
      <c r="N1387" s="878"/>
      <c r="O1387" s="361"/>
      <c r="P1387" s="362">
        <f t="shared" si="512"/>
        <v>413202</v>
      </c>
      <c r="Q1387" s="362">
        <f t="shared" si="513"/>
        <v>0</v>
      </c>
      <c r="R1387" s="362">
        <f t="shared" si="513"/>
        <v>413202</v>
      </c>
    </row>
    <row r="1388" spans="2:18" x14ac:dyDescent="0.2">
      <c r="B1388" s="171">
        <f t="shared" si="501"/>
        <v>57</v>
      </c>
      <c r="C1388" s="130"/>
      <c r="D1388" s="130"/>
      <c r="E1388" s="149"/>
      <c r="F1388" s="149">
        <v>610</v>
      </c>
      <c r="G1388" s="199" t="s">
        <v>257</v>
      </c>
      <c r="H1388" s="388">
        <v>176108</v>
      </c>
      <c r="I1388" s="388"/>
      <c r="J1388" s="388">
        <f t="shared" si="500"/>
        <v>176108</v>
      </c>
      <c r="K1388" s="132"/>
      <c r="L1388" s="527"/>
      <c r="M1388" s="527"/>
      <c r="N1388" s="527"/>
      <c r="O1388" s="132"/>
      <c r="P1388" s="531">
        <f t="shared" si="512"/>
        <v>176108</v>
      </c>
      <c r="Q1388" s="531">
        <f t="shared" si="513"/>
        <v>0</v>
      </c>
      <c r="R1388" s="531">
        <f t="shared" si="513"/>
        <v>176108</v>
      </c>
    </row>
    <row r="1389" spans="2:18" x14ac:dyDescent="0.2">
      <c r="B1389" s="171">
        <f t="shared" si="501"/>
        <v>58</v>
      </c>
      <c r="C1389" s="130"/>
      <c r="D1389" s="130"/>
      <c r="E1389" s="134"/>
      <c r="F1389" s="149">
        <v>620</v>
      </c>
      <c r="G1389" s="199" t="s">
        <v>259</v>
      </c>
      <c r="H1389" s="388">
        <v>61638</v>
      </c>
      <c r="I1389" s="388"/>
      <c r="J1389" s="388">
        <f t="shared" si="500"/>
        <v>61638</v>
      </c>
      <c r="K1389" s="132"/>
      <c r="L1389" s="527"/>
      <c r="M1389" s="527"/>
      <c r="N1389" s="527"/>
      <c r="O1389" s="132"/>
      <c r="P1389" s="531">
        <f t="shared" si="512"/>
        <v>61638</v>
      </c>
      <c r="Q1389" s="531">
        <f t="shared" si="513"/>
        <v>0</v>
      </c>
      <c r="R1389" s="531">
        <f t="shared" si="513"/>
        <v>61638</v>
      </c>
    </row>
    <row r="1390" spans="2:18" x14ac:dyDescent="0.2">
      <c r="B1390" s="171">
        <f t="shared" si="501"/>
        <v>59</v>
      </c>
      <c r="C1390" s="130"/>
      <c r="D1390" s="130"/>
      <c r="E1390" s="134"/>
      <c r="F1390" s="149">
        <v>630</v>
      </c>
      <c r="G1390" s="199" t="s">
        <v>236</v>
      </c>
      <c r="H1390" s="388">
        <f>SUM(H1391:H1396)</f>
        <v>171206</v>
      </c>
      <c r="I1390" s="388">
        <f t="shared" ref="I1390" si="516">SUM(I1391:I1396)</f>
        <v>0</v>
      </c>
      <c r="J1390" s="388">
        <f t="shared" si="500"/>
        <v>171206</v>
      </c>
      <c r="K1390" s="132"/>
      <c r="L1390" s="527"/>
      <c r="M1390" s="527"/>
      <c r="N1390" s="527"/>
      <c r="O1390" s="132"/>
      <c r="P1390" s="531">
        <f t="shared" si="512"/>
        <v>171206</v>
      </c>
      <c r="Q1390" s="531">
        <f t="shared" si="513"/>
        <v>0</v>
      </c>
      <c r="R1390" s="531">
        <f t="shared" si="513"/>
        <v>171206</v>
      </c>
    </row>
    <row r="1391" spans="2:18" x14ac:dyDescent="0.2">
      <c r="B1391" s="171">
        <f t="shared" si="501"/>
        <v>60</v>
      </c>
      <c r="C1391" s="130"/>
      <c r="D1391" s="130"/>
      <c r="E1391" s="134"/>
      <c r="F1391" s="134">
        <v>631</v>
      </c>
      <c r="G1391" s="194" t="s">
        <v>519</v>
      </c>
      <c r="H1391" s="527">
        <v>200</v>
      </c>
      <c r="I1391" s="527"/>
      <c r="J1391" s="527">
        <f t="shared" si="500"/>
        <v>200</v>
      </c>
      <c r="K1391" s="132"/>
      <c r="L1391" s="527"/>
      <c r="M1391" s="527"/>
      <c r="N1391" s="527"/>
      <c r="O1391" s="132"/>
      <c r="P1391" s="168">
        <f t="shared" si="512"/>
        <v>200</v>
      </c>
      <c r="Q1391" s="168">
        <f t="shared" si="513"/>
        <v>0</v>
      </c>
      <c r="R1391" s="168">
        <f t="shared" si="513"/>
        <v>200</v>
      </c>
    </row>
    <row r="1392" spans="2:18" x14ac:dyDescent="0.2">
      <c r="B1392" s="171">
        <f t="shared" si="501"/>
        <v>61</v>
      </c>
      <c r="C1392" s="130"/>
      <c r="D1392" s="130"/>
      <c r="E1392" s="134"/>
      <c r="F1392" s="134">
        <v>632</v>
      </c>
      <c r="G1392" s="194" t="s">
        <v>246</v>
      </c>
      <c r="H1392" s="527">
        <v>57655</v>
      </c>
      <c r="I1392" s="527"/>
      <c r="J1392" s="527">
        <f t="shared" si="500"/>
        <v>57655</v>
      </c>
      <c r="K1392" s="132"/>
      <c r="L1392" s="527"/>
      <c r="M1392" s="527"/>
      <c r="N1392" s="527"/>
      <c r="O1392" s="132"/>
      <c r="P1392" s="168">
        <f t="shared" si="512"/>
        <v>57655</v>
      </c>
      <c r="Q1392" s="168">
        <f t="shared" si="513"/>
        <v>0</v>
      </c>
      <c r="R1392" s="168">
        <f t="shared" si="513"/>
        <v>57655</v>
      </c>
    </row>
    <row r="1393" spans="2:18" x14ac:dyDescent="0.2">
      <c r="B1393" s="171">
        <f t="shared" si="501"/>
        <v>62</v>
      </c>
      <c r="C1393" s="130"/>
      <c r="D1393" s="130"/>
      <c r="E1393" s="134"/>
      <c r="F1393" s="134">
        <v>633</v>
      </c>
      <c r="G1393" s="194" t="s">
        <v>247</v>
      </c>
      <c r="H1393" s="527">
        <v>19350</v>
      </c>
      <c r="I1393" s="527"/>
      <c r="J1393" s="527">
        <f t="shared" si="500"/>
        <v>19350</v>
      </c>
      <c r="K1393" s="132"/>
      <c r="L1393" s="527"/>
      <c r="M1393" s="527"/>
      <c r="N1393" s="527"/>
      <c r="O1393" s="132"/>
      <c r="P1393" s="168">
        <f t="shared" si="512"/>
        <v>19350</v>
      </c>
      <c r="Q1393" s="168">
        <f t="shared" si="513"/>
        <v>0</v>
      </c>
      <c r="R1393" s="168">
        <f t="shared" si="513"/>
        <v>19350</v>
      </c>
    </row>
    <row r="1394" spans="2:18" x14ac:dyDescent="0.2">
      <c r="B1394" s="171">
        <f t="shared" si="501"/>
        <v>63</v>
      </c>
      <c r="C1394" s="130"/>
      <c r="D1394" s="130"/>
      <c r="E1394" s="134"/>
      <c r="F1394" s="134">
        <v>634</v>
      </c>
      <c r="G1394" s="194" t="s">
        <v>260</v>
      </c>
      <c r="H1394" s="527">
        <v>2450</v>
      </c>
      <c r="I1394" s="527"/>
      <c r="J1394" s="527">
        <f t="shared" si="500"/>
        <v>2450</v>
      </c>
      <c r="K1394" s="132"/>
      <c r="L1394" s="527"/>
      <c r="M1394" s="527"/>
      <c r="N1394" s="527"/>
      <c r="O1394" s="132"/>
      <c r="P1394" s="168">
        <f t="shared" si="512"/>
        <v>2450</v>
      </c>
      <c r="Q1394" s="168">
        <f t="shared" si="513"/>
        <v>0</v>
      </c>
      <c r="R1394" s="168">
        <f t="shared" si="513"/>
        <v>2450</v>
      </c>
    </row>
    <row r="1395" spans="2:18" x14ac:dyDescent="0.2">
      <c r="B1395" s="171">
        <f t="shared" si="501"/>
        <v>64</v>
      </c>
      <c r="C1395" s="130"/>
      <c r="D1395" s="130"/>
      <c r="E1395" s="134"/>
      <c r="F1395" s="134">
        <v>635</v>
      </c>
      <c r="G1395" s="194" t="s">
        <v>261</v>
      </c>
      <c r="H1395" s="382">
        <v>22000</v>
      </c>
      <c r="I1395" s="382"/>
      <c r="J1395" s="382">
        <f t="shared" si="500"/>
        <v>22000</v>
      </c>
      <c r="K1395" s="132"/>
      <c r="L1395" s="382"/>
      <c r="M1395" s="382"/>
      <c r="N1395" s="382"/>
      <c r="O1395" s="132"/>
      <c r="P1395" s="213">
        <f t="shared" si="512"/>
        <v>22000</v>
      </c>
      <c r="Q1395" s="213">
        <f t="shared" si="513"/>
        <v>0</v>
      </c>
      <c r="R1395" s="213">
        <f t="shared" si="513"/>
        <v>22000</v>
      </c>
    </row>
    <row r="1396" spans="2:18" x14ac:dyDescent="0.2">
      <c r="B1396" s="171">
        <f t="shared" si="501"/>
        <v>65</v>
      </c>
      <c r="C1396" s="130"/>
      <c r="D1396" s="130"/>
      <c r="E1396" s="134"/>
      <c r="F1396" s="134">
        <v>637</v>
      </c>
      <c r="G1396" s="194" t="s">
        <v>248</v>
      </c>
      <c r="H1396" s="527">
        <v>69551</v>
      </c>
      <c r="I1396" s="527"/>
      <c r="J1396" s="527">
        <f t="shared" si="500"/>
        <v>69551</v>
      </c>
      <c r="K1396" s="132"/>
      <c r="L1396" s="527"/>
      <c r="M1396" s="527"/>
      <c r="N1396" s="527"/>
      <c r="O1396" s="132"/>
      <c r="P1396" s="168">
        <f t="shared" si="512"/>
        <v>69551</v>
      </c>
      <c r="Q1396" s="168">
        <f t="shared" si="513"/>
        <v>0</v>
      </c>
      <c r="R1396" s="168">
        <f t="shared" si="513"/>
        <v>69551</v>
      </c>
    </row>
    <row r="1397" spans="2:18" x14ac:dyDescent="0.2">
      <c r="B1397" s="171">
        <f t="shared" si="501"/>
        <v>66</v>
      </c>
      <c r="C1397" s="130"/>
      <c r="D1397" s="130"/>
      <c r="E1397" s="134"/>
      <c r="F1397" s="210">
        <v>640</v>
      </c>
      <c r="G1397" s="199" t="s">
        <v>520</v>
      </c>
      <c r="H1397" s="388">
        <v>4250</v>
      </c>
      <c r="I1397" s="388"/>
      <c r="J1397" s="388">
        <f t="shared" ref="J1397:J1460" si="517">H1397+I1397</f>
        <v>4250</v>
      </c>
      <c r="K1397" s="132"/>
      <c r="L1397" s="527"/>
      <c r="M1397" s="527"/>
      <c r="N1397" s="527"/>
      <c r="O1397" s="132"/>
      <c r="P1397" s="168">
        <f t="shared" si="512"/>
        <v>4250</v>
      </c>
      <c r="Q1397" s="168">
        <f t="shared" si="513"/>
        <v>0</v>
      </c>
      <c r="R1397" s="168">
        <f t="shared" si="513"/>
        <v>4250</v>
      </c>
    </row>
    <row r="1398" spans="2:18" x14ac:dyDescent="0.2">
      <c r="B1398" s="171">
        <f t="shared" ref="B1398:B1461" si="518">B1397+1</f>
        <v>67</v>
      </c>
      <c r="C1398" s="130"/>
      <c r="D1398" s="130"/>
      <c r="E1398" s="161"/>
      <c r="F1398" s="662"/>
      <c r="G1398" s="199"/>
      <c r="H1398" s="388"/>
      <c r="I1398" s="388"/>
      <c r="J1398" s="388">
        <f t="shared" si="517"/>
        <v>0</v>
      </c>
      <c r="K1398" s="132"/>
      <c r="L1398" s="528"/>
      <c r="M1398" s="528"/>
      <c r="N1398" s="528"/>
      <c r="O1398" s="132"/>
      <c r="P1398" s="168"/>
      <c r="Q1398" s="168"/>
      <c r="R1398" s="168"/>
    </row>
    <row r="1399" spans="2:18" x14ac:dyDescent="0.2">
      <c r="B1399" s="171">
        <f t="shared" si="518"/>
        <v>68</v>
      </c>
      <c r="C1399" s="130"/>
      <c r="D1399" s="130"/>
      <c r="E1399" s="161" t="s">
        <v>673</v>
      </c>
      <c r="F1399" s="663">
        <v>637</v>
      </c>
      <c r="G1399" s="194" t="s">
        <v>794</v>
      </c>
      <c r="H1399" s="527">
        <v>6638</v>
      </c>
      <c r="I1399" s="527"/>
      <c r="J1399" s="527">
        <f t="shared" si="517"/>
        <v>6638</v>
      </c>
      <c r="K1399" s="132"/>
      <c r="L1399" s="528"/>
      <c r="M1399" s="528"/>
      <c r="N1399" s="528"/>
      <c r="O1399" s="132"/>
      <c r="P1399" s="168">
        <f t="shared" ref="P1399:P1405" si="519">H1399+L1399</f>
        <v>6638</v>
      </c>
      <c r="Q1399" s="168">
        <f t="shared" ref="Q1399:R1405" si="520">I1399+M1399</f>
        <v>0</v>
      </c>
      <c r="R1399" s="168">
        <f t="shared" si="520"/>
        <v>6638</v>
      </c>
    </row>
    <row r="1400" spans="2:18" x14ac:dyDescent="0.2">
      <c r="B1400" s="171">
        <f t="shared" si="518"/>
        <v>69</v>
      </c>
      <c r="C1400" s="76"/>
      <c r="D1400" s="177" t="s">
        <v>6</v>
      </c>
      <c r="E1400" s="230"/>
      <c r="F1400" s="230" t="s">
        <v>566</v>
      </c>
      <c r="G1400" s="231"/>
      <c r="H1400" s="387">
        <f>H1401+H1407+H1408+H1409+H1410</f>
        <v>19930</v>
      </c>
      <c r="I1400" s="387">
        <f t="shared" ref="I1400" si="521">I1401+I1407+I1408+I1409+I1410</f>
        <v>0</v>
      </c>
      <c r="J1400" s="387">
        <f t="shared" si="517"/>
        <v>19930</v>
      </c>
      <c r="K1400" s="20"/>
      <c r="L1400" s="879"/>
      <c r="M1400" s="879"/>
      <c r="N1400" s="879"/>
      <c r="O1400" s="20"/>
      <c r="P1400" s="235">
        <f t="shared" si="519"/>
        <v>19930</v>
      </c>
      <c r="Q1400" s="235">
        <f t="shared" si="520"/>
        <v>0</v>
      </c>
      <c r="R1400" s="235">
        <f t="shared" si="520"/>
        <v>19930</v>
      </c>
    </row>
    <row r="1401" spans="2:18" x14ac:dyDescent="0.2">
      <c r="B1401" s="171">
        <f t="shared" si="518"/>
        <v>70</v>
      </c>
      <c r="C1401" s="130"/>
      <c r="D1401" s="130"/>
      <c r="E1401" s="154" t="s">
        <v>673</v>
      </c>
      <c r="F1401" s="154"/>
      <c r="G1401" s="199" t="s">
        <v>444</v>
      </c>
      <c r="H1401" s="388">
        <f>SUM(H1402:H1405)</f>
        <v>18300</v>
      </c>
      <c r="I1401" s="388">
        <f t="shared" ref="I1401" si="522">SUM(I1402:I1405)</f>
        <v>0</v>
      </c>
      <c r="J1401" s="388">
        <f t="shared" si="517"/>
        <v>18300</v>
      </c>
      <c r="K1401" s="132"/>
      <c r="L1401" s="527"/>
      <c r="M1401" s="527"/>
      <c r="N1401" s="527"/>
      <c r="O1401" s="132"/>
      <c r="P1401" s="531">
        <f t="shared" si="519"/>
        <v>18300</v>
      </c>
      <c r="Q1401" s="531">
        <f t="shared" si="520"/>
        <v>0</v>
      </c>
      <c r="R1401" s="531">
        <f t="shared" si="520"/>
        <v>18300</v>
      </c>
    </row>
    <row r="1402" spans="2:18" x14ac:dyDescent="0.2">
      <c r="B1402" s="171">
        <f t="shared" si="518"/>
        <v>71</v>
      </c>
      <c r="C1402" s="130"/>
      <c r="D1402" s="130"/>
      <c r="E1402" s="134"/>
      <c r="F1402" s="134">
        <v>632</v>
      </c>
      <c r="G1402" s="194" t="s">
        <v>246</v>
      </c>
      <c r="H1402" s="527">
        <v>17800</v>
      </c>
      <c r="I1402" s="527"/>
      <c r="J1402" s="527">
        <f t="shared" si="517"/>
        <v>17800</v>
      </c>
      <c r="K1402" s="132"/>
      <c r="L1402" s="527"/>
      <c r="M1402" s="527"/>
      <c r="N1402" s="527"/>
      <c r="O1402" s="132"/>
      <c r="P1402" s="168">
        <f t="shared" si="519"/>
        <v>17800</v>
      </c>
      <c r="Q1402" s="168">
        <f t="shared" si="520"/>
        <v>0</v>
      </c>
      <c r="R1402" s="168">
        <f t="shared" si="520"/>
        <v>17800</v>
      </c>
    </row>
    <row r="1403" spans="2:18" x14ac:dyDescent="0.2">
      <c r="B1403" s="171">
        <f t="shared" si="518"/>
        <v>72</v>
      </c>
      <c r="C1403" s="130"/>
      <c r="D1403" s="130"/>
      <c r="E1403" s="134"/>
      <c r="F1403" s="134">
        <v>633</v>
      </c>
      <c r="G1403" s="194" t="s">
        <v>247</v>
      </c>
      <c r="H1403" s="527">
        <f>100</f>
        <v>100</v>
      </c>
      <c r="I1403" s="527"/>
      <c r="J1403" s="527">
        <f t="shared" si="517"/>
        <v>100</v>
      </c>
      <c r="K1403" s="132"/>
      <c r="L1403" s="527"/>
      <c r="M1403" s="527"/>
      <c r="N1403" s="527"/>
      <c r="O1403" s="132"/>
      <c r="P1403" s="168">
        <f t="shared" si="519"/>
        <v>100</v>
      </c>
      <c r="Q1403" s="168">
        <f t="shared" si="520"/>
        <v>0</v>
      </c>
      <c r="R1403" s="168">
        <f t="shared" si="520"/>
        <v>100</v>
      </c>
    </row>
    <row r="1404" spans="2:18" x14ac:dyDescent="0.2">
      <c r="B1404" s="171">
        <f t="shared" si="518"/>
        <v>73</v>
      </c>
      <c r="C1404" s="130"/>
      <c r="D1404" s="130"/>
      <c r="E1404" s="134"/>
      <c r="F1404" s="134">
        <v>635</v>
      </c>
      <c r="G1404" s="194" t="s">
        <v>261</v>
      </c>
      <c r="H1404" s="527">
        <f>300</f>
        <v>300</v>
      </c>
      <c r="I1404" s="527"/>
      <c r="J1404" s="527">
        <f t="shared" si="517"/>
        <v>300</v>
      </c>
      <c r="K1404" s="132"/>
      <c r="L1404" s="527"/>
      <c r="M1404" s="527"/>
      <c r="N1404" s="527"/>
      <c r="O1404" s="132"/>
      <c r="P1404" s="168">
        <f t="shared" si="519"/>
        <v>300</v>
      </c>
      <c r="Q1404" s="168">
        <f t="shared" si="520"/>
        <v>0</v>
      </c>
      <c r="R1404" s="168">
        <f t="shared" si="520"/>
        <v>300</v>
      </c>
    </row>
    <row r="1405" spans="2:18" x14ac:dyDescent="0.2">
      <c r="B1405" s="171">
        <f t="shared" si="518"/>
        <v>74</v>
      </c>
      <c r="C1405" s="130"/>
      <c r="D1405" s="130"/>
      <c r="E1405" s="134"/>
      <c r="F1405" s="134">
        <v>637</v>
      </c>
      <c r="G1405" s="194" t="s">
        <v>248</v>
      </c>
      <c r="H1405" s="527">
        <v>100</v>
      </c>
      <c r="I1405" s="527"/>
      <c r="J1405" s="527">
        <f t="shared" si="517"/>
        <v>100</v>
      </c>
      <c r="K1405" s="132"/>
      <c r="L1405" s="527"/>
      <c r="M1405" s="527"/>
      <c r="N1405" s="527"/>
      <c r="O1405" s="132"/>
      <c r="P1405" s="168">
        <f t="shared" si="519"/>
        <v>100</v>
      </c>
      <c r="Q1405" s="168">
        <f t="shared" si="520"/>
        <v>0</v>
      </c>
      <c r="R1405" s="168">
        <f t="shared" si="520"/>
        <v>100</v>
      </c>
    </row>
    <row r="1406" spans="2:18" x14ac:dyDescent="0.2">
      <c r="B1406" s="171">
        <f t="shared" si="518"/>
        <v>75</v>
      </c>
      <c r="C1406" s="130"/>
      <c r="D1406" s="130"/>
      <c r="E1406" s="134"/>
      <c r="F1406" s="134"/>
      <c r="G1406" s="194"/>
      <c r="H1406" s="527"/>
      <c r="I1406" s="527"/>
      <c r="J1406" s="527">
        <f t="shared" si="517"/>
        <v>0</v>
      </c>
      <c r="K1406" s="132"/>
      <c r="L1406" s="527"/>
      <c r="M1406" s="527"/>
      <c r="N1406" s="527"/>
      <c r="O1406" s="132"/>
      <c r="P1406" s="168"/>
      <c r="Q1406" s="168"/>
      <c r="R1406" s="168"/>
    </row>
    <row r="1407" spans="2:18" x14ac:dyDescent="0.2">
      <c r="B1407" s="171">
        <f t="shared" si="518"/>
        <v>76</v>
      </c>
      <c r="C1407" s="130"/>
      <c r="D1407" s="130"/>
      <c r="E1407" s="134"/>
      <c r="F1407" s="134">
        <v>633</v>
      </c>
      <c r="G1407" s="194" t="s">
        <v>247</v>
      </c>
      <c r="H1407" s="527">
        <v>1200</v>
      </c>
      <c r="I1407" s="527"/>
      <c r="J1407" s="527">
        <f t="shared" si="517"/>
        <v>1200</v>
      </c>
      <c r="K1407" s="132"/>
      <c r="L1407" s="527"/>
      <c r="M1407" s="527"/>
      <c r="N1407" s="527"/>
      <c r="O1407" s="132"/>
      <c r="P1407" s="168">
        <f t="shared" ref="P1407:P1422" si="523">H1407+L1407</f>
        <v>1200</v>
      </c>
      <c r="Q1407" s="168">
        <f t="shared" ref="Q1407:R1422" si="524">I1407+M1407</f>
        <v>0</v>
      </c>
      <c r="R1407" s="168">
        <f t="shared" si="524"/>
        <v>1200</v>
      </c>
    </row>
    <row r="1408" spans="2:18" x14ac:dyDescent="0.2">
      <c r="B1408" s="171">
        <f t="shared" si="518"/>
        <v>77</v>
      </c>
      <c r="C1408" s="130"/>
      <c r="D1408" s="525"/>
      <c r="E1408" s="159"/>
      <c r="F1408" s="525">
        <v>635</v>
      </c>
      <c r="G1408" s="194" t="s">
        <v>261</v>
      </c>
      <c r="H1408" s="382">
        <v>200</v>
      </c>
      <c r="I1408" s="382"/>
      <c r="J1408" s="382">
        <f t="shared" si="517"/>
        <v>200</v>
      </c>
      <c r="K1408" s="132"/>
      <c r="L1408" s="382"/>
      <c r="M1408" s="382"/>
      <c r="N1408" s="382"/>
      <c r="O1408" s="132"/>
      <c r="P1408" s="213">
        <f t="shared" si="523"/>
        <v>200</v>
      </c>
      <c r="Q1408" s="213">
        <f t="shared" si="524"/>
        <v>0</v>
      </c>
      <c r="R1408" s="213">
        <f t="shared" si="524"/>
        <v>200</v>
      </c>
    </row>
    <row r="1409" spans="2:18" x14ac:dyDescent="0.2">
      <c r="B1409" s="171">
        <f t="shared" si="518"/>
        <v>78</v>
      </c>
      <c r="C1409" s="130"/>
      <c r="D1409" s="134"/>
      <c r="E1409" s="159"/>
      <c r="F1409" s="134">
        <v>637</v>
      </c>
      <c r="G1409" s="194" t="s">
        <v>248</v>
      </c>
      <c r="H1409" s="382">
        <v>150</v>
      </c>
      <c r="I1409" s="382"/>
      <c r="J1409" s="382">
        <f t="shared" si="517"/>
        <v>150</v>
      </c>
      <c r="K1409" s="132"/>
      <c r="L1409" s="382"/>
      <c r="M1409" s="382"/>
      <c r="N1409" s="382"/>
      <c r="O1409" s="132"/>
      <c r="P1409" s="213">
        <f t="shared" si="523"/>
        <v>150</v>
      </c>
      <c r="Q1409" s="213">
        <f t="shared" si="524"/>
        <v>0</v>
      </c>
      <c r="R1409" s="213">
        <f t="shared" si="524"/>
        <v>150</v>
      </c>
    </row>
    <row r="1410" spans="2:18" x14ac:dyDescent="0.2">
      <c r="B1410" s="171">
        <f t="shared" si="518"/>
        <v>79</v>
      </c>
      <c r="C1410" s="130"/>
      <c r="D1410" s="159"/>
      <c r="E1410" s="525"/>
      <c r="F1410" s="525">
        <v>637</v>
      </c>
      <c r="G1410" s="194" t="s">
        <v>303</v>
      </c>
      <c r="H1410" s="382">
        <v>80</v>
      </c>
      <c r="I1410" s="382"/>
      <c r="J1410" s="382">
        <f t="shared" si="517"/>
        <v>80</v>
      </c>
      <c r="K1410" s="132"/>
      <c r="L1410" s="382"/>
      <c r="M1410" s="382"/>
      <c r="N1410" s="382"/>
      <c r="O1410" s="132"/>
      <c r="P1410" s="213">
        <f t="shared" si="523"/>
        <v>80</v>
      </c>
      <c r="Q1410" s="213">
        <f t="shared" si="524"/>
        <v>0</v>
      </c>
      <c r="R1410" s="213">
        <f t="shared" si="524"/>
        <v>80</v>
      </c>
    </row>
    <row r="1411" spans="2:18" ht="15.75" x14ac:dyDescent="0.25">
      <c r="B1411" s="171">
        <f t="shared" si="518"/>
        <v>80</v>
      </c>
      <c r="C1411" s="23">
        <v>6</v>
      </c>
      <c r="D1411" s="127" t="s">
        <v>69</v>
      </c>
      <c r="E1411" s="24"/>
      <c r="F1411" s="24"/>
      <c r="G1411" s="193"/>
      <c r="H1411" s="414">
        <f>H1412+H1425+H1424+H1427+H1428</f>
        <v>903969</v>
      </c>
      <c r="I1411" s="414">
        <f t="shared" ref="I1411" si="525">I1412+I1425+I1424+I1427+I1428</f>
        <v>0</v>
      </c>
      <c r="J1411" s="414">
        <f t="shared" si="517"/>
        <v>903969</v>
      </c>
      <c r="K1411" s="88"/>
      <c r="L1411" s="393"/>
      <c r="M1411" s="393"/>
      <c r="N1411" s="393"/>
      <c r="O1411" s="88"/>
      <c r="P1411" s="373">
        <f t="shared" si="523"/>
        <v>903969</v>
      </c>
      <c r="Q1411" s="373">
        <f t="shared" si="524"/>
        <v>0</v>
      </c>
      <c r="R1411" s="373">
        <f t="shared" si="524"/>
        <v>903969</v>
      </c>
    </row>
    <row r="1412" spans="2:18" x14ac:dyDescent="0.2">
      <c r="B1412" s="171">
        <f t="shared" si="518"/>
        <v>81</v>
      </c>
      <c r="C1412" s="135"/>
      <c r="D1412" s="135"/>
      <c r="E1412" s="357" t="s">
        <v>674</v>
      </c>
      <c r="F1412" s="357"/>
      <c r="G1412" s="358" t="s">
        <v>451</v>
      </c>
      <c r="H1412" s="404">
        <f>H1413+H1414+H1415+H1422</f>
        <v>886121</v>
      </c>
      <c r="I1412" s="404">
        <f t="shared" ref="I1412" si="526">I1413+I1414+I1415+I1422</f>
        <v>0</v>
      </c>
      <c r="J1412" s="404">
        <f t="shared" si="517"/>
        <v>886121</v>
      </c>
      <c r="K1412" s="361"/>
      <c r="L1412" s="878"/>
      <c r="M1412" s="878"/>
      <c r="N1412" s="878"/>
      <c r="O1412" s="361"/>
      <c r="P1412" s="362">
        <f t="shared" si="523"/>
        <v>886121</v>
      </c>
      <c r="Q1412" s="362">
        <f t="shared" si="524"/>
        <v>0</v>
      </c>
      <c r="R1412" s="362">
        <f t="shared" si="524"/>
        <v>886121</v>
      </c>
    </row>
    <row r="1413" spans="2:18" x14ac:dyDescent="0.2">
      <c r="B1413" s="171">
        <f t="shared" si="518"/>
        <v>82</v>
      </c>
      <c r="C1413" s="130"/>
      <c r="D1413" s="130"/>
      <c r="E1413" s="149"/>
      <c r="F1413" s="149">
        <v>610</v>
      </c>
      <c r="G1413" s="199" t="s">
        <v>257</v>
      </c>
      <c r="H1413" s="388">
        <v>386740</v>
      </c>
      <c r="I1413" s="388"/>
      <c r="J1413" s="388">
        <f t="shared" si="517"/>
        <v>386740</v>
      </c>
      <c r="K1413" s="132"/>
      <c r="L1413" s="527"/>
      <c r="M1413" s="527"/>
      <c r="N1413" s="527"/>
      <c r="O1413" s="132"/>
      <c r="P1413" s="531">
        <f t="shared" si="523"/>
        <v>386740</v>
      </c>
      <c r="Q1413" s="531">
        <f t="shared" si="524"/>
        <v>0</v>
      </c>
      <c r="R1413" s="531">
        <f t="shared" si="524"/>
        <v>386740</v>
      </c>
    </row>
    <row r="1414" spans="2:18" x14ac:dyDescent="0.2">
      <c r="B1414" s="171">
        <f t="shared" si="518"/>
        <v>83</v>
      </c>
      <c r="C1414" s="130"/>
      <c r="D1414" s="130"/>
      <c r="E1414" s="134"/>
      <c r="F1414" s="149">
        <v>620</v>
      </c>
      <c r="G1414" s="199" t="s">
        <v>259</v>
      </c>
      <c r="H1414" s="388">
        <v>135359</v>
      </c>
      <c r="I1414" s="388"/>
      <c r="J1414" s="388">
        <f t="shared" si="517"/>
        <v>135359</v>
      </c>
      <c r="K1414" s="132"/>
      <c r="L1414" s="527"/>
      <c r="M1414" s="527"/>
      <c r="N1414" s="527"/>
      <c r="O1414" s="132"/>
      <c r="P1414" s="531">
        <f t="shared" si="523"/>
        <v>135359</v>
      </c>
      <c r="Q1414" s="531">
        <f t="shared" si="524"/>
        <v>0</v>
      </c>
      <c r="R1414" s="531">
        <f t="shared" si="524"/>
        <v>135359</v>
      </c>
    </row>
    <row r="1415" spans="2:18" x14ac:dyDescent="0.2">
      <c r="B1415" s="171">
        <f t="shared" si="518"/>
        <v>84</v>
      </c>
      <c r="C1415" s="130"/>
      <c r="D1415" s="130"/>
      <c r="E1415" s="134"/>
      <c r="F1415" s="149">
        <v>630</v>
      </c>
      <c r="G1415" s="199" t="s">
        <v>447</v>
      </c>
      <c r="H1415" s="388">
        <f>SUM(H1416:H1421)</f>
        <v>360441</v>
      </c>
      <c r="I1415" s="388"/>
      <c r="J1415" s="388">
        <f t="shared" si="517"/>
        <v>360441</v>
      </c>
      <c r="K1415" s="132"/>
      <c r="L1415" s="527"/>
      <c r="M1415" s="527"/>
      <c r="N1415" s="527"/>
      <c r="O1415" s="132"/>
      <c r="P1415" s="531">
        <f t="shared" si="523"/>
        <v>360441</v>
      </c>
      <c r="Q1415" s="531">
        <f t="shared" si="524"/>
        <v>0</v>
      </c>
      <c r="R1415" s="531">
        <f t="shared" si="524"/>
        <v>360441</v>
      </c>
    </row>
    <row r="1416" spans="2:18" x14ac:dyDescent="0.2">
      <c r="B1416" s="171">
        <f t="shared" si="518"/>
        <v>85</v>
      </c>
      <c r="C1416" s="130"/>
      <c r="D1416" s="130"/>
      <c r="E1416" s="134"/>
      <c r="F1416" s="134">
        <v>631</v>
      </c>
      <c r="G1416" s="194" t="s">
        <v>519</v>
      </c>
      <c r="H1416" s="527">
        <v>200</v>
      </c>
      <c r="I1416" s="527"/>
      <c r="J1416" s="527">
        <f t="shared" si="517"/>
        <v>200</v>
      </c>
      <c r="K1416" s="132"/>
      <c r="L1416" s="527"/>
      <c r="M1416" s="527"/>
      <c r="N1416" s="527"/>
      <c r="O1416" s="132"/>
      <c r="P1416" s="168">
        <f t="shared" si="523"/>
        <v>200</v>
      </c>
      <c r="Q1416" s="168">
        <f t="shared" si="524"/>
        <v>0</v>
      </c>
      <c r="R1416" s="168">
        <f t="shared" si="524"/>
        <v>200</v>
      </c>
    </row>
    <row r="1417" spans="2:18" x14ac:dyDescent="0.2">
      <c r="B1417" s="171">
        <f t="shared" si="518"/>
        <v>86</v>
      </c>
      <c r="C1417" s="130"/>
      <c r="D1417" s="130"/>
      <c r="E1417" s="134"/>
      <c r="F1417" s="134">
        <v>632</v>
      </c>
      <c r="G1417" s="194" t="s">
        <v>318</v>
      </c>
      <c r="H1417" s="527">
        <v>87995</v>
      </c>
      <c r="I1417" s="527"/>
      <c r="J1417" s="527">
        <f t="shared" si="517"/>
        <v>87995</v>
      </c>
      <c r="K1417" s="132"/>
      <c r="L1417" s="527"/>
      <c r="M1417" s="527"/>
      <c r="N1417" s="527"/>
      <c r="O1417" s="132"/>
      <c r="P1417" s="168">
        <f t="shared" si="523"/>
        <v>87995</v>
      </c>
      <c r="Q1417" s="168">
        <f t="shared" si="524"/>
        <v>0</v>
      </c>
      <c r="R1417" s="168">
        <f t="shared" si="524"/>
        <v>87995</v>
      </c>
    </row>
    <row r="1418" spans="2:18" x14ac:dyDescent="0.2">
      <c r="B1418" s="171">
        <f t="shared" si="518"/>
        <v>87</v>
      </c>
      <c r="C1418" s="130"/>
      <c r="D1418" s="130"/>
      <c r="E1418" s="134"/>
      <c r="F1418" s="134">
        <v>633</v>
      </c>
      <c r="G1418" s="194" t="s">
        <v>247</v>
      </c>
      <c r="H1418" s="527">
        <f>16600+3300</f>
        <v>19900</v>
      </c>
      <c r="I1418" s="527"/>
      <c r="J1418" s="527">
        <f t="shared" si="517"/>
        <v>19900</v>
      </c>
      <c r="K1418" s="132"/>
      <c r="L1418" s="527"/>
      <c r="M1418" s="527"/>
      <c r="N1418" s="527"/>
      <c r="O1418" s="132"/>
      <c r="P1418" s="168">
        <f t="shared" si="523"/>
        <v>19900</v>
      </c>
      <c r="Q1418" s="168">
        <f t="shared" si="524"/>
        <v>0</v>
      </c>
      <c r="R1418" s="168">
        <f t="shared" si="524"/>
        <v>19900</v>
      </c>
    </row>
    <row r="1419" spans="2:18" x14ac:dyDescent="0.2">
      <c r="B1419" s="171">
        <f t="shared" si="518"/>
        <v>88</v>
      </c>
      <c r="C1419" s="130"/>
      <c r="D1419" s="130"/>
      <c r="E1419" s="134"/>
      <c r="F1419" s="134">
        <v>634</v>
      </c>
      <c r="G1419" s="194" t="s">
        <v>260</v>
      </c>
      <c r="H1419" s="527">
        <v>1330</v>
      </c>
      <c r="I1419" s="527"/>
      <c r="J1419" s="527">
        <f t="shared" si="517"/>
        <v>1330</v>
      </c>
      <c r="K1419" s="132"/>
      <c r="L1419" s="527"/>
      <c r="M1419" s="527"/>
      <c r="N1419" s="527"/>
      <c r="O1419" s="132"/>
      <c r="P1419" s="168">
        <f t="shared" si="523"/>
        <v>1330</v>
      </c>
      <c r="Q1419" s="168">
        <f t="shared" si="524"/>
        <v>0</v>
      </c>
      <c r="R1419" s="168">
        <f t="shared" si="524"/>
        <v>1330</v>
      </c>
    </row>
    <row r="1420" spans="2:18" x14ac:dyDescent="0.2">
      <c r="B1420" s="171">
        <f t="shared" si="518"/>
        <v>89</v>
      </c>
      <c r="C1420" s="130"/>
      <c r="D1420" s="130"/>
      <c r="E1420" s="134"/>
      <c r="F1420" s="134">
        <v>635</v>
      </c>
      <c r="G1420" s="194" t="s">
        <v>261</v>
      </c>
      <c r="H1420" s="527">
        <f>11100+5561</f>
        <v>16661</v>
      </c>
      <c r="I1420" s="527"/>
      <c r="J1420" s="527">
        <f t="shared" si="517"/>
        <v>16661</v>
      </c>
      <c r="K1420" s="132"/>
      <c r="L1420" s="527"/>
      <c r="M1420" s="527"/>
      <c r="N1420" s="527"/>
      <c r="O1420" s="132"/>
      <c r="P1420" s="168">
        <f t="shared" si="523"/>
        <v>16661</v>
      </c>
      <c r="Q1420" s="168">
        <f t="shared" si="524"/>
        <v>0</v>
      </c>
      <c r="R1420" s="168">
        <f t="shared" si="524"/>
        <v>16661</v>
      </c>
    </row>
    <row r="1421" spans="2:18" x14ac:dyDescent="0.2">
      <c r="B1421" s="171">
        <f t="shared" si="518"/>
        <v>90</v>
      </c>
      <c r="C1421" s="130"/>
      <c r="D1421" s="130"/>
      <c r="E1421" s="134"/>
      <c r="F1421" s="134">
        <v>637</v>
      </c>
      <c r="G1421" s="194" t="s">
        <v>248</v>
      </c>
      <c r="H1421" s="527">
        <v>234355</v>
      </c>
      <c r="I1421" s="527"/>
      <c r="J1421" s="527">
        <f t="shared" si="517"/>
        <v>234355</v>
      </c>
      <c r="K1421" s="132"/>
      <c r="L1421" s="527"/>
      <c r="M1421" s="527"/>
      <c r="N1421" s="527"/>
      <c r="O1421" s="132"/>
      <c r="P1421" s="168">
        <f t="shared" si="523"/>
        <v>234355</v>
      </c>
      <c r="Q1421" s="168">
        <f t="shared" si="524"/>
        <v>0</v>
      </c>
      <c r="R1421" s="168">
        <f t="shared" si="524"/>
        <v>234355</v>
      </c>
    </row>
    <row r="1422" spans="2:18" x14ac:dyDescent="0.2">
      <c r="B1422" s="171">
        <f t="shared" si="518"/>
        <v>91</v>
      </c>
      <c r="C1422" s="130"/>
      <c r="D1422" s="130"/>
      <c r="E1422" s="134"/>
      <c r="F1422" s="149">
        <v>640</v>
      </c>
      <c r="G1422" s="199" t="s">
        <v>520</v>
      </c>
      <c r="H1422" s="388">
        <v>3581</v>
      </c>
      <c r="I1422" s="388"/>
      <c r="J1422" s="388">
        <f t="shared" si="517"/>
        <v>3581</v>
      </c>
      <c r="K1422" s="132"/>
      <c r="L1422" s="527"/>
      <c r="M1422" s="527"/>
      <c r="N1422" s="527"/>
      <c r="O1422" s="132"/>
      <c r="P1422" s="531">
        <f t="shared" si="523"/>
        <v>3581</v>
      </c>
      <c r="Q1422" s="531">
        <f t="shared" si="524"/>
        <v>0</v>
      </c>
      <c r="R1422" s="531">
        <f t="shared" si="524"/>
        <v>3581</v>
      </c>
    </row>
    <row r="1423" spans="2:18" x14ac:dyDescent="0.2">
      <c r="B1423" s="171">
        <f t="shared" si="518"/>
        <v>92</v>
      </c>
      <c r="C1423" s="130"/>
      <c r="D1423" s="130"/>
      <c r="E1423" s="134"/>
      <c r="F1423" s="149"/>
      <c r="G1423" s="199"/>
      <c r="H1423" s="527"/>
      <c r="I1423" s="527"/>
      <c r="J1423" s="527">
        <f t="shared" si="517"/>
        <v>0</v>
      </c>
      <c r="K1423" s="132"/>
      <c r="L1423" s="527"/>
      <c r="M1423" s="527"/>
      <c r="N1423" s="527"/>
      <c r="O1423" s="132"/>
      <c r="P1423" s="168"/>
      <c r="Q1423" s="168"/>
      <c r="R1423" s="168"/>
    </row>
    <row r="1424" spans="2:18" x14ac:dyDescent="0.2">
      <c r="B1424" s="171">
        <f t="shared" si="518"/>
        <v>93</v>
      </c>
      <c r="C1424" s="130"/>
      <c r="D1424" s="130"/>
      <c r="E1424" s="157" t="s">
        <v>674</v>
      </c>
      <c r="F1424" s="157">
        <v>620</v>
      </c>
      <c r="G1424" s="194" t="s">
        <v>582</v>
      </c>
      <c r="H1424" s="527">
        <v>1000</v>
      </c>
      <c r="I1424" s="527"/>
      <c r="J1424" s="527">
        <f t="shared" si="517"/>
        <v>1000</v>
      </c>
      <c r="K1424" s="132"/>
      <c r="L1424" s="527"/>
      <c r="M1424" s="527"/>
      <c r="N1424" s="527"/>
      <c r="O1424" s="132"/>
      <c r="P1424" s="168">
        <f>H1424+L1424</f>
        <v>1000</v>
      </c>
      <c r="Q1424" s="168">
        <f t="shared" ref="Q1424:R1425" si="527">I1424+M1424</f>
        <v>0</v>
      </c>
      <c r="R1424" s="168">
        <f t="shared" si="527"/>
        <v>1000</v>
      </c>
    </row>
    <row r="1425" spans="2:18" x14ac:dyDescent="0.2">
      <c r="B1425" s="171">
        <f t="shared" si="518"/>
        <v>94</v>
      </c>
      <c r="C1425" s="130"/>
      <c r="D1425" s="130"/>
      <c r="E1425" s="157" t="s">
        <v>674</v>
      </c>
      <c r="F1425" s="134">
        <v>637</v>
      </c>
      <c r="G1425" s="194" t="s">
        <v>284</v>
      </c>
      <c r="H1425" s="527">
        <v>3100</v>
      </c>
      <c r="I1425" s="527"/>
      <c r="J1425" s="527">
        <f t="shared" si="517"/>
        <v>3100</v>
      </c>
      <c r="K1425" s="132"/>
      <c r="L1425" s="527"/>
      <c r="M1425" s="527"/>
      <c r="N1425" s="527"/>
      <c r="O1425" s="132"/>
      <c r="P1425" s="168">
        <f>H1425+L1425</f>
        <v>3100</v>
      </c>
      <c r="Q1425" s="168">
        <f t="shared" si="527"/>
        <v>0</v>
      </c>
      <c r="R1425" s="168">
        <f t="shared" si="527"/>
        <v>3100</v>
      </c>
    </row>
    <row r="1426" spans="2:18" x14ac:dyDescent="0.2">
      <c r="B1426" s="171">
        <f t="shared" si="518"/>
        <v>95</v>
      </c>
      <c r="C1426" s="130"/>
      <c r="D1426" s="130"/>
      <c r="E1426" s="134"/>
      <c r="F1426" s="149"/>
      <c r="G1426" s="199"/>
      <c r="H1426" s="527"/>
      <c r="I1426" s="527"/>
      <c r="J1426" s="527">
        <f t="shared" si="517"/>
        <v>0</v>
      </c>
      <c r="K1426" s="132"/>
      <c r="L1426" s="527"/>
      <c r="M1426" s="527"/>
      <c r="N1426" s="527"/>
      <c r="O1426" s="132"/>
      <c r="P1426" s="168"/>
      <c r="Q1426" s="168"/>
      <c r="R1426" s="168"/>
    </row>
    <row r="1427" spans="2:18" x14ac:dyDescent="0.2">
      <c r="B1427" s="171">
        <f t="shared" si="518"/>
        <v>96</v>
      </c>
      <c r="C1427" s="130"/>
      <c r="D1427" s="159"/>
      <c r="E1427" s="134" t="s">
        <v>674</v>
      </c>
      <c r="F1427" s="157">
        <v>637</v>
      </c>
      <c r="G1427" s="194" t="s">
        <v>794</v>
      </c>
      <c r="H1427" s="382">
        <v>13248</v>
      </c>
      <c r="I1427" s="382"/>
      <c r="J1427" s="382">
        <f t="shared" si="517"/>
        <v>13248</v>
      </c>
      <c r="K1427" s="132"/>
      <c r="L1427" s="382"/>
      <c r="M1427" s="382"/>
      <c r="N1427" s="382"/>
      <c r="O1427" s="132"/>
      <c r="P1427" s="168">
        <f>H1427+L1427</f>
        <v>13248</v>
      </c>
      <c r="Q1427" s="168">
        <f t="shared" ref="Q1427:R1428" si="528">I1427+M1427</f>
        <v>0</v>
      </c>
      <c r="R1427" s="168">
        <f t="shared" si="528"/>
        <v>13248</v>
      </c>
    </row>
    <row r="1428" spans="2:18" x14ac:dyDescent="0.2">
      <c r="B1428" s="171">
        <f t="shared" si="518"/>
        <v>97</v>
      </c>
      <c r="C1428" s="130"/>
      <c r="D1428" s="159"/>
      <c r="E1428" s="134" t="s">
        <v>673</v>
      </c>
      <c r="F1428" s="157">
        <v>640</v>
      </c>
      <c r="G1428" s="194" t="s">
        <v>837</v>
      </c>
      <c r="H1428" s="382">
        <v>500</v>
      </c>
      <c r="I1428" s="382"/>
      <c r="J1428" s="382">
        <f t="shared" si="517"/>
        <v>500</v>
      </c>
      <c r="K1428" s="132"/>
      <c r="L1428" s="382"/>
      <c r="M1428" s="382"/>
      <c r="N1428" s="382"/>
      <c r="O1428" s="132"/>
      <c r="P1428" s="168">
        <f>H1428+L1428</f>
        <v>500</v>
      </c>
      <c r="Q1428" s="168">
        <f t="shared" si="528"/>
        <v>0</v>
      </c>
      <c r="R1428" s="168">
        <f t="shared" si="528"/>
        <v>500</v>
      </c>
    </row>
    <row r="1429" spans="2:18" x14ac:dyDescent="0.2">
      <c r="B1429" s="171">
        <f t="shared" si="518"/>
        <v>98</v>
      </c>
      <c r="C1429" s="130"/>
      <c r="D1429" s="159"/>
      <c r="E1429" s="134"/>
      <c r="F1429" s="149"/>
      <c r="G1429" s="199"/>
      <c r="H1429" s="382"/>
      <c r="I1429" s="382"/>
      <c r="J1429" s="382">
        <f t="shared" si="517"/>
        <v>0</v>
      </c>
      <c r="K1429" s="132"/>
      <c r="L1429" s="382"/>
      <c r="M1429" s="382"/>
      <c r="N1429" s="382"/>
      <c r="O1429" s="132"/>
      <c r="P1429" s="213"/>
      <c r="Q1429" s="213"/>
      <c r="R1429" s="213"/>
    </row>
    <row r="1430" spans="2:18" ht="15.75" x14ac:dyDescent="0.25">
      <c r="B1430" s="171">
        <f t="shared" si="518"/>
        <v>99</v>
      </c>
      <c r="C1430" s="23">
        <v>7</v>
      </c>
      <c r="D1430" s="127" t="s">
        <v>146</v>
      </c>
      <c r="E1430" s="24"/>
      <c r="F1430" s="24"/>
      <c r="G1430" s="193"/>
      <c r="H1430" s="414">
        <f>H1431</f>
        <v>321797</v>
      </c>
      <c r="I1430" s="414">
        <f t="shared" ref="I1430" si="529">I1431</f>
        <v>0</v>
      </c>
      <c r="J1430" s="414">
        <f t="shared" si="517"/>
        <v>321797</v>
      </c>
      <c r="K1430" s="88"/>
      <c r="L1430" s="393"/>
      <c r="M1430" s="393"/>
      <c r="N1430" s="393"/>
      <c r="O1430" s="88"/>
      <c r="P1430" s="373">
        <f t="shared" ref="P1430:P1439" si="530">H1430+L1430</f>
        <v>321797</v>
      </c>
      <c r="Q1430" s="373">
        <f t="shared" ref="Q1430:R1439" si="531">I1430+M1430</f>
        <v>0</v>
      </c>
      <c r="R1430" s="373">
        <f t="shared" si="531"/>
        <v>321797</v>
      </c>
    </row>
    <row r="1431" spans="2:18" x14ac:dyDescent="0.2">
      <c r="B1431" s="171">
        <f t="shared" si="518"/>
        <v>100</v>
      </c>
      <c r="C1431" s="135"/>
      <c r="D1431" s="135"/>
      <c r="E1431" s="357" t="s">
        <v>674</v>
      </c>
      <c r="F1431" s="357"/>
      <c r="G1431" s="358" t="s">
        <v>452</v>
      </c>
      <c r="H1431" s="404">
        <f>H1432+H1433+H1434+H1439</f>
        <v>321797</v>
      </c>
      <c r="I1431" s="404">
        <f t="shared" ref="I1431" si="532">I1432+I1433+I1434+I1439</f>
        <v>0</v>
      </c>
      <c r="J1431" s="404">
        <f t="shared" si="517"/>
        <v>321797</v>
      </c>
      <c r="K1431" s="361"/>
      <c r="L1431" s="878"/>
      <c r="M1431" s="878"/>
      <c r="N1431" s="878"/>
      <c r="O1431" s="361"/>
      <c r="P1431" s="362">
        <f t="shared" si="530"/>
        <v>321797</v>
      </c>
      <c r="Q1431" s="362">
        <f t="shared" si="531"/>
        <v>0</v>
      </c>
      <c r="R1431" s="362">
        <f t="shared" si="531"/>
        <v>321797</v>
      </c>
    </row>
    <row r="1432" spans="2:18" x14ac:dyDescent="0.2">
      <c r="B1432" s="171">
        <f t="shared" si="518"/>
        <v>101</v>
      </c>
      <c r="C1432" s="130"/>
      <c r="D1432" s="130"/>
      <c r="E1432" s="149"/>
      <c r="F1432" s="149">
        <v>610</v>
      </c>
      <c r="G1432" s="199" t="s">
        <v>257</v>
      </c>
      <c r="H1432" s="388">
        <v>213079</v>
      </c>
      <c r="I1432" s="388"/>
      <c r="J1432" s="388">
        <f t="shared" si="517"/>
        <v>213079</v>
      </c>
      <c r="K1432" s="132"/>
      <c r="L1432" s="527"/>
      <c r="M1432" s="527"/>
      <c r="N1432" s="527"/>
      <c r="O1432" s="132"/>
      <c r="P1432" s="531">
        <f t="shared" si="530"/>
        <v>213079</v>
      </c>
      <c r="Q1432" s="531">
        <f t="shared" si="531"/>
        <v>0</v>
      </c>
      <c r="R1432" s="531">
        <f t="shared" si="531"/>
        <v>213079</v>
      </c>
    </row>
    <row r="1433" spans="2:18" x14ac:dyDescent="0.2">
      <c r="B1433" s="171">
        <f t="shared" si="518"/>
        <v>102</v>
      </c>
      <c r="C1433" s="130"/>
      <c r="D1433" s="130"/>
      <c r="E1433" s="134"/>
      <c r="F1433" s="149">
        <v>620</v>
      </c>
      <c r="G1433" s="199" t="s">
        <v>259</v>
      </c>
      <c r="H1433" s="388">
        <v>74578</v>
      </c>
      <c r="I1433" s="388"/>
      <c r="J1433" s="388">
        <f t="shared" si="517"/>
        <v>74578</v>
      </c>
      <c r="K1433" s="132"/>
      <c r="L1433" s="527"/>
      <c r="M1433" s="527"/>
      <c r="N1433" s="527"/>
      <c r="O1433" s="132"/>
      <c r="P1433" s="531">
        <f t="shared" si="530"/>
        <v>74578</v>
      </c>
      <c r="Q1433" s="531">
        <f t="shared" si="531"/>
        <v>0</v>
      </c>
      <c r="R1433" s="531">
        <f t="shared" si="531"/>
        <v>74578</v>
      </c>
    </row>
    <row r="1434" spans="2:18" x14ac:dyDescent="0.2">
      <c r="B1434" s="171">
        <f t="shared" si="518"/>
        <v>103</v>
      </c>
      <c r="C1434" s="130"/>
      <c r="D1434" s="130"/>
      <c r="E1434" s="134"/>
      <c r="F1434" s="149">
        <v>630</v>
      </c>
      <c r="G1434" s="199" t="s">
        <v>236</v>
      </c>
      <c r="H1434" s="388">
        <f>SUM(H1435:H1438)</f>
        <v>32243</v>
      </c>
      <c r="I1434" s="388"/>
      <c r="J1434" s="388">
        <f t="shared" si="517"/>
        <v>32243</v>
      </c>
      <c r="K1434" s="132"/>
      <c r="L1434" s="527"/>
      <c r="M1434" s="527"/>
      <c r="N1434" s="527"/>
      <c r="O1434" s="132"/>
      <c r="P1434" s="531">
        <f t="shared" si="530"/>
        <v>32243</v>
      </c>
      <c r="Q1434" s="531">
        <f t="shared" si="531"/>
        <v>0</v>
      </c>
      <c r="R1434" s="531">
        <f t="shared" si="531"/>
        <v>32243</v>
      </c>
    </row>
    <row r="1435" spans="2:18" x14ac:dyDescent="0.2">
      <c r="B1435" s="171">
        <f t="shared" si="518"/>
        <v>104</v>
      </c>
      <c r="C1435" s="130"/>
      <c r="D1435" s="130"/>
      <c r="E1435" s="134"/>
      <c r="F1435" s="134">
        <v>632</v>
      </c>
      <c r="G1435" s="194" t="s">
        <v>297</v>
      </c>
      <c r="H1435" s="527">
        <v>650</v>
      </c>
      <c r="I1435" s="527"/>
      <c r="J1435" s="527">
        <f t="shared" si="517"/>
        <v>650</v>
      </c>
      <c r="K1435" s="132"/>
      <c r="L1435" s="527"/>
      <c r="M1435" s="527"/>
      <c r="N1435" s="527"/>
      <c r="O1435" s="132"/>
      <c r="P1435" s="168">
        <f t="shared" si="530"/>
        <v>650</v>
      </c>
      <c r="Q1435" s="168">
        <f t="shared" si="531"/>
        <v>0</v>
      </c>
      <c r="R1435" s="168">
        <f t="shared" si="531"/>
        <v>650</v>
      </c>
    </row>
    <row r="1436" spans="2:18" x14ac:dyDescent="0.2">
      <c r="B1436" s="171">
        <f t="shared" si="518"/>
        <v>105</v>
      </c>
      <c r="C1436" s="130"/>
      <c r="D1436" s="130"/>
      <c r="E1436" s="134"/>
      <c r="F1436" s="134">
        <v>633</v>
      </c>
      <c r="G1436" s="194" t="s">
        <v>247</v>
      </c>
      <c r="H1436" s="527">
        <v>2000</v>
      </c>
      <c r="I1436" s="527"/>
      <c r="J1436" s="527">
        <f t="shared" si="517"/>
        <v>2000</v>
      </c>
      <c r="K1436" s="132"/>
      <c r="L1436" s="527"/>
      <c r="M1436" s="527"/>
      <c r="N1436" s="527"/>
      <c r="O1436" s="132"/>
      <c r="P1436" s="168">
        <f t="shared" si="530"/>
        <v>2000</v>
      </c>
      <c r="Q1436" s="168">
        <f t="shared" si="531"/>
        <v>0</v>
      </c>
      <c r="R1436" s="168">
        <f t="shared" si="531"/>
        <v>2000</v>
      </c>
    </row>
    <row r="1437" spans="2:18" x14ac:dyDescent="0.2">
      <c r="B1437" s="171">
        <f t="shared" si="518"/>
        <v>106</v>
      </c>
      <c r="C1437" s="130"/>
      <c r="D1437" s="130"/>
      <c r="E1437" s="134"/>
      <c r="F1437" s="134">
        <v>634</v>
      </c>
      <c r="G1437" s="194" t="s">
        <v>260</v>
      </c>
      <c r="H1437" s="527">
        <v>4900</v>
      </c>
      <c r="I1437" s="527"/>
      <c r="J1437" s="527">
        <f t="shared" si="517"/>
        <v>4900</v>
      </c>
      <c r="K1437" s="132"/>
      <c r="L1437" s="527"/>
      <c r="M1437" s="527"/>
      <c r="N1437" s="527"/>
      <c r="O1437" s="132"/>
      <c r="P1437" s="168">
        <f t="shared" si="530"/>
        <v>4900</v>
      </c>
      <c r="Q1437" s="168">
        <f t="shared" si="531"/>
        <v>0</v>
      </c>
      <c r="R1437" s="168">
        <f t="shared" si="531"/>
        <v>4900</v>
      </c>
    </row>
    <row r="1438" spans="2:18" x14ac:dyDescent="0.2">
      <c r="B1438" s="171">
        <f t="shared" si="518"/>
        <v>107</v>
      </c>
      <c r="C1438" s="130"/>
      <c r="D1438" s="130"/>
      <c r="E1438" s="134"/>
      <c r="F1438" s="134">
        <v>637</v>
      </c>
      <c r="G1438" s="194" t="s">
        <v>248</v>
      </c>
      <c r="H1438" s="527">
        <v>24693</v>
      </c>
      <c r="I1438" s="527"/>
      <c r="J1438" s="527">
        <f t="shared" si="517"/>
        <v>24693</v>
      </c>
      <c r="K1438" s="132"/>
      <c r="L1438" s="527"/>
      <c r="M1438" s="527"/>
      <c r="N1438" s="527"/>
      <c r="O1438" s="132"/>
      <c r="P1438" s="168">
        <f t="shared" si="530"/>
        <v>24693</v>
      </c>
      <c r="Q1438" s="168">
        <f t="shared" si="531"/>
        <v>0</v>
      </c>
      <c r="R1438" s="168">
        <f t="shared" si="531"/>
        <v>24693</v>
      </c>
    </row>
    <row r="1439" spans="2:18" x14ac:dyDescent="0.2">
      <c r="B1439" s="171">
        <f t="shared" si="518"/>
        <v>108</v>
      </c>
      <c r="C1439" s="130"/>
      <c r="D1439" s="130"/>
      <c r="E1439" s="134"/>
      <c r="F1439" s="149">
        <v>640</v>
      </c>
      <c r="G1439" s="199" t="s">
        <v>298</v>
      </c>
      <c r="H1439" s="388">
        <v>1897</v>
      </c>
      <c r="I1439" s="388"/>
      <c r="J1439" s="388">
        <f t="shared" si="517"/>
        <v>1897</v>
      </c>
      <c r="K1439" s="132"/>
      <c r="L1439" s="527"/>
      <c r="M1439" s="527"/>
      <c r="N1439" s="527"/>
      <c r="O1439" s="132"/>
      <c r="P1439" s="531">
        <f t="shared" si="530"/>
        <v>1897</v>
      </c>
      <c r="Q1439" s="531">
        <f t="shared" si="531"/>
        <v>0</v>
      </c>
      <c r="R1439" s="531">
        <f t="shared" si="531"/>
        <v>1897</v>
      </c>
    </row>
    <row r="1440" spans="2:18" x14ac:dyDescent="0.2">
      <c r="B1440" s="171">
        <f t="shared" si="518"/>
        <v>109</v>
      </c>
      <c r="C1440" s="130"/>
      <c r="D1440" s="159"/>
      <c r="E1440" s="134"/>
      <c r="F1440" s="149"/>
      <c r="G1440" s="199"/>
      <c r="H1440" s="432"/>
      <c r="I1440" s="432"/>
      <c r="J1440" s="432">
        <f t="shared" si="517"/>
        <v>0</v>
      </c>
      <c r="K1440" s="132"/>
      <c r="L1440" s="382"/>
      <c r="M1440" s="382"/>
      <c r="N1440" s="382"/>
      <c r="O1440" s="132"/>
      <c r="P1440" s="213"/>
      <c r="Q1440" s="213"/>
      <c r="R1440" s="213"/>
    </row>
    <row r="1441" spans="2:18" ht="15.75" x14ac:dyDescent="0.25">
      <c r="B1441" s="171">
        <f t="shared" si="518"/>
        <v>110</v>
      </c>
      <c r="C1441" s="23">
        <v>8</v>
      </c>
      <c r="D1441" s="127" t="s">
        <v>101</v>
      </c>
      <c r="E1441" s="24"/>
      <c r="F1441" s="24"/>
      <c r="G1441" s="193"/>
      <c r="H1441" s="414">
        <f>H1442</f>
        <v>2000</v>
      </c>
      <c r="I1441" s="414">
        <f t="shared" ref="I1441" si="533">I1442</f>
        <v>0</v>
      </c>
      <c r="J1441" s="414">
        <f t="shared" si="517"/>
        <v>2000</v>
      </c>
      <c r="K1441" s="88"/>
      <c r="L1441" s="393"/>
      <c r="M1441" s="393"/>
      <c r="N1441" s="393"/>
      <c r="O1441" s="88"/>
      <c r="P1441" s="373">
        <f t="shared" ref="P1441:P1468" si="534">H1441+L1441</f>
        <v>2000</v>
      </c>
      <c r="Q1441" s="373">
        <f t="shared" ref="Q1441:R1456" si="535">I1441+M1441</f>
        <v>0</v>
      </c>
      <c r="R1441" s="373">
        <f t="shared" si="535"/>
        <v>2000</v>
      </c>
    </row>
    <row r="1442" spans="2:18" x14ac:dyDescent="0.2">
      <c r="B1442" s="171">
        <f t="shared" si="518"/>
        <v>111</v>
      </c>
      <c r="C1442" s="135"/>
      <c r="D1442" s="135"/>
      <c r="E1442" s="525" t="s">
        <v>276</v>
      </c>
      <c r="F1442" s="525">
        <v>637</v>
      </c>
      <c r="G1442" s="202" t="s">
        <v>285</v>
      </c>
      <c r="H1442" s="527">
        <v>2000</v>
      </c>
      <c r="I1442" s="527"/>
      <c r="J1442" s="527">
        <f t="shared" si="517"/>
        <v>2000</v>
      </c>
      <c r="K1442" s="132"/>
      <c r="L1442" s="527"/>
      <c r="M1442" s="527"/>
      <c r="N1442" s="527"/>
      <c r="O1442" s="132"/>
      <c r="P1442" s="168">
        <f t="shared" si="534"/>
        <v>2000</v>
      </c>
      <c r="Q1442" s="168">
        <f t="shared" si="535"/>
        <v>0</v>
      </c>
      <c r="R1442" s="168">
        <f t="shared" si="535"/>
        <v>2000</v>
      </c>
    </row>
    <row r="1443" spans="2:18" ht="15.75" x14ac:dyDescent="0.25">
      <c r="B1443" s="171">
        <f t="shared" si="518"/>
        <v>112</v>
      </c>
      <c r="C1443" s="23">
        <v>9</v>
      </c>
      <c r="D1443" s="127" t="s">
        <v>147</v>
      </c>
      <c r="E1443" s="24"/>
      <c r="F1443" s="24"/>
      <c r="G1443" s="193"/>
      <c r="H1443" s="414">
        <f>SUM(H1444:H1448)</f>
        <v>16471</v>
      </c>
      <c r="I1443" s="414">
        <f t="shared" ref="I1443" si="536">SUM(I1444:I1448)</f>
        <v>0</v>
      </c>
      <c r="J1443" s="414">
        <f t="shared" si="517"/>
        <v>16471</v>
      </c>
      <c r="K1443" s="88"/>
      <c r="L1443" s="393"/>
      <c r="M1443" s="393"/>
      <c r="N1443" s="393"/>
      <c r="O1443" s="88"/>
      <c r="P1443" s="373">
        <f t="shared" si="534"/>
        <v>16471</v>
      </c>
      <c r="Q1443" s="373">
        <f t="shared" si="535"/>
        <v>0</v>
      </c>
      <c r="R1443" s="373">
        <f t="shared" si="535"/>
        <v>16471</v>
      </c>
    </row>
    <row r="1444" spans="2:18" x14ac:dyDescent="0.2">
      <c r="B1444" s="171">
        <f t="shared" si="518"/>
        <v>113</v>
      </c>
      <c r="C1444" s="135"/>
      <c r="D1444" s="135"/>
      <c r="E1444" s="525" t="s">
        <v>675</v>
      </c>
      <c r="F1444" s="525">
        <v>640</v>
      </c>
      <c r="G1444" s="202" t="s">
        <v>286</v>
      </c>
      <c r="H1444" s="527">
        <v>500</v>
      </c>
      <c r="I1444" s="527"/>
      <c r="J1444" s="527">
        <f t="shared" si="517"/>
        <v>500</v>
      </c>
      <c r="K1444" s="132"/>
      <c r="L1444" s="527"/>
      <c r="M1444" s="527"/>
      <c r="N1444" s="527"/>
      <c r="O1444" s="132"/>
      <c r="P1444" s="168">
        <f t="shared" si="534"/>
        <v>500</v>
      </c>
      <c r="Q1444" s="168">
        <f t="shared" si="535"/>
        <v>0</v>
      </c>
      <c r="R1444" s="168">
        <f t="shared" si="535"/>
        <v>500</v>
      </c>
    </row>
    <row r="1445" spans="2:18" x14ac:dyDescent="0.2">
      <c r="B1445" s="171">
        <f t="shared" si="518"/>
        <v>114</v>
      </c>
      <c r="C1445" s="130"/>
      <c r="D1445" s="130"/>
      <c r="E1445" s="525" t="s">
        <v>675</v>
      </c>
      <c r="F1445" s="525">
        <v>640</v>
      </c>
      <c r="G1445" s="194" t="s">
        <v>287</v>
      </c>
      <c r="H1445" s="527">
        <v>500</v>
      </c>
      <c r="I1445" s="527"/>
      <c r="J1445" s="527">
        <f t="shared" si="517"/>
        <v>500</v>
      </c>
      <c r="K1445" s="132"/>
      <c r="L1445" s="527"/>
      <c r="M1445" s="527"/>
      <c r="N1445" s="527"/>
      <c r="O1445" s="132"/>
      <c r="P1445" s="168">
        <f t="shared" si="534"/>
        <v>500</v>
      </c>
      <c r="Q1445" s="168">
        <f t="shared" si="535"/>
        <v>0</v>
      </c>
      <c r="R1445" s="168">
        <f t="shared" si="535"/>
        <v>500</v>
      </c>
    </row>
    <row r="1446" spans="2:18" x14ac:dyDescent="0.2">
      <c r="B1446" s="171">
        <f t="shared" si="518"/>
        <v>115</v>
      </c>
      <c r="C1446" s="135"/>
      <c r="D1446" s="135"/>
      <c r="E1446" s="525" t="s">
        <v>675</v>
      </c>
      <c r="F1446" s="525">
        <v>640</v>
      </c>
      <c r="G1446" s="202" t="s">
        <v>288</v>
      </c>
      <c r="H1446" s="527">
        <f>11000-500-5100</f>
        <v>5400</v>
      </c>
      <c r="I1446" s="527"/>
      <c r="J1446" s="527">
        <f t="shared" si="517"/>
        <v>5400</v>
      </c>
      <c r="K1446" s="148"/>
      <c r="L1446" s="527"/>
      <c r="M1446" s="527"/>
      <c r="N1446" s="527"/>
      <c r="O1446" s="148"/>
      <c r="P1446" s="168">
        <f t="shared" si="534"/>
        <v>5400</v>
      </c>
      <c r="Q1446" s="168">
        <f t="shared" si="535"/>
        <v>0</v>
      </c>
      <c r="R1446" s="168">
        <f t="shared" si="535"/>
        <v>5400</v>
      </c>
    </row>
    <row r="1447" spans="2:18" x14ac:dyDescent="0.2">
      <c r="B1447" s="171">
        <f t="shared" si="518"/>
        <v>116</v>
      </c>
      <c r="C1447" s="130"/>
      <c r="D1447" s="525"/>
      <c r="E1447" s="525" t="s">
        <v>675</v>
      </c>
      <c r="F1447" s="525">
        <v>637</v>
      </c>
      <c r="G1447" s="194" t="s">
        <v>651</v>
      </c>
      <c r="H1447" s="382">
        <f>4000+6000</f>
        <v>10000</v>
      </c>
      <c r="I1447" s="382"/>
      <c r="J1447" s="382">
        <f t="shared" si="517"/>
        <v>10000</v>
      </c>
      <c r="K1447" s="132"/>
      <c r="L1447" s="382"/>
      <c r="M1447" s="382"/>
      <c r="N1447" s="382"/>
      <c r="O1447" s="132"/>
      <c r="P1447" s="213">
        <f t="shared" si="534"/>
        <v>10000</v>
      </c>
      <c r="Q1447" s="213">
        <f t="shared" si="535"/>
        <v>0</v>
      </c>
      <c r="R1447" s="213">
        <f t="shared" si="535"/>
        <v>10000</v>
      </c>
    </row>
    <row r="1448" spans="2:18" x14ac:dyDescent="0.2">
      <c r="B1448" s="171"/>
      <c r="C1448" s="130"/>
      <c r="D1448" s="159"/>
      <c r="E1448" s="525" t="s">
        <v>675</v>
      </c>
      <c r="F1448" s="525">
        <v>637</v>
      </c>
      <c r="G1448" s="194" t="s">
        <v>795</v>
      </c>
      <c r="H1448" s="382">
        <v>71</v>
      </c>
      <c r="I1448" s="382"/>
      <c r="J1448" s="382">
        <f t="shared" si="517"/>
        <v>71</v>
      </c>
      <c r="K1448" s="132"/>
      <c r="L1448" s="382"/>
      <c r="M1448" s="382"/>
      <c r="N1448" s="382"/>
      <c r="O1448" s="132"/>
      <c r="P1448" s="213">
        <f t="shared" si="534"/>
        <v>71</v>
      </c>
      <c r="Q1448" s="213">
        <f t="shared" si="535"/>
        <v>0</v>
      </c>
      <c r="R1448" s="213">
        <f t="shared" si="535"/>
        <v>71</v>
      </c>
    </row>
    <row r="1449" spans="2:18" ht="15.75" x14ac:dyDescent="0.25">
      <c r="B1449" s="171">
        <f>B1447+1</f>
        <v>117</v>
      </c>
      <c r="C1449" s="23">
        <v>10</v>
      </c>
      <c r="D1449" s="127" t="s">
        <v>125</v>
      </c>
      <c r="E1449" s="24"/>
      <c r="F1449" s="24"/>
      <c r="G1449" s="193"/>
      <c r="H1449" s="414">
        <f>H1450</f>
        <v>11784</v>
      </c>
      <c r="I1449" s="414">
        <f t="shared" ref="I1449" si="537">I1450</f>
        <v>0</v>
      </c>
      <c r="J1449" s="414">
        <f t="shared" si="517"/>
        <v>11784</v>
      </c>
      <c r="K1449" s="88"/>
      <c r="L1449" s="393"/>
      <c r="M1449" s="393"/>
      <c r="N1449" s="393"/>
      <c r="O1449" s="88"/>
      <c r="P1449" s="373">
        <f t="shared" si="534"/>
        <v>11784</v>
      </c>
      <c r="Q1449" s="373">
        <f t="shared" si="535"/>
        <v>0</v>
      </c>
      <c r="R1449" s="373">
        <f t="shared" si="535"/>
        <v>11784</v>
      </c>
    </row>
    <row r="1450" spans="2:18" x14ac:dyDescent="0.2">
      <c r="B1450" s="171">
        <f t="shared" si="518"/>
        <v>118</v>
      </c>
      <c r="C1450" s="135"/>
      <c r="D1450" s="135"/>
      <c r="E1450" s="357" t="s">
        <v>674</v>
      </c>
      <c r="F1450" s="357"/>
      <c r="G1450" s="358" t="s">
        <v>453</v>
      </c>
      <c r="H1450" s="404">
        <f>H1451+H1452+H1453+H1457</f>
        <v>11784</v>
      </c>
      <c r="I1450" s="404">
        <f t="shared" ref="I1450" si="538">I1451+I1452+I1453+I1457</f>
        <v>0</v>
      </c>
      <c r="J1450" s="404">
        <f t="shared" si="517"/>
        <v>11784</v>
      </c>
      <c r="K1450" s="361"/>
      <c r="L1450" s="878"/>
      <c r="M1450" s="878"/>
      <c r="N1450" s="878"/>
      <c r="O1450" s="361"/>
      <c r="P1450" s="362">
        <f t="shared" si="534"/>
        <v>11784</v>
      </c>
      <c r="Q1450" s="362">
        <f t="shared" si="535"/>
        <v>0</v>
      </c>
      <c r="R1450" s="362">
        <f t="shared" si="535"/>
        <v>11784</v>
      </c>
    </row>
    <row r="1451" spans="2:18" x14ac:dyDescent="0.2">
      <c r="B1451" s="171">
        <f t="shared" si="518"/>
        <v>119</v>
      </c>
      <c r="C1451" s="130"/>
      <c r="D1451" s="130"/>
      <c r="E1451" s="149"/>
      <c r="F1451" s="149">
        <v>610</v>
      </c>
      <c r="G1451" s="199" t="s">
        <v>257</v>
      </c>
      <c r="H1451" s="388">
        <v>6240</v>
      </c>
      <c r="I1451" s="388"/>
      <c r="J1451" s="388">
        <f t="shared" si="517"/>
        <v>6240</v>
      </c>
      <c r="K1451" s="132"/>
      <c r="L1451" s="527"/>
      <c r="M1451" s="527"/>
      <c r="N1451" s="527"/>
      <c r="O1451" s="132"/>
      <c r="P1451" s="531">
        <f t="shared" si="534"/>
        <v>6240</v>
      </c>
      <c r="Q1451" s="531">
        <f t="shared" si="535"/>
        <v>0</v>
      </c>
      <c r="R1451" s="531">
        <f t="shared" si="535"/>
        <v>6240</v>
      </c>
    </row>
    <row r="1452" spans="2:18" x14ac:dyDescent="0.2">
      <c r="B1452" s="171">
        <f t="shared" si="518"/>
        <v>120</v>
      </c>
      <c r="C1452" s="130"/>
      <c r="D1452" s="130"/>
      <c r="E1452" s="134"/>
      <c r="F1452" s="149">
        <v>620</v>
      </c>
      <c r="G1452" s="199" t="s">
        <v>259</v>
      </c>
      <c r="H1452" s="388">
        <v>2189</v>
      </c>
      <c r="I1452" s="388"/>
      <c r="J1452" s="388">
        <f t="shared" si="517"/>
        <v>2189</v>
      </c>
      <c r="K1452" s="132"/>
      <c r="L1452" s="527"/>
      <c r="M1452" s="527"/>
      <c r="N1452" s="527"/>
      <c r="O1452" s="132"/>
      <c r="P1452" s="531">
        <f t="shared" si="534"/>
        <v>2189</v>
      </c>
      <c r="Q1452" s="531">
        <f t="shared" si="535"/>
        <v>0</v>
      </c>
      <c r="R1452" s="531">
        <f t="shared" si="535"/>
        <v>2189</v>
      </c>
    </row>
    <row r="1453" spans="2:18" x14ac:dyDescent="0.2">
      <c r="B1453" s="171">
        <f t="shared" si="518"/>
        <v>121</v>
      </c>
      <c r="C1453" s="130"/>
      <c r="D1453" s="130"/>
      <c r="E1453" s="134"/>
      <c r="F1453" s="149">
        <v>630</v>
      </c>
      <c r="G1453" s="199" t="s">
        <v>236</v>
      </c>
      <c r="H1453" s="388">
        <f>H1454+H1455+H1456</f>
        <v>3325</v>
      </c>
      <c r="I1453" s="388"/>
      <c r="J1453" s="388">
        <f t="shared" si="517"/>
        <v>3325</v>
      </c>
      <c r="K1453" s="132"/>
      <c r="L1453" s="527"/>
      <c r="M1453" s="527"/>
      <c r="N1453" s="527"/>
      <c r="O1453" s="132"/>
      <c r="P1453" s="531">
        <f t="shared" si="534"/>
        <v>3325</v>
      </c>
      <c r="Q1453" s="531">
        <f t="shared" si="535"/>
        <v>0</v>
      </c>
      <c r="R1453" s="531">
        <f t="shared" si="535"/>
        <v>3325</v>
      </c>
    </row>
    <row r="1454" spans="2:18" x14ac:dyDescent="0.2">
      <c r="B1454" s="171">
        <f t="shared" si="518"/>
        <v>122</v>
      </c>
      <c r="C1454" s="130"/>
      <c r="D1454" s="130"/>
      <c r="E1454" s="134"/>
      <c r="F1454" s="134">
        <v>632</v>
      </c>
      <c r="G1454" s="194" t="s">
        <v>454</v>
      </c>
      <c r="H1454" s="527">
        <v>70</v>
      </c>
      <c r="I1454" s="527"/>
      <c r="J1454" s="527">
        <f t="shared" si="517"/>
        <v>70</v>
      </c>
      <c r="K1454" s="132"/>
      <c r="L1454" s="527"/>
      <c r="M1454" s="527"/>
      <c r="N1454" s="527"/>
      <c r="O1454" s="132"/>
      <c r="P1454" s="168">
        <f t="shared" si="534"/>
        <v>70</v>
      </c>
      <c r="Q1454" s="168">
        <f t="shared" si="535"/>
        <v>0</v>
      </c>
      <c r="R1454" s="168">
        <f t="shared" si="535"/>
        <v>70</v>
      </c>
    </row>
    <row r="1455" spans="2:18" x14ac:dyDescent="0.2">
      <c r="B1455" s="171">
        <f t="shared" si="518"/>
        <v>123</v>
      </c>
      <c r="C1455" s="130"/>
      <c r="D1455" s="130"/>
      <c r="E1455" s="134"/>
      <c r="F1455" s="134">
        <v>634</v>
      </c>
      <c r="G1455" s="194" t="s">
        <v>260</v>
      </c>
      <c r="H1455" s="527">
        <f>2240+400</f>
        <v>2640</v>
      </c>
      <c r="I1455" s="527"/>
      <c r="J1455" s="527">
        <f t="shared" si="517"/>
        <v>2640</v>
      </c>
      <c r="K1455" s="132"/>
      <c r="L1455" s="527"/>
      <c r="M1455" s="527"/>
      <c r="N1455" s="527"/>
      <c r="O1455" s="132"/>
      <c r="P1455" s="168">
        <f t="shared" si="534"/>
        <v>2640</v>
      </c>
      <c r="Q1455" s="168">
        <f t="shared" si="535"/>
        <v>0</v>
      </c>
      <c r="R1455" s="168">
        <f t="shared" si="535"/>
        <v>2640</v>
      </c>
    </row>
    <row r="1456" spans="2:18" x14ac:dyDescent="0.2">
      <c r="B1456" s="171">
        <f t="shared" si="518"/>
        <v>124</v>
      </c>
      <c r="C1456" s="130"/>
      <c r="D1456" s="130"/>
      <c r="E1456" s="134"/>
      <c r="F1456" s="134">
        <v>637</v>
      </c>
      <c r="G1456" s="194" t="s">
        <v>248</v>
      </c>
      <c r="H1456" s="527">
        <v>615</v>
      </c>
      <c r="I1456" s="527"/>
      <c r="J1456" s="527">
        <f t="shared" si="517"/>
        <v>615</v>
      </c>
      <c r="K1456" s="132"/>
      <c r="L1456" s="527"/>
      <c r="M1456" s="527"/>
      <c r="N1456" s="527"/>
      <c r="O1456" s="132"/>
      <c r="P1456" s="168">
        <f t="shared" si="534"/>
        <v>615</v>
      </c>
      <c r="Q1456" s="168">
        <f t="shared" si="535"/>
        <v>0</v>
      </c>
      <c r="R1456" s="168">
        <f t="shared" si="535"/>
        <v>615</v>
      </c>
    </row>
    <row r="1457" spans="2:18" x14ac:dyDescent="0.2">
      <c r="B1457" s="171">
        <f t="shared" si="518"/>
        <v>125</v>
      </c>
      <c r="C1457" s="130"/>
      <c r="D1457" s="159"/>
      <c r="E1457" s="525"/>
      <c r="F1457" s="149">
        <v>640</v>
      </c>
      <c r="G1457" s="199" t="s">
        <v>267</v>
      </c>
      <c r="H1457" s="388">
        <v>30</v>
      </c>
      <c r="I1457" s="388"/>
      <c r="J1457" s="388">
        <f t="shared" si="517"/>
        <v>30</v>
      </c>
      <c r="K1457" s="132"/>
      <c r="L1457" s="527"/>
      <c r="M1457" s="527"/>
      <c r="N1457" s="527"/>
      <c r="O1457" s="132"/>
      <c r="P1457" s="531">
        <f t="shared" si="534"/>
        <v>30</v>
      </c>
      <c r="Q1457" s="531">
        <f t="shared" ref="Q1457:R1468" si="539">I1457+M1457</f>
        <v>0</v>
      </c>
      <c r="R1457" s="531">
        <f t="shared" si="539"/>
        <v>30</v>
      </c>
    </row>
    <row r="1458" spans="2:18" ht="15.75" x14ac:dyDescent="0.25">
      <c r="B1458" s="171">
        <f t="shared" si="518"/>
        <v>126</v>
      </c>
      <c r="C1458" s="23">
        <v>11</v>
      </c>
      <c r="D1458" s="127" t="s">
        <v>466</v>
      </c>
      <c r="E1458" s="24"/>
      <c r="F1458" s="24"/>
      <c r="G1458" s="193"/>
      <c r="H1458" s="414">
        <f>H1459</f>
        <v>118819</v>
      </c>
      <c r="I1458" s="414">
        <f t="shared" ref="I1458" si="540">I1459</f>
        <v>0</v>
      </c>
      <c r="J1458" s="414">
        <f t="shared" si="517"/>
        <v>118819</v>
      </c>
      <c r="K1458" s="88"/>
      <c r="L1458" s="393"/>
      <c r="M1458" s="393"/>
      <c r="N1458" s="393"/>
      <c r="O1458" s="88"/>
      <c r="P1458" s="373">
        <f t="shared" si="534"/>
        <v>118819</v>
      </c>
      <c r="Q1458" s="373">
        <f t="shared" si="539"/>
        <v>0</v>
      </c>
      <c r="R1458" s="373">
        <f t="shared" si="539"/>
        <v>118819</v>
      </c>
    </row>
    <row r="1459" spans="2:18" x14ac:dyDescent="0.2">
      <c r="B1459" s="171">
        <f t="shared" si="518"/>
        <v>127</v>
      </c>
      <c r="C1459" s="135"/>
      <c r="D1459" s="135"/>
      <c r="E1459" s="357" t="s">
        <v>672</v>
      </c>
      <c r="F1459" s="357"/>
      <c r="G1459" s="358" t="s">
        <v>453</v>
      </c>
      <c r="H1459" s="404">
        <f>H1460+H1461+H1462</f>
        <v>118819</v>
      </c>
      <c r="I1459" s="404">
        <f t="shared" ref="I1459" si="541">I1460+I1461+I1462</f>
        <v>0</v>
      </c>
      <c r="J1459" s="404">
        <f t="shared" si="517"/>
        <v>118819</v>
      </c>
      <c r="K1459" s="361"/>
      <c r="L1459" s="878"/>
      <c r="M1459" s="878"/>
      <c r="N1459" s="878"/>
      <c r="O1459" s="361"/>
      <c r="P1459" s="362">
        <f t="shared" si="534"/>
        <v>118819</v>
      </c>
      <c r="Q1459" s="362">
        <f t="shared" si="539"/>
        <v>0</v>
      </c>
      <c r="R1459" s="362">
        <f t="shared" si="539"/>
        <v>118819</v>
      </c>
    </row>
    <row r="1460" spans="2:18" x14ac:dyDescent="0.2">
      <c r="B1460" s="171">
        <f t="shared" si="518"/>
        <v>128</v>
      </c>
      <c r="C1460" s="130"/>
      <c r="D1460" s="130"/>
      <c r="E1460" s="149"/>
      <c r="F1460" s="149">
        <v>610</v>
      </c>
      <c r="G1460" s="199" t="s">
        <v>257</v>
      </c>
      <c r="H1460" s="388">
        <v>69450</v>
      </c>
      <c r="I1460" s="388"/>
      <c r="J1460" s="388">
        <f t="shared" si="517"/>
        <v>69450</v>
      </c>
      <c r="K1460" s="132"/>
      <c r="L1460" s="527"/>
      <c r="M1460" s="527"/>
      <c r="N1460" s="527"/>
      <c r="O1460" s="132"/>
      <c r="P1460" s="531">
        <f t="shared" si="534"/>
        <v>69450</v>
      </c>
      <c r="Q1460" s="531">
        <f t="shared" si="539"/>
        <v>0</v>
      </c>
      <c r="R1460" s="531">
        <f t="shared" si="539"/>
        <v>69450</v>
      </c>
    </row>
    <row r="1461" spans="2:18" x14ac:dyDescent="0.2">
      <c r="B1461" s="171">
        <f t="shared" si="518"/>
        <v>129</v>
      </c>
      <c r="C1461" s="135"/>
      <c r="D1461" s="135"/>
      <c r="E1461" s="134"/>
      <c r="F1461" s="149">
        <v>620</v>
      </c>
      <c r="G1461" s="199" t="s">
        <v>259</v>
      </c>
      <c r="H1461" s="388">
        <v>24308</v>
      </c>
      <c r="I1461" s="388"/>
      <c r="J1461" s="388">
        <f t="shared" ref="J1461:J1468" si="542">H1461+I1461</f>
        <v>24308</v>
      </c>
      <c r="K1461" s="132"/>
      <c r="L1461" s="527"/>
      <c r="M1461" s="527"/>
      <c r="N1461" s="527"/>
      <c r="O1461" s="132"/>
      <c r="P1461" s="531">
        <f t="shared" si="534"/>
        <v>24308</v>
      </c>
      <c r="Q1461" s="531">
        <f t="shared" si="539"/>
        <v>0</v>
      </c>
      <c r="R1461" s="531">
        <f t="shared" si="539"/>
        <v>24308</v>
      </c>
    </row>
    <row r="1462" spans="2:18" x14ac:dyDescent="0.2">
      <c r="B1462" s="171">
        <f t="shared" ref="B1462:B1468" si="543">B1461+1</f>
        <v>130</v>
      </c>
      <c r="C1462" s="130"/>
      <c r="D1462" s="130"/>
      <c r="E1462" s="134"/>
      <c r="F1462" s="149">
        <v>630</v>
      </c>
      <c r="G1462" s="199" t="s">
        <v>236</v>
      </c>
      <c r="H1462" s="388">
        <f>SUM(H1463:H1468)</f>
        <v>25061</v>
      </c>
      <c r="I1462" s="388"/>
      <c r="J1462" s="388">
        <f t="shared" si="542"/>
        <v>25061</v>
      </c>
      <c r="K1462" s="148"/>
      <c r="L1462" s="527"/>
      <c r="M1462" s="527"/>
      <c r="N1462" s="527"/>
      <c r="O1462" s="148"/>
      <c r="P1462" s="531">
        <f t="shared" si="534"/>
        <v>25061</v>
      </c>
      <c r="Q1462" s="531">
        <f t="shared" si="539"/>
        <v>0</v>
      </c>
      <c r="R1462" s="531">
        <f t="shared" si="539"/>
        <v>25061</v>
      </c>
    </row>
    <row r="1463" spans="2:18" x14ac:dyDescent="0.2">
      <c r="B1463" s="171">
        <f t="shared" si="543"/>
        <v>131</v>
      </c>
      <c r="C1463" s="130"/>
      <c r="D1463" s="130"/>
      <c r="E1463" s="134"/>
      <c r="F1463" s="134">
        <v>631</v>
      </c>
      <c r="G1463" s="194" t="s">
        <v>519</v>
      </c>
      <c r="H1463" s="382">
        <v>300</v>
      </c>
      <c r="I1463" s="382"/>
      <c r="J1463" s="382">
        <f t="shared" si="542"/>
        <v>300</v>
      </c>
      <c r="K1463" s="132"/>
      <c r="L1463" s="382"/>
      <c r="M1463" s="382"/>
      <c r="N1463" s="382"/>
      <c r="O1463" s="132"/>
      <c r="P1463" s="213">
        <f t="shared" si="534"/>
        <v>300</v>
      </c>
      <c r="Q1463" s="213">
        <f t="shared" si="539"/>
        <v>0</v>
      </c>
      <c r="R1463" s="213">
        <f t="shared" si="539"/>
        <v>300</v>
      </c>
    </row>
    <row r="1464" spans="2:18" x14ac:dyDescent="0.2">
      <c r="B1464" s="171">
        <f t="shared" si="543"/>
        <v>132</v>
      </c>
      <c r="C1464" s="130"/>
      <c r="D1464" s="130"/>
      <c r="E1464" s="134"/>
      <c r="F1464" s="134">
        <v>632</v>
      </c>
      <c r="G1464" s="194" t="s">
        <v>318</v>
      </c>
      <c r="H1464" s="382">
        <v>2150</v>
      </c>
      <c r="I1464" s="382"/>
      <c r="J1464" s="382">
        <f t="shared" si="542"/>
        <v>2150</v>
      </c>
      <c r="K1464" s="132"/>
      <c r="L1464" s="382"/>
      <c r="M1464" s="382"/>
      <c r="N1464" s="382"/>
      <c r="O1464" s="132"/>
      <c r="P1464" s="213">
        <f t="shared" si="534"/>
        <v>2150</v>
      </c>
      <c r="Q1464" s="213">
        <f t="shared" si="539"/>
        <v>0</v>
      </c>
      <c r="R1464" s="213">
        <f t="shared" si="539"/>
        <v>2150</v>
      </c>
    </row>
    <row r="1465" spans="2:18" x14ac:dyDescent="0.2">
      <c r="B1465" s="171">
        <f t="shared" si="543"/>
        <v>133</v>
      </c>
      <c r="C1465" s="130"/>
      <c r="D1465" s="130"/>
      <c r="E1465" s="134"/>
      <c r="F1465" s="134">
        <v>633</v>
      </c>
      <c r="G1465" s="194" t="s">
        <v>247</v>
      </c>
      <c r="H1465" s="527">
        <v>3030</v>
      </c>
      <c r="I1465" s="527"/>
      <c r="J1465" s="527">
        <f t="shared" si="542"/>
        <v>3030</v>
      </c>
      <c r="K1465" s="132"/>
      <c r="L1465" s="527"/>
      <c r="M1465" s="527"/>
      <c r="N1465" s="527"/>
      <c r="O1465" s="132"/>
      <c r="P1465" s="168">
        <f t="shared" si="534"/>
        <v>3030</v>
      </c>
      <c r="Q1465" s="168">
        <f t="shared" si="539"/>
        <v>0</v>
      </c>
      <c r="R1465" s="168">
        <f t="shared" si="539"/>
        <v>3030</v>
      </c>
    </row>
    <row r="1466" spans="2:18" x14ac:dyDescent="0.2">
      <c r="B1466" s="171">
        <f t="shared" si="543"/>
        <v>134</v>
      </c>
      <c r="C1466" s="130"/>
      <c r="D1466" s="130"/>
      <c r="E1466" s="134"/>
      <c r="F1466" s="134">
        <v>634</v>
      </c>
      <c r="G1466" s="194" t="s">
        <v>260</v>
      </c>
      <c r="H1466" s="527">
        <v>473</v>
      </c>
      <c r="I1466" s="527"/>
      <c r="J1466" s="527">
        <f t="shared" si="542"/>
        <v>473</v>
      </c>
      <c r="K1466" s="132"/>
      <c r="L1466" s="527"/>
      <c r="M1466" s="527"/>
      <c r="N1466" s="527"/>
      <c r="O1466" s="132"/>
      <c r="P1466" s="168">
        <f t="shared" si="534"/>
        <v>473</v>
      </c>
      <c r="Q1466" s="168">
        <f t="shared" si="539"/>
        <v>0</v>
      </c>
      <c r="R1466" s="168">
        <f t="shared" si="539"/>
        <v>473</v>
      </c>
    </row>
    <row r="1467" spans="2:18" x14ac:dyDescent="0.2">
      <c r="B1467" s="171">
        <f t="shared" si="543"/>
        <v>135</v>
      </c>
      <c r="C1467" s="130"/>
      <c r="D1467" s="130"/>
      <c r="E1467" s="134"/>
      <c r="F1467" s="134">
        <v>635</v>
      </c>
      <c r="G1467" s="194" t="s">
        <v>261</v>
      </c>
      <c r="H1467" s="527">
        <v>1600</v>
      </c>
      <c r="I1467" s="527"/>
      <c r="J1467" s="527">
        <f t="shared" si="542"/>
        <v>1600</v>
      </c>
      <c r="K1467" s="132"/>
      <c r="L1467" s="527"/>
      <c r="M1467" s="527"/>
      <c r="N1467" s="527"/>
      <c r="O1467" s="132"/>
      <c r="P1467" s="168">
        <f t="shared" si="534"/>
        <v>1600</v>
      </c>
      <c r="Q1467" s="168">
        <f t="shared" si="539"/>
        <v>0</v>
      </c>
      <c r="R1467" s="168">
        <f t="shared" si="539"/>
        <v>1600</v>
      </c>
    </row>
    <row r="1468" spans="2:18" ht="13.5" thickBot="1" x14ac:dyDescent="0.25">
      <c r="B1468" s="171">
        <f t="shared" si="543"/>
        <v>136</v>
      </c>
      <c r="C1468" s="139"/>
      <c r="D1468" s="139"/>
      <c r="E1468" s="140"/>
      <c r="F1468" s="140">
        <v>637</v>
      </c>
      <c r="G1468" s="200" t="s">
        <v>248</v>
      </c>
      <c r="H1468" s="385">
        <v>17508</v>
      </c>
      <c r="I1468" s="385"/>
      <c r="J1468" s="385">
        <f t="shared" si="542"/>
        <v>17508</v>
      </c>
      <c r="K1468" s="141"/>
      <c r="L1468" s="385"/>
      <c r="M1468" s="385"/>
      <c r="N1468" s="385"/>
      <c r="O1468" s="141"/>
      <c r="P1468" s="214">
        <f t="shared" si="534"/>
        <v>17508</v>
      </c>
      <c r="Q1468" s="214">
        <f t="shared" si="539"/>
        <v>0</v>
      </c>
      <c r="R1468" s="214">
        <f t="shared" si="539"/>
        <v>17508</v>
      </c>
    </row>
    <row r="1472" spans="2:18" ht="27.75" thickBot="1" x14ac:dyDescent="0.4">
      <c r="B1472" s="138" t="s">
        <v>230</v>
      </c>
      <c r="C1472" s="138"/>
      <c r="D1472" s="138"/>
      <c r="E1472" s="138"/>
      <c r="F1472" s="138"/>
      <c r="G1472" s="138"/>
      <c r="H1472" s="138"/>
      <c r="I1472" s="138"/>
      <c r="J1472" s="138"/>
      <c r="K1472" s="138"/>
      <c r="L1472" s="138"/>
      <c r="M1472" s="138"/>
      <c r="N1472" s="138"/>
      <c r="O1472" s="138"/>
      <c r="P1472" s="138"/>
      <c r="Q1472" s="138"/>
      <c r="R1472" s="138"/>
    </row>
    <row r="1473" spans="2:18" ht="13.5" customHeight="1" thickBot="1" x14ac:dyDescent="0.25">
      <c r="B1473" s="905" t="s">
        <v>631</v>
      </c>
      <c r="C1473" s="906"/>
      <c r="D1473" s="906"/>
      <c r="E1473" s="906"/>
      <c r="F1473" s="906"/>
      <c r="G1473" s="906"/>
      <c r="H1473" s="906"/>
      <c r="I1473" s="906"/>
      <c r="J1473" s="906"/>
      <c r="K1473" s="906"/>
      <c r="L1473" s="906"/>
      <c r="M1473" s="906"/>
      <c r="N1473" s="907"/>
      <c r="O1473" s="120"/>
      <c r="P1473" s="895" t="s">
        <v>721</v>
      </c>
      <c r="Q1473" s="895" t="s">
        <v>860</v>
      </c>
      <c r="R1473" s="895" t="s">
        <v>721</v>
      </c>
    </row>
    <row r="1474" spans="2:18" ht="13.5" customHeight="1" thickTop="1" x14ac:dyDescent="0.2">
      <c r="B1474" s="506"/>
      <c r="C1474" s="898" t="s">
        <v>477</v>
      </c>
      <c r="D1474" s="898" t="s">
        <v>476</v>
      </c>
      <c r="E1474" s="898" t="s">
        <v>474</v>
      </c>
      <c r="F1474" s="898" t="s">
        <v>475</v>
      </c>
      <c r="G1474" s="508" t="s">
        <v>3</v>
      </c>
      <c r="H1474" s="900" t="s">
        <v>722</v>
      </c>
      <c r="I1474" s="904" t="s">
        <v>860</v>
      </c>
      <c r="J1474" s="904" t="s">
        <v>722</v>
      </c>
      <c r="L1474" s="902" t="s">
        <v>723</v>
      </c>
      <c r="M1474" s="902" t="s">
        <v>860</v>
      </c>
      <c r="N1474" s="902" t="s">
        <v>723</v>
      </c>
      <c r="P1474" s="896"/>
      <c r="Q1474" s="896"/>
      <c r="R1474" s="896"/>
    </row>
    <row r="1475" spans="2:18" ht="48.75" customHeight="1" thickBot="1" x14ac:dyDescent="0.25">
      <c r="B1475" s="510"/>
      <c r="C1475" s="899"/>
      <c r="D1475" s="899"/>
      <c r="E1475" s="899"/>
      <c r="F1475" s="899"/>
      <c r="G1475" s="509"/>
      <c r="H1475" s="901"/>
      <c r="I1475" s="901"/>
      <c r="J1475" s="901"/>
      <c r="L1475" s="903"/>
      <c r="M1475" s="903"/>
      <c r="N1475" s="903"/>
      <c r="P1475" s="897"/>
      <c r="Q1475" s="897"/>
      <c r="R1475" s="897"/>
    </row>
    <row r="1476" spans="2:18" ht="19.5" thickTop="1" thickBot="1" x14ac:dyDescent="0.25">
      <c r="B1476" s="641">
        <v>1</v>
      </c>
      <c r="C1476" s="125" t="s">
        <v>231</v>
      </c>
      <c r="D1476" s="111"/>
      <c r="E1476" s="111"/>
      <c r="F1476" s="111"/>
      <c r="G1476" s="201"/>
      <c r="H1476" s="415">
        <f>H1477+H1478</f>
        <v>150250</v>
      </c>
      <c r="I1476" s="415">
        <f t="shared" ref="I1476" si="544">I1477+I1478</f>
        <v>0</v>
      </c>
      <c r="J1476" s="415">
        <f>H1476+I1476</f>
        <v>150250</v>
      </c>
      <c r="K1476" s="113"/>
      <c r="L1476" s="378">
        <f>L1477+L1478</f>
        <v>0</v>
      </c>
      <c r="M1476" s="378">
        <f t="shared" ref="M1476" si="545">M1477+M1478</f>
        <v>0</v>
      </c>
      <c r="N1476" s="378">
        <f>L1476+M1476</f>
        <v>0</v>
      </c>
      <c r="O1476" s="113"/>
      <c r="P1476" s="372">
        <f t="shared" ref="P1476:P1488" si="546">H1476+L1476</f>
        <v>150250</v>
      </c>
      <c r="Q1476" s="372">
        <f t="shared" ref="Q1476:R1488" si="547">I1476+M1476</f>
        <v>0</v>
      </c>
      <c r="R1476" s="372">
        <f t="shared" si="547"/>
        <v>150250</v>
      </c>
    </row>
    <row r="1477" spans="2:18" ht="16.5" thickTop="1" x14ac:dyDescent="0.25">
      <c r="B1477" s="136">
        <f>B1476+1</f>
        <v>2</v>
      </c>
      <c r="C1477" s="23">
        <v>1</v>
      </c>
      <c r="D1477" s="127" t="s">
        <v>168</v>
      </c>
      <c r="E1477" s="24"/>
      <c r="F1477" s="24"/>
      <c r="G1477" s="193"/>
      <c r="H1477" s="414">
        <v>0</v>
      </c>
      <c r="I1477" s="414"/>
      <c r="J1477" s="414">
        <f t="shared" ref="J1477:J1488" si="548">H1477+I1477</f>
        <v>0</v>
      </c>
      <c r="K1477" s="88"/>
      <c r="L1477" s="395"/>
      <c r="M1477" s="395"/>
      <c r="N1477" s="395"/>
      <c r="O1477" s="88"/>
      <c r="P1477" s="373">
        <f t="shared" si="546"/>
        <v>0</v>
      </c>
      <c r="Q1477" s="373">
        <f t="shared" si="547"/>
        <v>0</v>
      </c>
      <c r="R1477" s="373">
        <f t="shared" si="547"/>
        <v>0</v>
      </c>
    </row>
    <row r="1478" spans="2:18" ht="15.75" x14ac:dyDescent="0.25">
      <c r="B1478" s="136">
        <f>B1477+1</f>
        <v>3</v>
      </c>
      <c r="C1478" s="21">
        <v>2</v>
      </c>
      <c r="D1478" s="126" t="s">
        <v>157</v>
      </c>
      <c r="E1478" s="22"/>
      <c r="F1478" s="22"/>
      <c r="G1478" s="195"/>
      <c r="H1478" s="411">
        <f>H1479+H1483+H1487</f>
        <v>150250</v>
      </c>
      <c r="I1478" s="411">
        <f t="shared" ref="I1478" si="549">I1479+I1483+I1487</f>
        <v>0</v>
      </c>
      <c r="J1478" s="411">
        <f t="shared" si="548"/>
        <v>150250</v>
      </c>
      <c r="K1478" s="112"/>
      <c r="L1478" s="381"/>
      <c r="M1478" s="381"/>
      <c r="N1478" s="381"/>
      <c r="O1478" s="112"/>
      <c r="P1478" s="374">
        <f t="shared" si="546"/>
        <v>150250</v>
      </c>
      <c r="Q1478" s="374">
        <f t="shared" si="547"/>
        <v>0</v>
      </c>
      <c r="R1478" s="374">
        <f t="shared" si="547"/>
        <v>150250</v>
      </c>
    </row>
    <row r="1479" spans="2:18" x14ac:dyDescent="0.2">
      <c r="B1479" s="136">
        <f t="shared" ref="B1479:B1488" si="550">B1478+1</f>
        <v>4</v>
      </c>
      <c r="C1479" s="76"/>
      <c r="D1479" s="177" t="s">
        <v>4</v>
      </c>
      <c r="E1479" s="230" t="s">
        <v>158</v>
      </c>
      <c r="F1479" s="230"/>
      <c r="G1479" s="231"/>
      <c r="H1479" s="394">
        <f>H1480+H1481</f>
        <v>122500</v>
      </c>
      <c r="I1479" s="394">
        <f t="shared" ref="I1479" si="551">I1480+I1481</f>
        <v>0</v>
      </c>
      <c r="J1479" s="394">
        <f t="shared" si="548"/>
        <v>122500</v>
      </c>
      <c r="K1479" s="20"/>
      <c r="L1479" s="880"/>
      <c r="M1479" s="880"/>
      <c r="N1479" s="880"/>
      <c r="O1479" s="20"/>
      <c r="P1479" s="235">
        <f t="shared" si="546"/>
        <v>122500</v>
      </c>
      <c r="Q1479" s="235">
        <f t="shared" si="547"/>
        <v>0</v>
      </c>
      <c r="R1479" s="235">
        <f t="shared" si="547"/>
        <v>122500</v>
      </c>
    </row>
    <row r="1480" spans="2:18" x14ac:dyDescent="0.2">
      <c r="B1480" s="136">
        <f t="shared" si="550"/>
        <v>5</v>
      </c>
      <c r="C1480" s="130"/>
      <c r="D1480" s="130"/>
      <c r="E1480" s="157" t="s">
        <v>258</v>
      </c>
      <c r="F1480" s="157">
        <v>637</v>
      </c>
      <c r="G1480" s="194" t="s">
        <v>501</v>
      </c>
      <c r="H1480" s="527">
        <f>104000-6000</f>
        <v>98000</v>
      </c>
      <c r="I1480" s="527"/>
      <c r="J1480" s="527">
        <f t="shared" si="548"/>
        <v>98000</v>
      </c>
      <c r="K1480" s="132"/>
      <c r="L1480" s="527"/>
      <c r="M1480" s="527"/>
      <c r="N1480" s="527"/>
      <c r="O1480" s="132"/>
      <c r="P1480" s="168">
        <f t="shared" si="546"/>
        <v>98000</v>
      </c>
      <c r="Q1480" s="168">
        <f t="shared" si="547"/>
        <v>0</v>
      </c>
      <c r="R1480" s="168">
        <f t="shared" si="547"/>
        <v>98000</v>
      </c>
    </row>
    <row r="1481" spans="2:18" x14ac:dyDescent="0.2">
      <c r="B1481" s="136">
        <f t="shared" si="550"/>
        <v>6</v>
      </c>
      <c r="C1481" s="130"/>
      <c r="D1481" s="130"/>
      <c r="E1481" s="157" t="s">
        <v>258</v>
      </c>
      <c r="F1481" s="157">
        <v>642</v>
      </c>
      <c r="G1481" s="194" t="s">
        <v>302</v>
      </c>
      <c r="H1481" s="527">
        <f>26000-1500</f>
        <v>24500</v>
      </c>
      <c r="I1481" s="527"/>
      <c r="J1481" s="527">
        <f t="shared" si="548"/>
        <v>24500</v>
      </c>
      <c r="K1481" s="132"/>
      <c r="L1481" s="527"/>
      <c r="M1481" s="527"/>
      <c r="N1481" s="527"/>
      <c r="O1481" s="132"/>
      <c r="P1481" s="168">
        <f t="shared" si="546"/>
        <v>24500</v>
      </c>
      <c r="Q1481" s="168">
        <f t="shared" si="547"/>
        <v>0</v>
      </c>
      <c r="R1481" s="168">
        <f t="shared" si="547"/>
        <v>24500</v>
      </c>
    </row>
    <row r="1482" spans="2:18" x14ac:dyDescent="0.2">
      <c r="B1482" s="136">
        <f t="shared" si="550"/>
        <v>7</v>
      </c>
      <c r="C1482" s="76"/>
      <c r="D1482" s="177" t="s">
        <v>5</v>
      </c>
      <c r="E1482" s="230" t="s">
        <v>151</v>
      </c>
      <c r="F1482" s="230"/>
      <c r="G1482" s="231"/>
      <c r="H1482" s="394">
        <v>0</v>
      </c>
      <c r="I1482" s="394"/>
      <c r="J1482" s="394">
        <f t="shared" si="548"/>
        <v>0</v>
      </c>
      <c r="K1482" s="20"/>
      <c r="L1482" s="880"/>
      <c r="M1482" s="880"/>
      <c r="N1482" s="880"/>
      <c r="O1482" s="20"/>
      <c r="P1482" s="235">
        <f t="shared" si="546"/>
        <v>0</v>
      </c>
      <c r="Q1482" s="235">
        <f t="shared" si="547"/>
        <v>0</v>
      </c>
      <c r="R1482" s="235">
        <f t="shared" si="547"/>
        <v>0</v>
      </c>
    </row>
    <row r="1483" spans="2:18" x14ac:dyDescent="0.2">
      <c r="B1483" s="136">
        <f t="shared" si="550"/>
        <v>8</v>
      </c>
      <c r="C1483" s="76"/>
      <c r="D1483" s="177" t="s">
        <v>6</v>
      </c>
      <c r="E1483" s="230" t="s">
        <v>159</v>
      </c>
      <c r="F1483" s="230"/>
      <c r="G1483" s="231"/>
      <c r="H1483" s="394">
        <f>SUM(H1484:H1486)</f>
        <v>27500</v>
      </c>
      <c r="I1483" s="394">
        <f t="shared" ref="I1483" si="552">SUM(I1484:I1486)</f>
        <v>0</v>
      </c>
      <c r="J1483" s="394">
        <f t="shared" si="548"/>
        <v>27500</v>
      </c>
      <c r="K1483" s="20"/>
      <c r="L1483" s="880"/>
      <c r="M1483" s="880"/>
      <c r="N1483" s="880"/>
      <c r="O1483" s="20"/>
      <c r="P1483" s="235">
        <f t="shared" si="546"/>
        <v>27500</v>
      </c>
      <c r="Q1483" s="235">
        <f t="shared" si="547"/>
        <v>0</v>
      </c>
      <c r="R1483" s="235">
        <f t="shared" si="547"/>
        <v>27500</v>
      </c>
    </row>
    <row r="1484" spans="2:18" x14ac:dyDescent="0.2">
      <c r="B1484" s="136">
        <f t="shared" si="550"/>
        <v>9</v>
      </c>
      <c r="C1484" s="130"/>
      <c r="D1484" s="130"/>
      <c r="E1484" s="134" t="s">
        <v>430</v>
      </c>
      <c r="F1484" s="157">
        <v>610</v>
      </c>
      <c r="G1484" s="194" t="s">
        <v>257</v>
      </c>
      <c r="H1484" s="398">
        <v>18600</v>
      </c>
      <c r="I1484" s="398">
        <v>-500</v>
      </c>
      <c r="J1484" s="398">
        <f t="shared" si="548"/>
        <v>18100</v>
      </c>
      <c r="K1484" s="132"/>
      <c r="L1484" s="527"/>
      <c r="M1484" s="527"/>
      <c r="N1484" s="527"/>
      <c r="O1484" s="132"/>
      <c r="P1484" s="168">
        <f t="shared" si="546"/>
        <v>18600</v>
      </c>
      <c r="Q1484" s="168">
        <f t="shared" si="547"/>
        <v>-500</v>
      </c>
      <c r="R1484" s="168">
        <f t="shared" si="547"/>
        <v>18100</v>
      </c>
    </row>
    <row r="1485" spans="2:18" x14ac:dyDescent="0.2">
      <c r="B1485" s="136">
        <f t="shared" si="550"/>
        <v>10</v>
      </c>
      <c r="C1485" s="130"/>
      <c r="D1485" s="130"/>
      <c r="E1485" s="134" t="s">
        <v>430</v>
      </c>
      <c r="F1485" s="157">
        <v>620</v>
      </c>
      <c r="G1485" s="194" t="s">
        <v>259</v>
      </c>
      <c r="H1485" s="398">
        <v>6700</v>
      </c>
      <c r="I1485" s="398"/>
      <c r="J1485" s="398">
        <f t="shared" si="548"/>
        <v>6700</v>
      </c>
      <c r="K1485" s="132"/>
      <c r="L1485" s="527"/>
      <c r="M1485" s="527"/>
      <c r="N1485" s="527"/>
      <c r="O1485" s="132"/>
      <c r="P1485" s="168">
        <f t="shared" si="546"/>
        <v>6700</v>
      </c>
      <c r="Q1485" s="168">
        <f t="shared" si="547"/>
        <v>0</v>
      </c>
      <c r="R1485" s="168">
        <f t="shared" si="547"/>
        <v>6700</v>
      </c>
    </row>
    <row r="1486" spans="2:18" x14ac:dyDescent="0.2">
      <c r="B1486" s="136">
        <f t="shared" si="550"/>
        <v>11</v>
      </c>
      <c r="C1486" s="130"/>
      <c r="D1486" s="130"/>
      <c r="E1486" s="134" t="s">
        <v>430</v>
      </c>
      <c r="F1486" s="157">
        <v>630</v>
      </c>
      <c r="G1486" s="194" t="s">
        <v>236</v>
      </c>
      <c r="H1486" s="398">
        <v>2200</v>
      </c>
      <c r="I1486" s="398">
        <v>500</v>
      </c>
      <c r="J1486" s="398">
        <f t="shared" si="548"/>
        <v>2700</v>
      </c>
      <c r="K1486" s="132"/>
      <c r="L1486" s="527"/>
      <c r="M1486" s="527"/>
      <c r="N1486" s="527"/>
      <c r="O1486" s="132"/>
      <c r="P1486" s="168">
        <f t="shared" si="546"/>
        <v>2200</v>
      </c>
      <c r="Q1486" s="168">
        <f t="shared" si="547"/>
        <v>500</v>
      </c>
      <c r="R1486" s="168">
        <f t="shared" si="547"/>
        <v>2700</v>
      </c>
    </row>
    <row r="1487" spans="2:18" x14ac:dyDescent="0.2">
      <c r="B1487" s="136">
        <f t="shared" si="550"/>
        <v>12</v>
      </c>
      <c r="C1487" s="130"/>
      <c r="D1487" s="177" t="s">
        <v>7</v>
      </c>
      <c r="E1487" s="230" t="s">
        <v>160</v>
      </c>
      <c r="F1487" s="230"/>
      <c r="G1487" s="231"/>
      <c r="H1487" s="394">
        <f>SUM(H1488:H1488)</f>
        <v>250</v>
      </c>
      <c r="I1487" s="394">
        <f t="shared" ref="I1487" si="553">SUM(I1488:I1488)</f>
        <v>0</v>
      </c>
      <c r="J1487" s="394">
        <f t="shared" si="548"/>
        <v>250</v>
      </c>
      <c r="K1487" s="162"/>
      <c r="L1487" s="394"/>
      <c r="M1487" s="394"/>
      <c r="N1487" s="394"/>
      <c r="O1487" s="162"/>
      <c r="P1487" s="234">
        <f t="shared" si="546"/>
        <v>250</v>
      </c>
      <c r="Q1487" s="234">
        <f t="shared" si="547"/>
        <v>0</v>
      </c>
      <c r="R1487" s="234">
        <f t="shared" si="547"/>
        <v>250</v>
      </c>
    </row>
    <row r="1488" spans="2:18" ht="13.5" thickBot="1" x14ac:dyDescent="0.25">
      <c r="B1488" s="505">
        <f t="shared" si="550"/>
        <v>13</v>
      </c>
      <c r="C1488" s="351"/>
      <c r="D1488" s="668"/>
      <c r="E1488" s="669" t="s">
        <v>241</v>
      </c>
      <c r="F1488" s="670">
        <v>637</v>
      </c>
      <c r="G1488" s="356" t="s">
        <v>534</v>
      </c>
      <c r="H1488" s="385">
        <v>250</v>
      </c>
      <c r="I1488" s="385"/>
      <c r="J1488" s="385">
        <f t="shared" si="548"/>
        <v>250</v>
      </c>
      <c r="K1488" s="671"/>
      <c r="L1488" s="385"/>
      <c r="M1488" s="385"/>
      <c r="N1488" s="385"/>
      <c r="O1488" s="671"/>
      <c r="P1488" s="214">
        <f t="shared" si="546"/>
        <v>250</v>
      </c>
      <c r="Q1488" s="214">
        <f t="shared" si="547"/>
        <v>0</v>
      </c>
      <c r="R1488" s="214">
        <f t="shared" si="547"/>
        <v>250</v>
      </c>
    </row>
  </sheetData>
  <mergeCells count="176">
    <mergeCell ref="E17:G17"/>
    <mergeCell ref="E15:G15"/>
    <mergeCell ref="D35:G35"/>
    <mergeCell ref="E3:E4"/>
    <mergeCell ref="F3:F4"/>
    <mergeCell ref="E7:G7"/>
    <mergeCell ref="E13:G13"/>
    <mergeCell ref="E19:G19"/>
    <mergeCell ref="B1:P1"/>
    <mergeCell ref="P2:P4"/>
    <mergeCell ref="C3:C4"/>
    <mergeCell ref="D3:D4"/>
    <mergeCell ref="H3:H4"/>
    <mergeCell ref="L3:L4"/>
    <mergeCell ref="I3:I4"/>
    <mergeCell ref="J3:J4"/>
    <mergeCell ref="M3:M4"/>
    <mergeCell ref="N3:N4"/>
    <mergeCell ref="B2:N2"/>
    <mergeCell ref="P75:P77"/>
    <mergeCell ref="C76:C77"/>
    <mergeCell ref="D76:D77"/>
    <mergeCell ref="E76:E77"/>
    <mergeCell ref="F76:F77"/>
    <mergeCell ref="H76:H77"/>
    <mergeCell ref="L76:L77"/>
    <mergeCell ref="I76:I77"/>
    <mergeCell ref="J76:J77"/>
    <mergeCell ref="M76:M77"/>
    <mergeCell ref="N76:N77"/>
    <mergeCell ref="B75:N75"/>
    <mergeCell ref="P90:P92"/>
    <mergeCell ref="C91:C92"/>
    <mergeCell ref="D91:D92"/>
    <mergeCell ref="E91:E92"/>
    <mergeCell ref="F91:F92"/>
    <mergeCell ref="H91:H92"/>
    <mergeCell ref="L91:L92"/>
    <mergeCell ref="I91:I92"/>
    <mergeCell ref="J91:J92"/>
    <mergeCell ref="M91:M92"/>
    <mergeCell ref="N91:N92"/>
    <mergeCell ref="B90:N90"/>
    <mergeCell ref="P160:P162"/>
    <mergeCell ref="C161:C162"/>
    <mergeCell ref="D161:D162"/>
    <mergeCell ref="E161:E162"/>
    <mergeCell ref="F161:F162"/>
    <mergeCell ref="H161:H162"/>
    <mergeCell ref="L161:L162"/>
    <mergeCell ref="I161:I162"/>
    <mergeCell ref="J161:J162"/>
    <mergeCell ref="M161:M162"/>
    <mergeCell ref="N161:N162"/>
    <mergeCell ref="B160:N160"/>
    <mergeCell ref="P234:P236"/>
    <mergeCell ref="C235:C236"/>
    <mergeCell ref="D235:D236"/>
    <mergeCell ref="E235:E236"/>
    <mergeCell ref="F235:F236"/>
    <mergeCell ref="H235:H236"/>
    <mergeCell ref="L235:L236"/>
    <mergeCell ref="I235:I236"/>
    <mergeCell ref="J235:J236"/>
    <mergeCell ref="M235:M236"/>
    <mergeCell ref="N235:N236"/>
    <mergeCell ref="B234:N234"/>
    <mergeCell ref="P282:P284"/>
    <mergeCell ref="C283:C284"/>
    <mergeCell ref="D283:D284"/>
    <mergeCell ref="E283:E284"/>
    <mergeCell ref="F283:F284"/>
    <mergeCell ref="H283:H284"/>
    <mergeCell ref="L283:L284"/>
    <mergeCell ref="I283:I284"/>
    <mergeCell ref="J283:J284"/>
    <mergeCell ref="M283:M284"/>
    <mergeCell ref="N283:N284"/>
    <mergeCell ref="B282:N282"/>
    <mergeCell ref="B353:H353"/>
    <mergeCell ref="P354:P356"/>
    <mergeCell ref="C355:C356"/>
    <mergeCell ref="D355:D356"/>
    <mergeCell ref="E355:E356"/>
    <mergeCell ref="F355:F356"/>
    <mergeCell ref="H355:H356"/>
    <mergeCell ref="L355:L356"/>
    <mergeCell ref="I355:I356"/>
    <mergeCell ref="J355:J356"/>
    <mergeCell ref="M355:M356"/>
    <mergeCell ref="N355:N356"/>
    <mergeCell ref="B354:N354"/>
    <mergeCell ref="P1119:P1121"/>
    <mergeCell ref="C1120:C1121"/>
    <mergeCell ref="D1120:D1121"/>
    <mergeCell ref="E1120:E1121"/>
    <mergeCell ref="F1120:F1121"/>
    <mergeCell ref="H1120:H1121"/>
    <mergeCell ref="L1120:L1121"/>
    <mergeCell ref="I1120:I1121"/>
    <mergeCell ref="J1120:J1121"/>
    <mergeCell ref="M1120:M1121"/>
    <mergeCell ref="N1120:N1121"/>
    <mergeCell ref="B1119:N1119"/>
    <mergeCell ref="P1197:P1199"/>
    <mergeCell ref="C1198:C1199"/>
    <mergeCell ref="D1198:D1199"/>
    <mergeCell ref="E1198:E1199"/>
    <mergeCell ref="F1198:F1199"/>
    <mergeCell ref="H1198:H1199"/>
    <mergeCell ref="L1198:L1199"/>
    <mergeCell ref="I1198:I1199"/>
    <mergeCell ref="J1198:J1199"/>
    <mergeCell ref="M1198:M1199"/>
    <mergeCell ref="N1198:N1199"/>
    <mergeCell ref="B1197:N1197"/>
    <mergeCell ref="P1248:P1250"/>
    <mergeCell ref="C1249:C1250"/>
    <mergeCell ref="D1249:D1250"/>
    <mergeCell ref="E1249:E1250"/>
    <mergeCell ref="F1249:F1250"/>
    <mergeCell ref="H1249:H1250"/>
    <mergeCell ref="L1249:L1250"/>
    <mergeCell ref="I1249:I1250"/>
    <mergeCell ref="J1249:J1250"/>
    <mergeCell ref="M1249:M1250"/>
    <mergeCell ref="N1249:N1250"/>
    <mergeCell ref="B1248:N1248"/>
    <mergeCell ref="P1329:P1331"/>
    <mergeCell ref="C1330:C1331"/>
    <mergeCell ref="D1330:D1331"/>
    <mergeCell ref="E1330:E1331"/>
    <mergeCell ref="F1330:F1331"/>
    <mergeCell ref="H1330:H1331"/>
    <mergeCell ref="L1330:L1331"/>
    <mergeCell ref="I1330:I1331"/>
    <mergeCell ref="J1330:J1331"/>
    <mergeCell ref="M1330:M1331"/>
    <mergeCell ref="N1330:N1331"/>
    <mergeCell ref="B1329:N1329"/>
    <mergeCell ref="P1473:P1475"/>
    <mergeCell ref="C1474:C1475"/>
    <mergeCell ref="D1474:D1475"/>
    <mergeCell ref="E1474:E1475"/>
    <mergeCell ref="F1474:F1475"/>
    <mergeCell ref="H1474:H1475"/>
    <mergeCell ref="L1474:L1475"/>
    <mergeCell ref="I1474:I1475"/>
    <mergeCell ref="J1474:J1475"/>
    <mergeCell ref="M1474:M1475"/>
    <mergeCell ref="N1474:N1475"/>
    <mergeCell ref="B1473:N1473"/>
    <mergeCell ref="Q160:Q162"/>
    <mergeCell ref="R160:R162"/>
    <mergeCell ref="Q234:Q236"/>
    <mergeCell ref="R234:R236"/>
    <mergeCell ref="Q282:Q284"/>
    <mergeCell ref="R282:R284"/>
    <mergeCell ref="Q2:Q4"/>
    <mergeCell ref="R2:R4"/>
    <mergeCell ref="Q75:Q77"/>
    <mergeCell ref="R75:R77"/>
    <mergeCell ref="Q90:Q92"/>
    <mergeCell ref="R90:R92"/>
    <mergeCell ref="Q1248:Q1250"/>
    <mergeCell ref="R1248:R1250"/>
    <mergeCell ref="Q1329:Q1331"/>
    <mergeCell ref="R1329:R1331"/>
    <mergeCell ref="Q1473:Q1475"/>
    <mergeCell ref="R1473:R1475"/>
    <mergeCell ref="Q354:Q356"/>
    <mergeCell ref="R354:R356"/>
    <mergeCell ref="Q1119:Q1121"/>
    <mergeCell ref="R1119:R1121"/>
    <mergeCell ref="Q1197:Q1199"/>
    <mergeCell ref="R1197:R1199"/>
  </mergeCells>
  <pageMargins left="0.23622047244094491" right="0.19685039370078741" top="0.74803149606299213" bottom="0.74803149606299213" header="0.31496062992125984" footer="0.31496062992125984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5">
    <tabColor rgb="FFFFFF00"/>
  </sheetPr>
  <dimension ref="A1:P87"/>
  <sheetViews>
    <sheetView zoomScale="95" zoomScaleNormal="95" zoomScaleSheetLayoutView="100" workbookViewId="0"/>
  </sheetViews>
  <sheetFormatPr defaultRowHeight="12.75" x14ac:dyDescent="0.2"/>
  <cols>
    <col min="1" max="1" width="10" customWidth="1"/>
    <col min="2" max="2" width="3.85546875" customWidth="1"/>
    <col min="3" max="3" width="43.140625" customWidth="1"/>
    <col min="4" max="4" width="15" customWidth="1"/>
    <col min="5" max="5" width="11" customWidth="1"/>
    <col min="6" max="6" width="14.5703125" customWidth="1"/>
    <col min="7" max="7" width="13.5703125" customWidth="1"/>
    <col min="8" max="8" width="11.28515625" customWidth="1"/>
    <col min="9" max="9" width="12.5703125" customWidth="1"/>
    <col min="10" max="10" width="12.42578125" customWidth="1"/>
    <col min="11" max="11" width="12" customWidth="1"/>
    <col min="12" max="12" width="12.42578125" customWidth="1"/>
    <col min="14" max="14" width="9.5703125" bestFit="1" customWidth="1"/>
    <col min="15" max="15" width="10.7109375" bestFit="1" customWidth="1"/>
  </cols>
  <sheetData>
    <row r="1" spans="2:16" ht="54" customHeight="1" thickBot="1" x14ac:dyDescent="0.55000000000000004">
      <c r="B1" s="927" t="s">
        <v>189</v>
      </c>
      <c r="C1" s="927"/>
      <c r="D1" s="927"/>
      <c r="E1" s="927"/>
      <c r="F1" s="927"/>
      <c r="G1" s="927"/>
      <c r="H1" s="927"/>
      <c r="I1" s="927"/>
      <c r="J1" s="927"/>
      <c r="K1" s="790"/>
      <c r="L1" s="790"/>
    </row>
    <row r="2" spans="2:16" ht="40.5" customHeight="1" thickBot="1" x14ac:dyDescent="0.25">
      <c r="B2" s="925"/>
      <c r="C2" s="926"/>
      <c r="D2" s="543" t="s">
        <v>718</v>
      </c>
      <c r="E2" s="543" t="s">
        <v>861</v>
      </c>
      <c r="F2" s="543" t="s">
        <v>862</v>
      </c>
      <c r="G2" s="815" t="s">
        <v>719</v>
      </c>
      <c r="H2" s="815" t="s">
        <v>861</v>
      </c>
      <c r="I2" s="815" t="s">
        <v>863</v>
      </c>
      <c r="J2" s="813" t="s">
        <v>717</v>
      </c>
      <c r="K2" s="813" t="s">
        <v>861</v>
      </c>
      <c r="L2" s="813" t="s">
        <v>721</v>
      </c>
    </row>
    <row r="3" spans="2:16" ht="16.5" thickTop="1" x14ac:dyDescent="0.25">
      <c r="B3" s="441">
        <v>1</v>
      </c>
      <c r="C3" s="442" t="s">
        <v>171</v>
      </c>
      <c r="D3" s="544">
        <f>Príjmy!H252</f>
        <v>32704672</v>
      </c>
      <c r="E3" s="544">
        <f>Príjmy!I281</f>
        <v>3657</v>
      </c>
      <c r="F3" s="544">
        <f>D3+E3</f>
        <v>32708329</v>
      </c>
      <c r="G3" s="816">
        <f>Príjmy!H272</f>
        <v>801000</v>
      </c>
      <c r="H3" s="816">
        <f>Príjmy!I282</f>
        <v>0</v>
      </c>
      <c r="I3" s="816">
        <f>H3+G3</f>
        <v>801000</v>
      </c>
      <c r="J3" s="814">
        <f>D3+G3</f>
        <v>33505672</v>
      </c>
      <c r="K3" s="814">
        <f>E3+H3</f>
        <v>3657</v>
      </c>
      <c r="L3" s="814">
        <f>K3+J3</f>
        <v>33509329</v>
      </c>
    </row>
    <row r="4" spans="2:16" ht="15.75" x14ac:dyDescent="0.25">
      <c r="B4" s="443">
        <f>B3+1</f>
        <v>2</v>
      </c>
      <c r="C4" s="444" t="s">
        <v>172</v>
      </c>
      <c r="D4" s="545">
        <f>SUM(D6:D17)</f>
        <v>29519486</v>
      </c>
      <c r="E4" s="545">
        <f>SUM(E6:E17)</f>
        <v>-2214</v>
      </c>
      <c r="F4" s="545">
        <f t="shared" ref="F4:F19" si="0">E4+D4</f>
        <v>29517272</v>
      </c>
      <c r="G4" s="817">
        <f>SUM(G6:G17)</f>
        <v>2754785</v>
      </c>
      <c r="H4" s="816">
        <f>SUM(H6:H17)</f>
        <v>5871</v>
      </c>
      <c r="I4" s="816">
        <f t="shared" ref="I4:I21" si="1">H4+G4</f>
        <v>2760656</v>
      </c>
      <c r="J4" s="814">
        <f>D4+G4</f>
        <v>32274271</v>
      </c>
      <c r="K4" s="814">
        <f t="shared" ref="K4" si="2">E4+H4</f>
        <v>3657</v>
      </c>
      <c r="L4" s="814">
        <f t="shared" ref="L4:L22" si="3">K4+J4</f>
        <v>32277928</v>
      </c>
      <c r="N4" s="17"/>
      <c r="O4" s="17"/>
    </row>
    <row r="5" spans="2:16" ht="10.5" customHeight="1" x14ac:dyDescent="0.25">
      <c r="B5" s="221">
        <f>B4+1</f>
        <v>3</v>
      </c>
      <c r="C5" s="408"/>
      <c r="D5" s="546"/>
      <c r="E5" s="546"/>
      <c r="F5" s="546"/>
      <c r="G5" s="850"/>
      <c r="H5" s="850"/>
      <c r="I5" s="850"/>
      <c r="J5" s="851"/>
      <c r="K5" s="851"/>
      <c r="L5" s="851"/>
    </row>
    <row r="6" spans="2:16" ht="15" customHeight="1" x14ac:dyDescent="0.25">
      <c r="B6" s="221">
        <f>B5+1</f>
        <v>4</v>
      </c>
      <c r="C6" s="446" t="s">
        <v>550</v>
      </c>
      <c r="D6" s="547">
        <f>Výdavky!H5</f>
        <v>386233</v>
      </c>
      <c r="E6" s="547">
        <f>Výdavky!I5</f>
        <v>0</v>
      </c>
      <c r="F6" s="547">
        <f t="shared" si="0"/>
        <v>386233</v>
      </c>
      <c r="G6" s="818">
        <f>Výdavky!L5</f>
        <v>211937</v>
      </c>
      <c r="H6" s="818">
        <f>Výdavky!M5</f>
        <v>0</v>
      </c>
      <c r="I6" s="818">
        <f t="shared" si="1"/>
        <v>211937</v>
      </c>
      <c r="J6" s="823">
        <f t="shared" ref="J6:K17" si="4">D6+G6</f>
        <v>598170</v>
      </c>
      <c r="K6" s="823">
        <f t="shared" si="4"/>
        <v>0</v>
      </c>
      <c r="L6" s="823">
        <f t="shared" si="3"/>
        <v>598170</v>
      </c>
    </row>
    <row r="7" spans="2:16" ht="15" x14ac:dyDescent="0.25">
      <c r="B7" s="221">
        <f t="shared" ref="B7:B21" si="5">B6+1</f>
        <v>5</v>
      </c>
      <c r="C7" s="447" t="s">
        <v>551</v>
      </c>
      <c r="D7" s="547">
        <f>Výdavky!H78</f>
        <v>55000</v>
      </c>
      <c r="E7" s="547">
        <f>Výdavky!I78</f>
        <v>-3200</v>
      </c>
      <c r="F7" s="547">
        <f t="shared" si="0"/>
        <v>51800</v>
      </c>
      <c r="G7" s="818">
        <f>Výdavky!L78</f>
        <v>0</v>
      </c>
      <c r="H7" s="818">
        <f>Výdavky!M78</f>
        <v>0</v>
      </c>
      <c r="I7" s="818">
        <f t="shared" si="1"/>
        <v>0</v>
      </c>
      <c r="J7" s="823">
        <f>D7+G7</f>
        <v>55000</v>
      </c>
      <c r="K7" s="823">
        <f t="shared" si="4"/>
        <v>-3200</v>
      </c>
      <c r="L7" s="823">
        <f t="shared" si="3"/>
        <v>51800</v>
      </c>
    </row>
    <row r="8" spans="2:16" ht="15" x14ac:dyDescent="0.25">
      <c r="B8" s="221">
        <f t="shared" si="5"/>
        <v>6</v>
      </c>
      <c r="C8" s="447" t="s">
        <v>552</v>
      </c>
      <c r="D8" s="547">
        <f>Výdavky!H93</f>
        <v>3587965</v>
      </c>
      <c r="E8" s="547">
        <f>Výdavky!I93</f>
        <v>-7740</v>
      </c>
      <c r="F8" s="547">
        <f t="shared" si="0"/>
        <v>3580225</v>
      </c>
      <c r="G8" s="818">
        <f>Výdavky!L93</f>
        <v>465474</v>
      </c>
      <c r="H8" s="818">
        <f>Výdavky!M93</f>
        <v>0</v>
      </c>
      <c r="I8" s="818">
        <f t="shared" si="1"/>
        <v>465474</v>
      </c>
      <c r="J8" s="823">
        <f t="shared" si="4"/>
        <v>4053439</v>
      </c>
      <c r="K8" s="823">
        <f t="shared" si="4"/>
        <v>-7740</v>
      </c>
      <c r="L8" s="823">
        <f t="shared" si="3"/>
        <v>4045699</v>
      </c>
    </row>
    <row r="9" spans="2:16" ht="15" x14ac:dyDescent="0.25">
      <c r="B9" s="221">
        <f t="shared" si="5"/>
        <v>7</v>
      </c>
      <c r="C9" s="447" t="s">
        <v>553</v>
      </c>
      <c r="D9" s="547">
        <f>Výdavky!H163</f>
        <v>471389</v>
      </c>
      <c r="E9" s="547">
        <f>Výdavky!I163</f>
        <v>0</v>
      </c>
      <c r="F9" s="547">
        <f t="shared" si="0"/>
        <v>471389</v>
      </c>
      <c r="G9" s="818">
        <f>Výdavky!L163</f>
        <v>132000</v>
      </c>
      <c r="H9" s="818">
        <f>Výdavky!M163</f>
        <v>0</v>
      </c>
      <c r="I9" s="818">
        <f t="shared" si="1"/>
        <v>132000</v>
      </c>
      <c r="J9" s="823">
        <f t="shared" si="4"/>
        <v>603389</v>
      </c>
      <c r="K9" s="823">
        <f t="shared" si="4"/>
        <v>0</v>
      </c>
      <c r="L9" s="823">
        <f>K9+J9</f>
        <v>603389</v>
      </c>
    </row>
    <row r="10" spans="2:16" ht="15" x14ac:dyDescent="0.25">
      <c r="B10" s="221">
        <f t="shared" si="5"/>
        <v>8</v>
      </c>
      <c r="C10" s="447" t="s">
        <v>554</v>
      </c>
      <c r="D10" s="547">
        <f>Výdavky!H237</f>
        <v>1620460</v>
      </c>
      <c r="E10" s="547">
        <f>Výdavky!I237</f>
        <v>0</v>
      </c>
      <c r="F10" s="547">
        <f t="shared" si="0"/>
        <v>1620460</v>
      </c>
      <c r="G10" s="818">
        <f>Výdavky!L237</f>
        <v>93583</v>
      </c>
      <c r="H10" s="818">
        <f>Výdavky!M237</f>
        <v>0</v>
      </c>
      <c r="I10" s="818">
        <f t="shared" si="1"/>
        <v>93583</v>
      </c>
      <c r="J10" s="823">
        <f t="shared" si="4"/>
        <v>1714043</v>
      </c>
      <c r="K10" s="823">
        <f t="shared" si="4"/>
        <v>0</v>
      </c>
      <c r="L10" s="823">
        <f t="shared" si="3"/>
        <v>1714043</v>
      </c>
      <c r="P10" s="17"/>
    </row>
    <row r="11" spans="2:16" ht="15" x14ac:dyDescent="0.25">
      <c r="B11" s="221">
        <f t="shared" si="5"/>
        <v>9</v>
      </c>
      <c r="C11" s="447" t="s">
        <v>555</v>
      </c>
      <c r="D11" s="547">
        <f>Výdavky!H285</f>
        <v>3373146</v>
      </c>
      <c r="E11" s="547">
        <f>Výdavky!I285</f>
        <v>0</v>
      </c>
      <c r="F11" s="547">
        <f t="shared" si="0"/>
        <v>3373146</v>
      </c>
      <c r="G11" s="818">
        <f>Výdavky!L285</f>
        <v>1303750</v>
      </c>
      <c r="H11" s="818">
        <f>Výdavky!M285</f>
        <v>0</v>
      </c>
      <c r="I11" s="818">
        <f t="shared" si="1"/>
        <v>1303750</v>
      </c>
      <c r="J11" s="823">
        <f t="shared" si="4"/>
        <v>4676896</v>
      </c>
      <c r="K11" s="823">
        <f t="shared" si="4"/>
        <v>0</v>
      </c>
      <c r="L11" s="823">
        <f t="shared" si="3"/>
        <v>4676896</v>
      </c>
      <c r="P11" s="17"/>
    </row>
    <row r="12" spans="2:16" ht="15" x14ac:dyDescent="0.25">
      <c r="B12" s="221">
        <f t="shared" si="5"/>
        <v>10</v>
      </c>
      <c r="C12" s="447" t="s">
        <v>556</v>
      </c>
      <c r="D12" s="547">
        <f>Výdavky!H357</f>
        <v>12469629</v>
      </c>
      <c r="E12" s="547">
        <f>Výdavky!I357</f>
        <v>8726</v>
      </c>
      <c r="F12" s="547">
        <f t="shared" si="0"/>
        <v>12478355</v>
      </c>
      <c r="G12" s="818">
        <f>Výdavky!L357</f>
        <v>366436</v>
      </c>
      <c r="H12" s="818">
        <f>Výdavky!M357</f>
        <v>2671</v>
      </c>
      <c r="I12" s="818">
        <f t="shared" si="1"/>
        <v>369107</v>
      </c>
      <c r="J12" s="823">
        <f t="shared" si="4"/>
        <v>12836065</v>
      </c>
      <c r="K12" s="823">
        <f t="shared" si="4"/>
        <v>11397</v>
      </c>
      <c r="L12" s="823">
        <f t="shared" si="3"/>
        <v>12847462</v>
      </c>
    </row>
    <row r="13" spans="2:16" ht="15" x14ac:dyDescent="0.25">
      <c r="B13" s="221">
        <f t="shared" si="5"/>
        <v>11</v>
      </c>
      <c r="C13" s="447" t="s">
        <v>595</v>
      </c>
      <c r="D13" s="547">
        <f>Výdavky!H1122</f>
        <v>1253300</v>
      </c>
      <c r="E13" s="547">
        <f>Výdavky!I1122</f>
        <v>0</v>
      </c>
      <c r="F13" s="547">
        <f t="shared" si="0"/>
        <v>1253300</v>
      </c>
      <c r="G13" s="818">
        <f>Výdavky!L1122</f>
        <v>70600</v>
      </c>
      <c r="H13" s="818">
        <f>Výdavky!M1122</f>
        <v>0</v>
      </c>
      <c r="I13" s="818">
        <f t="shared" si="1"/>
        <v>70600</v>
      </c>
      <c r="J13" s="823">
        <f t="shared" si="4"/>
        <v>1323900</v>
      </c>
      <c r="K13" s="823">
        <f t="shared" si="4"/>
        <v>0</v>
      </c>
      <c r="L13" s="823">
        <f t="shared" si="3"/>
        <v>1323900</v>
      </c>
    </row>
    <row r="14" spans="2:16" ht="15" x14ac:dyDescent="0.25">
      <c r="B14" s="221">
        <f t="shared" si="5"/>
        <v>12</v>
      </c>
      <c r="C14" s="447" t="s">
        <v>557</v>
      </c>
      <c r="D14" s="547">
        <f>Výdavky!H1200</f>
        <v>318600</v>
      </c>
      <c r="E14" s="547">
        <f>Výdavky!I1200</f>
        <v>0</v>
      </c>
      <c r="F14" s="547">
        <f t="shared" si="0"/>
        <v>318600</v>
      </c>
      <c r="G14" s="818">
        <f>Výdavky!L1200</f>
        <v>18320</v>
      </c>
      <c r="H14" s="818">
        <f>Výdavky!M1200</f>
        <v>3200</v>
      </c>
      <c r="I14" s="818">
        <f t="shared" si="1"/>
        <v>21520</v>
      </c>
      <c r="J14" s="823">
        <f t="shared" si="4"/>
        <v>336920</v>
      </c>
      <c r="K14" s="823">
        <f t="shared" si="4"/>
        <v>3200</v>
      </c>
      <c r="L14" s="823">
        <f t="shared" si="3"/>
        <v>340120</v>
      </c>
    </row>
    <row r="15" spans="2:16" ht="15" x14ac:dyDescent="0.25">
      <c r="B15" s="221">
        <f t="shared" si="5"/>
        <v>13</v>
      </c>
      <c r="C15" s="447" t="s">
        <v>558</v>
      </c>
      <c r="D15" s="547">
        <f>Výdavky!H1251</f>
        <v>3796996</v>
      </c>
      <c r="E15" s="547">
        <f>Výdavky!I1251</f>
        <v>0</v>
      </c>
      <c r="F15" s="547">
        <f t="shared" si="0"/>
        <v>3796996</v>
      </c>
      <c r="G15" s="818">
        <f>Výdavky!L1251</f>
        <v>92685</v>
      </c>
      <c r="H15" s="818">
        <f>Výdavky!M1251</f>
        <v>0</v>
      </c>
      <c r="I15" s="818">
        <f t="shared" si="1"/>
        <v>92685</v>
      </c>
      <c r="J15" s="823">
        <f t="shared" si="4"/>
        <v>3889681</v>
      </c>
      <c r="K15" s="823">
        <f>E15+H15</f>
        <v>0</v>
      </c>
      <c r="L15" s="823">
        <f t="shared" si="3"/>
        <v>3889681</v>
      </c>
    </row>
    <row r="16" spans="2:16" ht="15" x14ac:dyDescent="0.25">
      <c r="B16" s="221">
        <f t="shared" si="5"/>
        <v>14</v>
      </c>
      <c r="C16" s="447" t="s">
        <v>559</v>
      </c>
      <c r="D16" s="547">
        <f>Výdavky!H1332</f>
        <v>2036518</v>
      </c>
      <c r="E16" s="547">
        <f>Výdavky!I1332</f>
        <v>0</v>
      </c>
      <c r="F16" s="547">
        <f t="shared" si="0"/>
        <v>2036518</v>
      </c>
      <c r="G16" s="818">
        <f>Výdavky!L1332</f>
        <v>0</v>
      </c>
      <c r="H16" s="818">
        <f>Výdavky!M1332</f>
        <v>0</v>
      </c>
      <c r="I16" s="818">
        <f t="shared" si="1"/>
        <v>0</v>
      </c>
      <c r="J16" s="823">
        <f t="shared" si="4"/>
        <v>2036518</v>
      </c>
      <c r="K16" s="823">
        <f t="shared" si="4"/>
        <v>0</v>
      </c>
      <c r="L16" s="823">
        <f t="shared" si="3"/>
        <v>2036518</v>
      </c>
    </row>
    <row r="17" spans="1:15" ht="15" x14ac:dyDescent="0.25">
      <c r="B17" s="221">
        <f t="shared" si="5"/>
        <v>15</v>
      </c>
      <c r="C17" s="447" t="s">
        <v>560</v>
      </c>
      <c r="D17" s="547">
        <f>Výdavky!H1476</f>
        <v>150250</v>
      </c>
      <c r="E17" s="547">
        <f>Výdavky!I1476</f>
        <v>0</v>
      </c>
      <c r="F17" s="547">
        <f t="shared" si="0"/>
        <v>150250</v>
      </c>
      <c r="G17" s="818">
        <f>Výdavky!L1476</f>
        <v>0</v>
      </c>
      <c r="H17" s="818">
        <f>Výdavky!M1476</f>
        <v>0</v>
      </c>
      <c r="I17" s="818">
        <f t="shared" si="1"/>
        <v>0</v>
      </c>
      <c r="J17" s="823">
        <f t="shared" si="4"/>
        <v>150250</v>
      </c>
      <c r="K17" s="823">
        <f t="shared" si="4"/>
        <v>0</v>
      </c>
      <c r="L17" s="823">
        <f t="shared" si="3"/>
        <v>150250</v>
      </c>
    </row>
    <row r="18" spans="1:15" ht="10.5" customHeight="1" x14ac:dyDescent="0.25">
      <c r="B18" s="221">
        <f t="shared" si="5"/>
        <v>16</v>
      </c>
      <c r="C18" s="923" t="s">
        <v>192</v>
      </c>
      <c r="D18" s="932">
        <f>D3-D4</f>
        <v>3185186</v>
      </c>
      <c r="E18" s="932">
        <f t="shared" ref="E18" si="6">E3-E4</f>
        <v>5871</v>
      </c>
      <c r="F18" s="932">
        <f t="shared" si="0"/>
        <v>3191057</v>
      </c>
      <c r="G18" s="819"/>
      <c r="H18" s="918"/>
      <c r="I18" s="918"/>
      <c r="J18" s="914"/>
      <c r="K18" s="914"/>
      <c r="L18" s="914"/>
    </row>
    <row r="19" spans="1:15" ht="6" customHeight="1" x14ac:dyDescent="0.25">
      <c r="B19" s="221">
        <f t="shared" si="5"/>
        <v>17</v>
      </c>
      <c r="C19" s="924"/>
      <c r="D19" s="933"/>
      <c r="E19" s="933"/>
      <c r="F19" s="933">
        <f t="shared" si="0"/>
        <v>0</v>
      </c>
      <c r="G19" s="820"/>
      <c r="H19" s="919"/>
      <c r="I19" s="919"/>
      <c r="J19" s="915"/>
      <c r="K19" s="915"/>
      <c r="L19" s="915"/>
    </row>
    <row r="20" spans="1:15" ht="6" customHeight="1" x14ac:dyDescent="0.25">
      <c r="B20" s="221">
        <f t="shared" si="5"/>
        <v>18</v>
      </c>
      <c r="C20" s="928" t="s">
        <v>568</v>
      </c>
      <c r="D20" s="548"/>
      <c r="E20" s="936"/>
      <c r="F20" s="936"/>
      <c r="G20" s="920">
        <f>G3-G4</f>
        <v>-1953785</v>
      </c>
      <c r="H20" s="920">
        <f t="shared" ref="H20" si="7">H3-H4</f>
        <v>-5871</v>
      </c>
      <c r="I20" s="920">
        <f t="shared" si="1"/>
        <v>-1959656</v>
      </c>
      <c r="J20" s="916"/>
      <c r="K20" s="916"/>
      <c r="L20" s="916"/>
    </row>
    <row r="21" spans="1:15" ht="10.5" customHeight="1" x14ac:dyDescent="0.25">
      <c r="B21" s="221">
        <f t="shared" si="5"/>
        <v>19</v>
      </c>
      <c r="C21" s="929"/>
      <c r="D21" s="549"/>
      <c r="E21" s="937"/>
      <c r="F21" s="937"/>
      <c r="G21" s="921"/>
      <c r="H21" s="921"/>
      <c r="I21" s="921">
        <f t="shared" si="1"/>
        <v>0</v>
      </c>
      <c r="J21" s="917"/>
      <c r="K21" s="917"/>
      <c r="L21" s="917"/>
    </row>
    <row r="22" spans="1:15" ht="16.5" customHeight="1" thickBot="1" x14ac:dyDescent="0.3">
      <c r="A22" s="19"/>
      <c r="B22" s="222">
        <f>B21+1</f>
        <v>20</v>
      </c>
      <c r="C22" s="440" t="s">
        <v>569</v>
      </c>
      <c r="D22" s="550"/>
      <c r="E22" s="550"/>
      <c r="F22" s="550"/>
      <c r="G22" s="821"/>
      <c r="H22" s="822"/>
      <c r="I22" s="822"/>
      <c r="J22" s="824">
        <f>J3-J4</f>
        <v>1231401</v>
      </c>
      <c r="K22" s="824">
        <f t="shared" ref="K22" si="8">K3-K4</f>
        <v>0</v>
      </c>
      <c r="L22" s="824">
        <f t="shared" si="3"/>
        <v>1231401</v>
      </c>
    </row>
    <row r="23" spans="1:15" s="19" customFormat="1" ht="5.25" customHeight="1" thickBot="1" x14ac:dyDescent="0.25">
      <c r="A23" s="25"/>
      <c r="B23" s="579"/>
      <c r="C23" s="272"/>
      <c r="D23" s="273"/>
      <c r="E23" s="273"/>
      <c r="F23" s="273"/>
      <c r="G23" s="273"/>
      <c r="H23" s="273"/>
      <c r="I23" s="273"/>
      <c r="J23" s="247"/>
      <c r="K23" s="247"/>
      <c r="L23" s="247"/>
    </row>
    <row r="24" spans="1:15" ht="16.5" customHeight="1" thickBot="1" x14ac:dyDescent="0.25">
      <c r="A24" s="19"/>
      <c r="B24" s="934" t="s">
        <v>548</v>
      </c>
      <c r="C24" s="935"/>
      <c r="D24" s="935"/>
      <c r="E24" s="935"/>
      <c r="F24" s="935"/>
      <c r="G24" s="935"/>
      <c r="H24" s="935"/>
      <c r="I24" s="935"/>
      <c r="J24" s="935"/>
      <c r="K24" s="825"/>
      <c r="L24" s="849"/>
    </row>
    <row r="25" spans="1:15" ht="14.25" customHeight="1" thickTop="1" x14ac:dyDescent="0.25">
      <c r="A25" s="19"/>
      <c r="B25" s="445">
        <f>B22+1</f>
        <v>21</v>
      </c>
      <c r="C25" s="574" t="s">
        <v>196</v>
      </c>
      <c r="D25" s="575"/>
      <c r="E25" s="575"/>
      <c r="F25" s="575"/>
      <c r="G25" s="575"/>
      <c r="H25" s="575"/>
      <c r="I25" s="575"/>
      <c r="J25" s="605">
        <f>SUM(J26:J29)</f>
        <v>5555683</v>
      </c>
      <c r="K25" s="605">
        <f t="shared" ref="K25" si="9">SUM(K26:K29)</f>
        <v>0</v>
      </c>
      <c r="L25" s="605">
        <f>J25+K25</f>
        <v>5555683</v>
      </c>
      <c r="O25" s="17"/>
    </row>
    <row r="26" spans="1:15" ht="14.25" customHeight="1" x14ac:dyDescent="0.25">
      <c r="A26" s="19"/>
      <c r="B26" s="420">
        <f>B25+1</f>
        <v>22</v>
      </c>
      <c r="C26" s="421" t="s">
        <v>709</v>
      </c>
      <c r="D26" s="422"/>
      <c r="E26" s="422"/>
      <c r="F26" s="422"/>
      <c r="G26" s="422"/>
      <c r="H26" s="422"/>
      <c r="I26" s="422"/>
      <c r="J26" s="610">
        <f>2600000-600000</f>
        <v>2000000</v>
      </c>
      <c r="K26" s="610"/>
      <c r="L26" s="610">
        <f t="shared" ref="L26:L43" si="10">J26+K26</f>
        <v>2000000</v>
      </c>
      <c r="O26" s="17"/>
    </row>
    <row r="27" spans="1:15" ht="14.25" customHeight="1" x14ac:dyDescent="0.25">
      <c r="A27" s="19"/>
      <c r="B27" s="420">
        <f>B26+1</f>
        <v>23</v>
      </c>
      <c r="C27" s="421" t="s">
        <v>633</v>
      </c>
      <c r="D27" s="422"/>
      <c r="E27" s="422"/>
      <c r="F27" s="422"/>
      <c r="G27" s="422"/>
      <c r="H27" s="422"/>
      <c r="I27" s="422"/>
      <c r="J27" s="606">
        <f>1000000+111189</f>
        <v>1111189</v>
      </c>
      <c r="K27" s="606"/>
      <c r="L27" s="606">
        <f t="shared" si="10"/>
        <v>1111189</v>
      </c>
    </row>
    <row r="28" spans="1:15" ht="14.25" customHeight="1" x14ac:dyDescent="0.25">
      <c r="A28" s="19"/>
      <c r="B28" s="420">
        <f t="shared" ref="B28:B29" si="11">B27+1</f>
        <v>24</v>
      </c>
      <c r="C28" s="421" t="s">
        <v>796</v>
      </c>
      <c r="D28" s="422"/>
      <c r="E28" s="422"/>
      <c r="F28" s="422"/>
      <c r="G28" s="422"/>
      <c r="H28" s="422"/>
      <c r="I28" s="422"/>
      <c r="J28" s="606">
        <v>43025</v>
      </c>
      <c r="K28" s="606"/>
      <c r="L28" s="606">
        <f t="shared" si="10"/>
        <v>43025</v>
      </c>
    </row>
    <row r="29" spans="1:15" ht="14.25" customHeight="1" x14ac:dyDescent="0.25">
      <c r="A29" s="19"/>
      <c r="B29" s="420">
        <f t="shared" si="11"/>
        <v>25</v>
      </c>
      <c r="C29" s="421" t="s">
        <v>797</v>
      </c>
      <c r="D29" s="422"/>
      <c r="E29" s="422"/>
      <c r="F29" s="422"/>
      <c r="G29" s="422"/>
      <c r="H29" s="422"/>
      <c r="I29" s="422"/>
      <c r="J29" s="606">
        <v>2401469</v>
      </c>
      <c r="K29" s="606"/>
      <c r="L29" s="606">
        <f t="shared" si="10"/>
        <v>2401469</v>
      </c>
    </row>
    <row r="30" spans="1:15" ht="15.75" customHeight="1" x14ac:dyDescent="0.25">
      <c r="A30" s="19"/>
      <c r="B30" s="445">
        <v>26</v>
      </c>
      <c r="C30" s="574" t="s">
        <v>197</v>
      </c>
      <c r="D30" s="575"/>
      <c r="E30" s="575"/>
      <c r="F30" s="575"/>
      <c r="G30" s="575"/>
      <c r="H30" s="575"/>
      <c r="I30" s="575"/>
      <c r="J30" s="607">
        <f>J31+J36+J37</f>
        <v>6787084</v>
      </c>
      <c r="K30" s="607">
        <f t="shared" ref="K30" si="12">K31+K36+K37</f>
        <v>0</v>
      </c>
      <c r="L30" s="607">
        <f t="shared" si="10"/>
        <v>6787084</v>
      </c>
      <c r="O30" s="17"/>
    </row>
    <row r="31" spans="1:15" ht="14.25" customHeight="1" x14ac:dyDescent="0.25">
      <c r="A31" s="19"/>
      <c r="B31" s="219">
        <f t="shared" ref="B31:B42" si="13">B30+1</f>
        <v>27</v>
      </c>
      <c r="C31" s="128" t="s">
        <v>194</v>
      </c>
      <c r="D31" s="129"/>
      <c r="E31" s="129"/>
      <c r="F31" s="129"/>
      <c r="G31" s="129"/>
      <c r="H31" s="129"/>
      <c r="I31" s="129"/>
      <c r="J31" s="606">
        <f>SUM(J32:J35)</f>
        <v>4301789</v>
      </c>
      <c r="K31" s="606">
        <f t="shared" ref="K31" si="14">SUM(K32:K35)</f>
        <v>0</v>
      </c>
      <c r="L31" s="606">
        <f t="shared" si="10"/>
        <v>4301789</v>
      </c>
    </row>
    <row r="32" spans="1:15" ht="13.5" customHeight="1" x14ac:dyDescent="0.2">
      <c r="A32" s="19"/>
      <c r="B32" s="220">
        <f t="shared" si="13"/>
        <v>28</v>
      </c>
      <c r="C32" s="576" t="s">
        <v>198</v>
      </c>
      <c r="D32" s="119"/>
      <c r="E32" s="119"/>
      <c r="F32" s="119"/>
      <c r="G32" s="119"/>
      <c r="H32" s="119"/>
      <c r="I32" s="119"/>
      <c r="J32" s="608">
        <v>812885</v>
      </c>
      <c r="K32" s="608"/>
      <c r="L32" s="608">
        <f t="shared" si="10"/>
        <v>812885</v>
      </c>
    </row>
    <row r="33" spans="1:12" ht="13.5" customHeight="1" x14ac:dyDescent="0.2">
      <c r="A33" s="19"/>
      <c r="B33" s="220">
        <f>B32+1</f>
        <v>29</v>
      </c>
      <c r="C33" s="576" t="s">
        <v>545</v>
      </c>
      <c r="D33" s="577"/>
      <c r="E33" s="577"/>
      <c r="F33" s="577"/>
      <c r="G33" s="577"/>
      <c r="H33" s="577"/>
      <c r="I33" s="577"/>
      <c r="J33" s="608">
        <v>286495</v>
      </c>
      <c r="K33" s="608"/>
      <c r="L33" s="608">
        <f t="shared" si="10"/>
        <v>286495</v>
      </c>
    </row>
    <row r="34" spans="1:12" ht="13.5" customHeight="1" x14ac:dyDescent="0.2">
      <c r="A34" s="19"/>
      <c r="B34" s="220">
        <f t="shared" ref="B34:B35" si="15">B33+1</f>
        <v>30</v>
      </c>
      <c r="C34" s="576" t="s">
        <v>798</v>
      </c>
      <c r="D34" s="577"/>
      <c r="E34" s="577"/>
      <c r="F34" s="577"/>
      <c r="G34" s="577"/>
      <c r="H34" s="577"/>
      <c r="I34" s="577"/>
      <c r="J34" s="608">
        <v>2401469</v>
      </c>
      <c r="K34" s="608"/>
      <c r="L34" s="608">
        <f t="shared" si="10"/>
        <v>2401469</v>
      </c>
    </row>
    <row r="35" spans="1:12" ht="13.5" customHeight="1" x14ac:dyDescent="0.2">
      <c r="A35" s="19"/>
      <c r="B35" s="220">
        <f t="shared" si="15"/>
        <v>31</v>
      </c>
      <c r="C35" s="123" t="s">
        <v>193</v>
      </c>
      <c r="D35" s="119"/>
      <c r="E35" s="119"/>
      <c r="F35" s="119"/>
      <c r="G35" s="119"/>
      <c r="H35" s="119"/>
      <c r="I35" s="119"/>
      <c r="J35" s="608">
        <v>800940</v>
      </c>
      <c r="K35" s="608"/>
      <c r="L35" s="608">
        <f t="shared" si="10"/>
        <v>800940</v>
      </c>
    </row>
    <row r="36" spans="1:12" ht="14.25" customHeight="1" x14ac:dyDescent="0.25">
      <c r="A36" s="19"/>
      <c r="B36" s="220">
        <f>B35+1</f>
        <v>32</v>
      </c>
      <c r="C36" s="128" t="s">
        <v>195</v>
      </c>
      <c r="D36" s="129"/>
      <c r="E36" s="129"/>
      <c r="F36" s="129"/>
      <c r="G36" s="129"/>
      <c r="H36" s="129"/>
      <c r="I36" s="129"/>
      <c r="J36" s="606">
        <f>22000+2000</f>
        <v>24000</v>
      </c>
      <c r="K36" s="606"/>
      <c r="L36" s="606">
        <f t="shared" si="10"/>
        <v>24000</v>
      </c>
    </row>
    <row r="37" spans="1:12" ht="14.25" customHeight="1" x14ac:dyDescent="0.25">
      <c r="A37" s="19"/>
      <c r="B37" s="219">
        <f t="shared" si="13"/>
        <v>33</v>
      </c>
      <c r="C37" s="128" t="s">
        <v>734</v>
      </c>
      <c r="D37" s="129"/>
      <c r="E37" s="129"/>
      <c r="F37" s="129"/>
      <c r="G37" s="129"/>
      <c r="H37" s="129"/>
      <c r="I37" s="129"/>
      <c r="J37" s="606">
        <f>SUM(J38:J42)</f>
        <v>2461295</v>
      </c>
      <c r="K37" s="606">
        <f t="shared" ref="K37" si="16">SUM(K38:K42)</f>
        <v>0</v>
      </c>
      <c r="L37" s="606">
        <f t="shared" si="10"/>
        <v>2461295</v>
      </c>
    </row>
    <row r="38" spans="1:12" ht="14.25" customHeight="1" x14ac:dyDescent="0.2">
      <c r="A38" s="19"/>
      <c r="B38" s="220">
        <f t="shared" si="13"/>
        <v>34</v>
      </c>
      <c r="C38" s="576" t="s">
        <v>735</v>
      </c>
      <c r="D38" s="119"/>
      <c r="E38" s="119"/>
      <c r="F38" s="119"/>
      <c r="G38" s="119"/>
      <c r="H38" s="119"/>
      <c r="I38" s="119"/>
      <c r="J38" s="608">
        <v>228816</v>
      </c>
      <c r="K38" s="608"/>
      <c r="L38" s="608">
        <f t="shared" si="10"/>
        <v>228816</v>
      </c>
    </row>
    <row r="39" spans="1:12" ht="14.25" customHeight="1" x14ac:dyDescent="0.2">
      <c r="A39" s="19"/>
      <c r="B39" s="220">
        <f>B38+1</f>
        <v>35</v>
      </c>
      <c r="C39" s="576" t="s">
        <v>736</v>
      </c>
      <c r="D39" s="577"/>
      <c r="E39" s="577"/>
      <c r="F39" s="577"/>
      <c r="G39" s="577"/>
      <c r="H39" s="577"/>
      <c r="I39" s="577"/>
      <c r="J39" s="608">
        <v>1162800</v>
      </c>
      <c r="K39" s="608"/>
      <c r="L39" s="608">
        <f t="shared" si="10"/>
        <v>1162800</v>
      </c>
    </row>
    <row r="40" spans="1:12" ht="14.25" customHeight="1" x14ac:dyDescent="0.2">
      <c r="A40" s="19"/>
      <c r="B40" s="220">
        <f t="shared" si="13"/>
        <v>36</v>
      </c>
      <c r="C40" s="123" t="s">
        <v>737</v>
      </c>
      <c r="D40" s="119"/>
      <c r="E40" s="119"/>
      <c r="F40" s="119"/>
      <c r="G40" s="119"/>
      <c r="H40" s="119"/>
      <c r="I40" s="119"/>
      <c r="J40" s="608">
        <v>885000</v>
      </c>
      <c r="K40" s="608"/>
      <c r="L40" s="608">
        <f t="shared" si="10"/>
        <v>885000</v>
      </c>
    </row>
    <row r="41" spans="1:12" ht="14.25" customHeight="1" x14ac:dyDescent="0.2">
      <c r="A41" s="19"/>
      <c r="B41" s="220">
        <f t="shared" si="13"/>
        <v>37</v>
      </c>
      <c r="C41" s="123" t="s">
        <v>737</v>
      </c>
      <c r="D41" s="119"/>
      <c r="E41" s="119"/>
      <c r="F41" s="119"/>
      <c r="G41" s="119"/>
      <c r="H41" s="119"/>
      <c r="I41" s="119"/>
      <c r="J41" s="608">
        <v>58679</v>
      </c>
      <c r="K41" s="608"/>
      <c r="L41" s="608">
        <f t="shared" si="10"/>
        <v>58679</v>
      </c>
    </row>
    <row r="42" spans="1:12" ht="14.25" customHeight="1" thickBot="1" x14ac:dyDescent="0.25">
      <c r="A42" s="19"/>
      <c r="B42" s="220">
        <f t="shared" si="13"/>
        <v>38</v>
      </c>
      <c r="C42" s="123" t="s">
        <v>737</v>
      </c>
      <c r="D42" s="119"/>
      <c r="E42" s="119"/>
      <c r="F42" s="119"/>
      <c r="G42" s="119"/>
      <c r="H42" s="119"/>
      <c r="I42" s="119"/>
      <c r="J42" s="608">
        <v>126000</v>
      </c>
      <c r="K42" s="608"/>
      <c r="L42" s="608">
        <f t="shared" si="10"/>
        <v>126000</v>
      </c>
    </row>
    <row r="43" spans="1:12" ht="20.25" customHeight="1" thickTop="1" thickBot="1" x14ac:dyDescent="0.3">
      <c r="A43" s="19"/>
      <c r="B43" s="218">
        <f>B36+1</f>
        <v>33</v>
      </c>
      <c r="C43" s="578" t="s">
        <v>187</v>
      </c>
      <c r="D43" s="173"/>
      <c r="E43" s="173"/>
      <c r="F43" s="173"/>
      <c r="G43" s="173"/>
      <c r="H43" s="173"/>
      <c r="I43" s="173"/>
      <c r="J43" s="609">
        <f>J22+J25-J30</f>
        <v>0</v>
      </c>
      <c r="K43" s="609">
        <f t="shared" ref="K43" si="17">K22+K25-K30</f>
        <v>0</v>
      </c>
      <c r="L43" s="609">
        <f t="shared" si="10"/>
        <v>0</v>
      </c>
    </row>
    <row r="44" spans="1:12" ht="4.5" customHeight="1" x14ac:dyDescent="0.2">
      <c r="A44" s="19"/>
      <c r="B44" s="274"/>
      <c r="C44" s="275"/>
      <c r="D44" s="133"/>
      <c r="E44" s="133"/>
      <c r="F44" s="133"/>
      <c r="G44" s="133"/>
      <c r="H44" s="133"/>
      <c r="I44" s="133"/>
      <c r="J44" s="133"/>
      <c r="K44" s="133"/>
      <c r="L44" s="133"/>
    </row>
    <row r="45" spans="1:12" ht="46.5" customHeight="1" x14ac:dyDescent="0.2">
      <c r="A45" s="19"/>
      <c r="B45" s="931" t="s">
        <v>190</v>
      </c>
      <c r="C45" s="931"/>
      <c r="D45" s="931"/>
      <c r="E45" s="931"/>
      <c r="F45" s="931"/>
      <c r="G45" s="931"/>
      <c r="H45" s="931"/>
      <c r="I45" s="931"/>
      <c r="J45" s="931"/>
      <c r="K45" s="792"/>
      <c r="L45" s="792"/>
    </row>
    <row r="46" spans="1:12" ht="45" customHeight="1" x14ac:dyDescent="0.2">
      <c r="A46" s="19"/>
      <c r="B46" s="930" t="s">
        <v>632</v>
      </c>
      <c r="C46" s="930"/>
      <c r="D46" s="930"/>
      <c r="E46" s="930"/>
      <c r="F46" s="930"/>
      <c r="G46" s="930"/>
      <c r="H46" s="930"/>
      <c r="I46" s="930"/>
      <c r="J46" s="930"/>
      <c r="K46" s="791"/>
      <c r="L46" s="791"/>
    </row>
    <row r="47" spans="1:12" ht="45" customHeight="1" x14ac:dyDescent="0.2">
      <c r="B47" s="922"/>
      <c r="C47" s="922"/>
      <c r="D47" s="922"/>
      <c r="E47" s="922"/>
      <c r="F47" s="922"/>
      <c r="G47" s="922"/>
      <c r="H47" s="922"/>
      <c r="I47" s="922"/>
      <c r="J47" s="922"/>
      <c r="K47" s="789"/>
      <c r="L47" s="789"/>
    </row>
    <row r="48" spans="1:12" x14ac:dyDescent="0.2">
      <c r="C48" s="133"/>
    </row>
    <row r="49" spans="3:15" x14ac:dyDescent="0.2">
      <c r="C49" s="151"/>
      <c r="D49" s="17"/>
      <c r="E49" s="17"/>
      <c r="F49" s="17"/>
      <c r="G49" s="17"/>
      <c r="H49" s="17"/>
      <c r="I49" s="17"/>
      <c r="J49" s="17"/>
      <c r="K49" s="17"/>
      <c r="L49" s="17"/>
      <c r="O49" s="17"/>
    </row>
    <row r="50" spans="3:15" x14ac:dyDescent="0.2">
      <c r="C50" s="133"/>
      <c r="D50" s="17"/>
      <c r="E50" s="17"/>
      <c r="F50" s="17"/>
      <c r="G50" s="17"/>
      <c r="H50" s="17"/>
      <c r="I50" s="17"/>
      <c r="J50" s="17"/>
      <c r="K50" s="17"/>
      <c r="L50" s="17"/>
    </row>
    <row r="51" spans="3:15" x14ac:dyDescent="0.2">
      <c r="C51" s="133"/>
      <c r="D51" s="17"/>
      <c r="E51" s="17"/>
      <c r="F51" s="17"/>
      <c r="J51" s="17"/>
      <c r="K51" s="17"/>
      <c r="L51" s="17"/>
      <c r="O51" s="17"/>
    </row>
    <row r="52" spans="3:15" x14ac:dyDescent="0.2">
      <c r="C52" s="133"/>
      <c r="D52" s="17"/>
      <c r="E52" s="17"/>
      <c r="F52" s="17"/>
      <c r="G52" s="17"/>
      <c r="H52" s="17"/>
      <c r="I52" s="17"/>
      <c r="J52" s="17"/>
      <c r="K52" s="17"/>
      <c r="L52" s="17"/>
    </row>
    <row r="53" spans="3:15" x14ac:dyDescent="0.2">
      <c r="C53" s="755"/>
      <c r="D53" s="17"/>
      <c r="E53" s="17"/>
      <c r="F53" s="17"/>
      <c r="G53" s="17"/>
      <c r="H53" s="17"/>
      <c r="I53" s="17"/>
      <c r="J53" s="17"/>
      <c r="K53" s="17"/>
      <c r="L53" s="17"/>
    </row>
    <row r="54" spans="3:15" x14ac:dyDescent="0.2">
      <c r="C54" s="755"/>
      <c r="D54" s="17"/>
      <c r="E54" s="17"/>
      <c r="F54" s="17"/>
      <c r="G54" s="17"/>
      <c r="H54" s="17"/>
      <c r="I54" s="17"/>
      <c r="J54" s="17"/>
      <c r="K54" s="17"/>
      <c r="L54" s="17"/>
    </row>
    <row r="55" spans="3:15" x14ac:dyDescent="0.2">
      <c r="C55" s="755"/>
      <c r="D55" s="17"/>
      <c r="E55" s="17"/>
      <c r="F55" s="17"/>
      <c r="G55" s="17"/>
      <c r="H55" s="17"/>
      <c r="I55" s="17"/>
      <c r="J55" s="17"/>
      <c r="K55" s="17"/>
      <c r="L55" s="17"/>
    </row>
    <row r="56" spans="3:15" x14ac:dyDescent="0.2">
      <c r="C56" s="755"/>
      <c r="D56" s="17"/>
      <c r="E56" s="17"/>
      <c r="F56" s="17"/>
      <c r="G56" s="17"/>
      <c r="H56" s="17"/>
      <c r="I56" s="17"/>
      <c r="J56" s="17"/>
      <c r="K56" s="17"/>
      <c r="L56" s="17"/>
    </row>
    <row r="57" spans="3:15" x14ac:dyDescent="0.2">
      <c r="C57" s="755"/>
      <c r="D57" s="17"/>
      <c r="E57" s="17"/>
      <c r="F57" s="17"/>
      <c r="G57" s="17"/>
      <c r="H57" s="17"/>
      <c r="I57" s="17"/>
      <c r="J57" s="17"/>
      <c r="K57" s="17"/>
      <c r="L57" s="17"/>
    </row>
    <row r="58" spans="3:15" x14ac:dyDescent="0.2">
      <c r="C58" s="755"/>
      <c r="D58" s="17"/>
      <c r="E58" s="17"/>
      <c r="F58" s="17"/>
      <c r="G58" s="17"/>
      <c r="H58" s="17"/>
      <c r="I58" s="17"/>
      <c r="J58" s="17"/>
      <c r="K58" s="17"/>
      <c r="L58" s="17"/>
    </row>
    <row r="59" spans="3:15" x14ac:dyDescent="0.2">
      <c r="C59" s="755"/>
      <c r="D59" s="17"/>
      <c r="E59" s="17"/>
      <c r="F59" s="17"/>
      <c r="G59" s="17"/>
      <c r="H59" s="17"/>
      <c r="I59" s="17"/>
      <c r="J59" s="17"/>
      <c r="K59" s="17"/>
      <c r="L59" s="17"/>
    </row>
    <row r="60" spans="3:15" x14ac:dyDescent="0.2">
      <c r="C60" s="755"/>
      <c r="D60" s="17"/>
      <c r="E60" s="17"/>
      <c r="F60" s="17"/>
      <c r="G60" s="17"/>
      <c r="H60" s="17"/>
      <c r="I60" s="17"/>
      <c r="J60" s="17"/>
      <c r="K60" s="17"/>
      <c r="L60" s="17"/>
    </row>
    <row r="61" spans="3:15" x14ac:dyDescent="0.2">
      <c r="C61" s="755"/>
      <c r="D61" s="17"/>
      <c r="E61" s="17"/>
      <c r="F61" s="17"/>
      <c r="G61" s="17"/>
      <c r="H61" s="17"/>
      <c r="I61" s="17"/>
      <c r="J61" s="17"/>
      <c r="K61" s="17"/>
      <c r="L61" s="17"/>
    </row>
    <row r="62" spans="3:15" x14ac:dyDescent="0.2">
      <c r="C62" s="755"/>
      <c r="D62" s="17"/>
      <c r="E62" s="17"/>
      <c r="F62" s="17"/>
      <c r="G62" s="17"/>
      <c r="H62" s="17"/>
      <c r="I62" s="17"/>
      <c r="J62" s="17"/>
      <c r="K62" s="17"/>
      <c r="L62" s="17"/>
    </row>
    <row r="63" spans="3:15" x14ac:dyDescent="0.2">
      <c r="C63" s="755"/>
      <c r="D63" s="17"/>
      <c r="E63" s="17"/>
      <c r="F63" s="17"/>
      <c r="G63" s="17"/>
      <c r="H63" s="17"/>
      <c r="I63" s="17"/>
      <c r="J63" s="17"/>
      <c r="K63" s="17"/>
      <c r="L63" s="17"/>
    </row>
    <row r="64" spans="3:15" x14ac:dyDescent="0.2">
      <c r="C64" s="133"/>
    </row>
    <row r="65" spans="3:12" x14ac:dyDescent="0.2">
      <c r="C65" s="756"/>
      <c r="D65" s="238"/>
      <c r="E65" s="238"/>
      <c r="F65" s="238"/>
      <c r="G65" s="238"/>
      <c r="H65" s="238"/>
      <c r="I65" s="238"/>
      <c r="J65" s="238"/>
      <c r="K65" s="238"/>
      <c r="L65" s="238"/>
    </row>
    <row r="66" spans="3:12" x14ac:dyDescent="0.2">
      <c r="C66" s="133"/>
    </row>
    <row r="67" spans="3:12" x14ac:dyDescent="0.2">
      <c r="C67" s="133"/>
    </row>
    <row r="68" spans="3:12" x14ac:dyDescent="0.2">
      <c r="C68" s="133"/>
    </row>
    <row r="69" spans="3:12" x14ac:dyDescent="0.2">
      <c r="C69" s="133"/>
    </row>
    <row r="70" spans="3:12" x14ac:dyDescent="0.2">
      <c r="C70" s="133"/>
    </row>
    <row r="71" spans="3:12" x14ac:dyDescent="0.2">
      <c r="C71" s="133"/>
    </row>
    <row r="72" spans="3:12" x14ac:dyDescent="0.2">
      <c r="C72" s="133"/>
    </row>
    <row r="73" spans="3:12" x14ac:dyDescent="0.2">
      <c r="C73" s="133"/>
    </row>
    <row r="74" spans="3:12" x14ac:dyDescent="0.2">
      <c r="C74" s="133"/>
    </row>
    <row r="75" spans="3:12" x14ac:dyDescent="0.2">
      <c r="C75" s="133"/>
    </row>
    <row r="76" spans="3:12" x14ac:dyDescent="0.2">
      <c r="C76" s="133"/>
    </row>
    <row r="77" spans="3:12" x14ac:dyDescent="0.2">
      <c r="C77" s="133"/>
    </row>
    <row r="78" spans="3:12" x14ac:dyDescent="0.2">
      <c r="C78" s="133"/>
    </row>
    <row r="79" spans="3:12" x14ac:dyDescent="0.2">
      <c r="C79" s="133"/>
    </row>
    <row r="80" spans="3:12" x14ac:dyDescent="0.2">
      <c r="C80" s="133"/>
    </row>
    <row r="81" spans="3:3" x14ac:dyDescent="0.2">
      <c r="C81" s="133"/>
    </row>
    <row r="82" spans="3:3" x14ac:dyDescent="0.2">
      <c r="C82" s="133"/>
    </row>
    <row r="83" spans="3:3" x14ac:dyDescent="0.2">
      <c r="C83" s="133"/>
    </row>
    <row r="84" spans="3:3" x14ac:dyDescent="0.2">
      <c r="C84" s="133"/>
    </row>
    <row r="85" spans="3:3" x14ac:dyDescent="0.2">
      <c r="C85" s="133"/>
    </row>
    <row r="86" spans="3:3" x14ac:dyDescent="0.2">
      <c r="C86" s="133"/>
    </row>
    <row r="87" spans="3:3" x14ac:dyDescent="0.2">
      <c r="C87" s="133"/>
    </row>
  </sheetData>
  <mergeCells count="24">
    <mergeCell ref="B47:J47"/>
    <mergeCell ref="C18:C19"/>
    <mergeCell ref="B2:C2"/>
    <mergeCell ref="B1:J1"/>
    <mergeCell ref="G20:G21"/>
    <mergeCell ref="C20:C21"/>
    <mergeCell ref="B46:J46"/>
    <mergeCell ref="B45:J45"/>
    <mergeCell ref="D18:D19"/>
    <mergeCell ref="B24:J24"/>
    <mergeCell ref="J20:J21"/>
    <mergeCell ref="J18:J19"/>
    <mergeCell ref="E18:E19"/>
    <mergeCell ref="F18:F19"/>
    <mergeCell ref="E20:E21"/>
    <mergeCell ref="F20:F21"/>
    <mergeCell ref="L18:L19"/>
    <mergeCell ref="K20:K21"/>
    <mergeCell ref="L20:L21"/>
    <mergeCell ref="H18:H19"/>
    <mergeCell ref="I18:I19"/>
    <mergeCell ref="H20:H21"/>
    <mergeCell ref="I20:I21"/>
    <mergeCell ref="K18:K19"/>
  </mergeCells>
  <phoneticPr fontId="1" type="noConversion"/>
  <pageMargins left="0.78740157480314965" right="0.19685039370078741" top="0.23622047244094491" bottom="0.19685039370078741" header="0.23622047244094491" footer="0.1968503937007874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Príjmy</vt:lpstr>
      <vt:lpstr>Výdavky</vt:lpstr>
      <vt:lpstr>Sumarizácia</vt:lpstr>
      <vt:lpstr>Príjmy!Oblasť_tlače</vt:lpstr>
      <vt:lpstr>Sumarizácia!Oblasť_tlače</vt:lpstr>
      <vt:lpstr>Výdavky!Oblasť_tlače</vt:lpstr>
    </vt:vector>
  </TitlesOfParts>
  <Company>MÚ Trenčín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MUTN</dc:creator>
  <cp:lastModifiedBy>Žilková Andrea, Ing.</cp:lastModifiedBy>
  <cp:lastPrinted>2015-10-05T07:42:19Z</cp:lastPrinted>
  <dcterms:created xsi:type="dcterms:W3CDTF">2006-06-21T07:20:26Z</dcterms:created>
  <dcterms:modified xsi:type="dcterms:W3CDTF">2015-10-05T08:12:04Z</dcterms:modified>
</cp:coreProperties>
</file>