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5\Zmeny rozpočtu\Zmena rozpočtu september 2015\"/>
    </mc:Choice>
  </mc:AlternateContent>
  <bookViews>
    <workbookView xWindow="0" yWindow="0" windowWidth="11310" windowHeight="3960" tabRatio="840"/>
  </bookViews>
  <sheets>
    <sheet name="Príjmy" sheetId="7" r:id="rId1"/>
    <sheet name="Výdavky" sheetId="21" r:id="rId2"/>
    <sheet name="Sumarizácia" sheetId="15" r:id="rId3"/>
  </sheets>
  <definedNames>
    <definedName name="_xlnm._FilterDatabase" localSheetId="0" hidden="1">Príjmy!#REF!</definedName>
    <definedName name="_xlnm.Print_Area" localSheetId="0">Príjmy!$B$2:$J$297</definedName>
    <definedName name="_xlnm.Print_Area" localSheetId="2">Sumarizácia!$B$1:$L$46</definedName>
    <definedName name="_xlnm.Print_Area" localSheetId="1">Výdavky!$B$1:$R$1740</definedName>
  </definedNames>
  <calcPr calcId="152511"/>
</workbook>
</file>

<file path=xl/calcChain.xml><?xml version="1.0" encoding="utf-8"?>
<calcChain xmlns="http://schemas.openxmlformats.org/spreadsheetml/2006/main">
  <c r="Q177" i="21" l="1"/>
  <c r="Q176" i="21"/>
  <c r="Q175" i="21"/>
  <c r="Q174" i="21"/>
  <c r="Q173" i="21"/>
  <c r="Q172" i="21"/>
  <c r="Q171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I1507" i="21" l="1"/>
  <c r="J1513" i="21"/>
  <c r="P1513" i="21"/>
  <c r="Q1513" i="21"/>
  <c r="Q72" i="21"/>
  <c r="Q71" i="21"/>
  <c r="Q70" i="21"/>
  <c r="Q69" i="21"/>
  <c r="Q68" i="21"/>
  <c r="Q67" i="21"/>
  <c r="Q66" i="21"/>
  <c r="Q65" i="21"/>
  <c r="Q64" i="21"/>
  <c r="Q63" i="21"/>
  <c r="Q60" i="21"/>
  <c r="Q59" i="21"/>
  <c r="Q58" i="21"/>
  <c r="Q57" i="21"/>
  <c r="Q56" i="21"/>
  <c r="Q55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5" i="21"/>
  <c r="Q34" i="21"/>
  <c r="Q33" i="21"/>
  <c r="Q32" i="21"/>
  <c r="Q31" i="21"/>
  <c r="Q30" i="21"/>
  <c r="Q29" i="21"/>
  <c r="Q28" i="21"/>
  <c r="Q27" i="21"/>
  <c r="Q26" i="21"/>
  <c r="Q24" i="21"/>
  <c r="Q23" i="21"/>
  <c r="Q22" i="21"/>
  <c r="Q21" i="21"/>
  <c r="Q20" i="21"/>
  <c r="Q18" i="21"/>
  <c r="Q16" i="21"/>
  <c r="Q14" i="21"/>
  <c r="Q12" i="21"/>
  <c r="Q11" i="21"/>
  <c r="Q10" i="21"/>
  <c r="Q9" i="21"/>
  <c r="Q8" i="21"/>
  <c r="R1513" i="21" l="1"/>
  <c r="I281" i="7"/>
  <c r="I651" i="21" l="1"/>
  <c r="P543" i="21"/>
  <c r="Q543" i="21"/>
  <c r="J543" i="21"/>
  <c r="R543" i="21" l="1"/>
  <c r="J1155" i="21"/>
  <c r="Q1155" i="21"/>
  <c r="P1155" i="21"/>
  <c r="J1146" i="21"/>
  <c r="Q1146" i="21"/>
  <c r="P1146" i="21"/>
  <c r="L422" i="21"/>
  <c r="P361" i="21"/>
  <c r="Q361" i="21"/>
  <c r="N361" i="21"/>
  <c r="L48" i="21"/>
  <c r="H391" i="21"/>
  <c r="H1499" i="21"/>
  <c r="L450" i="21"/>
  <c r="H892" i="21"/>
  <c r="H891" i="21"/>
  <c r="H868" i="21"/>
  <c r="H867" i="21"/>
  <c r="H1507" i="21"/>
  <c r="Q1512" i="21"/>
  <c r="J1512" i="21"/>
  <c r="P1512" i="21"/>
  <c r="P741" i="21"/>
  <c r="Q741" i="21"/>
  <c r="N741" i="21"/>
  <c r="L511" i="21"/>
  <c r="N511" i="21" s="1"/>
  <c r="N520" i="21"/>
  <c r="P520" i="21"/>
  <c r="Q520" i="21"/>
  <c r="Q443" i="21"/>
  <c r="P443" i="21"/>
  <c r="N443" i="21"/>
  <c r="H82" i="21"/>
  <c r="L442" i="21"/>
  <c r="H345" i="21"/>
  <c r="H339" i="21"/>
  <c r="H341" i="21"/>
  <c r="H1687" i="21"/>
  <c r="H261" i="7"/>
  <c r="H942" i="21"/>
  <c r="H169" i="21"/>
  <c r="R520" i="21" l="1"/>
  <c r="R1155" i="21"/>
  <c r="R741" i="21"/>
  <c r="R1512" i="21"/>
  <c r="R361" i="21"/>
  <c r="R443" i="21"/>
  <c r="R1146" i="21"/>
  <c r="L1329" i="21"/>
  <c r="J96" i="7" l="1"/>
  <c r="J95" i="7"/>
  <c r="J124" i="7" l="1"/>
  <c r="J125" i="7"/>
  <c r="J126" i="7"/>
  <c r="J127" i="7"/>
  <c r="J128" i="7"/>
  <c r="L42" i="15" l="1"/>
  <c r="L41" i="15"/>
  <c r="L40" i="15"/>
  <c r="L39" i="15"/>
  <c r="L38" i="15"/>
  <c r="K37" i="15"/>
  <c r="L35" i="15"/>
  <c r="L34" i="15"/>
  <c r="L33" i="15"/>
  <c r="L32" i="15"/>
  <c r="K31" i="15"/>
  <c r="K30" i="15" s="1"/>
  <c r="L29" i="15"/>
  <c r="L28" i="15"/>
  <c r="K25" i="15"/>
  <c r="I21" i="15"/>
  <c r="F19" i="15"/>
  <c r="Q1740" i="21" l="1"/>
  <c r="Q1738" i="21"/>
  <c r="Q1737" i="21"/>
  <c r="Q1736" i="21"/>
  <c r="Q1734" i="21"/>
  <c r="Q1733" i="21"/>
  <c r="Q1732" i="21"/>
  <c r="Q1729" i="21"/>
  <c r="M1739" i="21"/>
  <c r="M1735" i="21"/>
  <c r="N1734" i="21"/>
  <c r="N1731" i="21"/>
  <c r="N1729" i="21"/>
  <c r="J1740" i="21"/>
  <c r="R1740" i="21" s="1"/>
  <c r="I1739" i="21"/>
  <c r="J1738" i="21"/>
  <c r="R1738" i="21" s="1"/>
  <c r="J1737" i="21"/>
  <c r="R1737" i="21" s="1"/>
  <c r="J1736" i="21"/>
  <c r="R1736" i="21" s="1"/>
  <c r="I1735" i="21"/>
  <c r="J1734" i="21"/>
  <c r="R1734" i="21" s="1"/>
  <c r="J1733" i="21"/>
  <c r="R1733" i="21" s="1"/>
  <c r="J1732" i="21"/>
  <c r="R1732" i="21" s="1"/>
  <c r="I1731" i="21"/>
  <c r="J1729" i="21"/>
  <c r="R1729" i="21" s="1"/>
  <c r="Q1708" i="21"/>
  <c r="Q1707" i="21"/>
  <c r="Q1706" i="21"/>
  <c r="Q1705" i="21"/>
  <c r="Q1704" i="21"/>
  <c r="Q1703" i="21"/>
  <c r="Q1701" i="21"/>
  <c r="Q1700" i="21"/>
  <c r="Q1697" i="21"/>
  <c r="Q1696" i="21"/>
  <c r="Q1695" i="21"/>
  <c r="Q1694" i="21"/>
  <c r="Q1692" i="21"/>
  <c r="Q1691" i="21"/>
  <c r="Q1688" i="21"/>
  <c r="Q1687" i="21"/>
  <c r="Q1686" i="21"/>
  <c r="Q1685" i="21"/>
  <c r="Q1684" i="21"/>
  <c r="Q1682" i="21"/>
  <c r="Q1679" i="21"/>
  <c r="Q1678" i="21"/>
  <c r="Q1677" i="21"/>
  <c r="Q1676" i="21"/>
  <c r="Q1675" i="21"/>
  <c r="Q1673" i="21"/>
  <c r="Q1672" i="21"/>
  <c r="Q1668" i="21"/>
  <c r="Q1667" i="21"/>
  <c r="Q1665" i="21"/>
  <c r="Q1664" i="21"/>
  <c r="Q1662" i="21"/>
  <c r="Q1661" i="21"/>
  <c r="Q1660" i="21"/>
  <c r="Q1659" i="21"/>
  <c r="Q1658" i="21"/>
  <c r="Q1657" i="21"/>
  <c r="Q1656" i="21"/>
  <c r="Q1654" i="21"/>
  <c r="Q1653" i="21"/>
  <c r="Q1650" i="21"/>
  <c r="Q1649" i="21"/>
  <c r="Q1648" i="21"/>
  <c r="Q1647" i="21"/>
  <c r="Q1645" i="21"/>
  <c r="Q1644" i="21"/>
  <c r="Q1643" i="21"/>
  <c r="Q1642" i="21"/>
  <c r="Q1639" i="21"/>
  <c r="Q1637" i="21"/>
  <c r="Q1636" i="21"/>
  <c r="Q1635" i="21"/>
  <c r="Q1634" i="21"/>
  <c r="Q1633" i="21"/>
  <c r="Q1632" i="21"/>
  <c r="Q1631" i="21"/>
  <c r="Q1629" i="21"/>
  <c r="Q1628" i="21"/>
  <c r="Q1625" i="21"/>
  <c r="Q1624" i="21"/>
  <c r="Q1623" i="21"/>
  <c r="Q1621" i="21"/>
  <c r="Q1620" i="21"/>
  <c r="Q1619" i="21"/>
  <c r="Q1617" i="21"/>
  <c r="Q1616" i="21"/>
  <c r="Q1615" i="21"/>
  <c r="Q1614" i="21"/>
  <c r="Q1613" i="21"/>
  <c r="Q1612" i="21"/>
  <c r="Q1611" i="21"/>
  <c r="Q1610" i="21"/>
  <c r="Q1606" i="21"/>
  <c r="Q1605" i="21"/>
  <c r="Q1604" i="21"/>
  <c r="Q1603" i="21"/>
  <c r="Q1601" i="21"/>
  <c r="Q1600" i="21"/>
  <c r="Q1597" i="21"/>
  <c r="Q1596" i="21"/>
  <c r="Q1595" i="21"/>
  <c r="Q1594" i="21"/>
  <c r="Q1593" i="21"/>
  <c r="Q1592" i="21"/>
  <c r="Q1591" i="21"/>
  <c r="Q1590" i="21"/>
  <c r="Q1588" i="21"/>
  <c r="Q1587" i="21"/>
  <c r="Q1586" i="21"/>
  <c r="Q1584" i="21"/>
  <c r="Q1582" i="21"/>
  <c r="Q1581" i="21"/>
  <c r="Q1580" i="21"/>
  <c r="Q1579" i="21"/>
  <c r="Q1578" i="21"/>
  <c r="Q1576" i="21"/>
  <c r="Q1575" i="21"/>
  <c r="N1670" i="21"/>
  <c r="N1681" i="21"/>
  <c r="N1683" i="21"/>
  <c r="N1689" i="21"/>
  <c r="N1698" i="21"/>
  <c r="M1651" i="21"/>
  <c r="N1607" i="21"/>
  <c r="N1598" i="21"/>
  <c r="N1585" i="21"/>
  <c r="N1583" i="21"/>
  <c r="N1574" i="21"/>
  <c r="M1573" i="21"/>
  <c r="M1572" i="21" s="1"/>
  <c r="J1708" i="21"/>
  <c r="J1707" i="21"/>
  <c r="J1706" i="21"/>
  <c r="J1705" i="21"/>
  <c r="J1704" i="21"/>
  <c r="J1703" i="21"/>
  <c r="I1702" i="21"/>
  <c r="I1699" i="21" s="1"/>
  <c r="J1701" i="21"/>
  <c r="J1700" i="21"/>
  <c r="J1697" i="21"/>
  <c r="J1696" i="21"/>
  <c r="J1695" i="21"/>
  <c r="J1694" i="21"/>
  <c r="I1693" i="21"/>
  <c r="J1692" i="21"/>
  <c r="J1691" i="21"/>
  <c r="J1688" i="21"/>
  <c r="J1687" i="21"/>
  <c r="J1685" i="21"/>
  <c r="J1684" i="21"/>
  <c r="I1683" i="21"/>
  <c r="Q1683" i="21" s="1"/>
  <c r="J1682" i="21"/>
  <c r="I1681" i="21"/>
  <c r="Q1681" i="21" s="1"/>
  <c r="J1679" i="21"/>
  <c r="J1678" i="21"/>
  <c r="J1677" i="21"/>
  <c r="J1676" i="21"/>
  <c r="J1675" i="21"/>
  <c r="I1674" i="21"/>
  <c r="Q1674" i="21" s="1"/>
  <c r="J1673" i="21"/>
  <c r="J1672" i="21"/>
  <c r="J1668" i="21"/>
  <c r="J1625" i="21"/>
  <c r="J1628" i="21"/>
  <c r="J1629" i="21"/>
  <c r="I1630" i="21"/>
  <c r="I1627" i="21" s="1"/>
  <c r="Q1627" i="21" s="1"/>
  <c r="J1631" i="21"/>
  <c r="J1632" i="21"/>
  <c r="J1633" i="21"/>
  <c r="J1634" i="21"/>
  <c r="J1635" i="21"/>
  <c r="J1636" i="21"/>
  <c r="J1637" i="21"/>
  <c r="J1639" i="21"/>
  <c r="I1641" i="21"/>
  <c r="Q1641" i="21" s="1"/>
  <c r="J1642" i="21"/>
  <c r="J1643" i="21"/>
  <c r="J1644" i="21"/>
  <c r="J1645" i="21"/>
  <c r="J1647" i="21"/>
  <c r="J1648" i="21"/>
  <c r="J1649" i="21"/>
  <c r="J1650" i="21"/>
  <c r="J1653" i="21"/>
  <c r="J1654" i="21"/>
  <c r="I1655" i="21"/>
  <c r="I1652" i="21" s="1"/>
  <c r="Q1652" i="21" s="1"/>
  <c r="J1656" i="21"/>
  <c r="J1657" i="21"/>
  <c r="J1658" i="21"/>
  <c r="J1659" i="21"/>
  <c r="J1660" i="21"/>
  <c r="J1661" i="21"/>
  <c r="J1662" i="21"/>
  <c r="J1664" i="21"/>
  <c r="J1665" i="21"/>
  <c r="J1667" i="21"/>
  <c r="J1624" i="21"/>
  <c r="J1623" i="21"/>
  <c r="J1622" i="21"/>
  <c r="J1620" i="21"/>
  <c r="J1617" i="21"/>
  <c r="J1616" i="21"/>
  <c r="J1615" i="21"/>
  <c r="J1614" i="21"/>
  <c r="J1613" i="21"/>
  <c r="J1612" i="21"/>
  <c r="J1611" i="21"/>
  <c r="J1610" i="21"/>
  <c r="I1609" i="21"/>
  <c r="J1606" i="21"/>
  <c r="J1605" i="21"/>
  <c r="J1604" i="21"/>
  <c r="J1603" i="21"/>
  <c r="I1602" i="21"/>
  <c r="I1599" i="21" s="1"/>
  <c r="J1601" i="21"/>
  <c r="J1600" i="21"/>
  <c r="J1597" i="21"/>
  <c r="J1596" i="21"/>
  <c r="J1595" i="21"/>
  <c r="J1594" i="21"/>
  <c r="J1593" i="21"/>
  <c r="J1592" i="21"/>
  <c r="J1591" i="21"/>
  <c r="J1590" i="21"/>
  <c r="I1589" i="21"/>
  <c r="J1588" i="21"/>
  <c r="J1587" i="21"/>
  <c r="J1586" i="21"/>
  <c r="I1585" i="21"/>
  <c r="J1584" i="21"/>
  <c r="I1583" i="21"/>
  <c r="Q1583" i="21" s="1"/>
  <c r="J1582" i="21"/>
  <c r="J1581" i="21"/>
  <c r="J1580" i="21"/>
  <c r="J1579" i="21"/>
  <c r="J1578" i="21"/>
  <c r="I1577" i="21"/>
  <c r="J1576" i="21"/>
  <c r="J1575" i="21"/>
  <c r="Q1535" i="21"/>
  <c r="Q1534" i="21"/>
  <c r="Q1533" i="21"/>
  <c r="Q1532" i="21"/>
  <c r="Q1531" i="21"/>
  <c r="Q1530" i="21"/>
  <c r="Q1529" i="21"/>
  <c r="Q1527" i="21"/>
  <c r="Q1526" i="21"/>
  <c r="Q1523" i="21"/>
  <c r="Q1522" i="21"/>
  <c r="Q1521" i="21"/>
  <c r="Q1519" i="21"/>
  <c r="Q1518" i="21"/>
  <c r="Q1515" i="21"/>
  <c r="Q1511" i="21"/>
  <c r="Q1510" i="21"/>
  <c r="Q1509" i="21"/>
  <c r="Q1508" i="21"/>
  <c r="Q1506" i="21"/>
  <c r="Q1505" i="21"/>
  <c r="Q1504" i="21"/>
  <c r="Q1502" i="21"/>
  <c r="R1502" i="21" s="1"/>
  <c r="Q1501" i="21"/>
  <c r="Q1500" i="21"/>
  <c r="Q1499" i="21"/>
  <c r="Q1498" i="21"/>
  <c r="Q1494" i="21"/>
  <c r="Q1493" i="21"/>
  <c r="Q1491" i="21"/>
  <c r="Q1490" i="21"/>
  <c r="Q1489" i="21"/>
  <c r="Q1488" i="21"/>
  <c r="Q1487" i="21"/>
  <c r="Q1486" i="21"/>
  <c r="Q1484" i="21"/>
  <c r="Q1483" i="21"/>
  <c r="Q1481" i="21"/>
  <c r="Q1480" i="21"/>
  <c r="Q1479" i="21"/>
  <c r="Q1478" i="21"/>
  <c r="Q1477" i="21"/>
  <c r="Q1475" i="21"/>
  <c r="Q1473" i="21"/>
  <c r="Q1472" i="21"/>
  <c r="Q1471" i="21"/>
  <c r="Q1470" i="21"/>
  <c r="Q1469" i="21"/>
  <c r="Q1468" i="21"/>
  <c r="Q1467" i="21"/>
  <c r="Q1465" i="21"/>
  <c r="Q1464" i="21"/>
  <c r="M1524" i="21"/>
  <c r="N1516" i="21"/>
  <c r="N1514" i="21"/>
  <c r="M1507" i="21"/>
  <c r="N1506" i="21"/>
  <c r="N1505" i="21"/>
  <c r="M1503" i="21"/>
  <c r="N1502" i="21"/>
  <c r="M1497" i="21"/>
  <c r="N1494" i="21"/>
  <c r="M1462" i="21"/>
  <c r="J1511" i="21"/>
  <c r="I1514" i="21"/>
  <c r="Q1514" i="21" s="1"/>
  <c r="J1515" i="21"/>
  <c r="J1518" i="21"/>
  <c r="J1519" i="21"/>
  <c r="I1520" i="21"/>
  <c r="J1521" i="21"/>
  <c r="J1522" i="21"/>
  <c r="J1523" i="21"/>
  <c r="I1528" i="21"/>
  <c r="J1510" i="21"/>
  <c r="J1509" i="21"/>
  <c r="J1508" i="21"/>
  <c r="J1506" i="21"/>
  <c r="J1505" i="21"/>
  <c r="J1504" i="21"/>
  <c r="I1503" i="21"/>
  <c r="J1501" i="21"/>
  <c r="J1500" i="21"/>
  <c r="I1497" i="21"/>
  <c r="J1493" i="21"/>
  <c r="J1491" i="21"/>
  <c r="J1489" i="21"/>
  <c r="I1485" i="21"/>
  <c r="I1482" i="21" s="1"/>
  <c r="J1479" i="21"/>
  <c r="J1478" i="21"/>
  <c r="J1477" i="21"/>
  <c r="I1476" i="21"/>
  <c r="Q1476" i="21" s="1"/>
  <c r="J1475" i="21"/>
  <c r="J1473" i="21"/>
  <c r="J1471" i="21"/>
  <c r="J1470" i="21"/>
  <c r="J1469" i="21"/>
  <c r="J1468" i="21"/>
  <c r="J1467" i="21"/>
  <c r="I1466" i="21"/>
  <c r="I1463" i="21" s="1"/>
  <c r="J1465" i="21"/>
  <c r="J1464" i="21"/>
  <c r="Q1425" i="21"/>
  <c r="Q1424" i="21"/>
  <c r="Q1423" i="21"/>
  <c r="Q1422" i="21"/>
  <c r="Q1421" i="21"/>
  <c r="Q1420" i="21"/>
  <c r="Q1419" i="21"/>
  <c r="Q1417" i="21"/>
  <c r="Q1416" i="21"/>
  <c r="Q1415" i="21"/>
  <c r="Q1414" i="21"/>
  <c r="Q1411" i="21"/>
  <c r="Q1410" i="21"/>
  <c r="Q1409" i="21"/>
  <c r="Q1408" i="21"/>
  <c r="Q1407" i="21"/>
  <c r="Q1406" i="21"/>
  <c r="Q1405" i="21"/>
  <c r="Q1404" i="21"/>
  <c r="Q1403" i="21"/>
  <c r="Q1402" i="21"/>
  <c r="Q1401" i="21"/>
  <c r="Q1400" i="21"/>
  <c r="Q1399" i="21"/>
  <c r="Q1396" i="21"/>
  <c r="Q1395" i="21"/>
  <c r="Q1394" i="21"/>
  <c r="Q1393" i="21"/>
  <c r="Q1392" i="21"/>
  <c r="Q1391" i="21"/>
  <c r="Q1390" i="21"/>
  <c r="Q1389" i="21"/>
  <c r="Q1388" i="21"/>
  <c r="Q1387" i="21"/>
  <c r="Q1386" i="21"/>
  <c r="Q1384" i="21"/>
  <c r="N1425" i="21"/>
  <c r="M1412" i="21"/>
  <c r="N1397" i="21"/>
  <c r="M1383" i="21"/>
  <c r="J1425" i="21"/>
  <c r="J1424" i="21"/>
  <c r="J1423" i="21"/>
  <c r="J1422" i="21"/>
  <c r="J1421" i="21"/>
  <c r="J1420" i="21"/>
  <c r="J1419" i="21"/>
  <c r="J1417" i="21"/>
  <c r="J1415" i="21"/>
  <c r="J1414" i="21"/>
  <c r="I1413" i="21"/>
  <c r="Q1413" i="21" s="1"/>
  <c r="J1410" i="21"/>
  <c r="J1408" i="21"/>
  <c r="J1407" i="21"/>
  <c r="J1406" i="21"/>
  <c r="J1404" i="21"/>
  <c r="J1403" i="21"/>
  <c r="J1399" i="21"/>
  <c r="I1398" i="21"/>
  <c r="Q1398" i="21" s="1"/>
  <c r="J1396" i="21"/>
  <c r="J1395" i="21"/>
  <c r="J1394" i="21"/>
  <c r="J1393" i="21"/>
  <c r="J1392" i="21"/>
  <c r="J1391" i="21"/>
  <c r="J1390" i="21"/>
  <c r="J1389" i="21"/>
  <c r="J1388" i="21"/>
  <c r="J1386" i="21"/>
  <c r="I1385" i="21"/>
  <c r="J1384" i="21"/>
  <c r="Q1375" i="21"/>
  <c r="Q1374" i="21"/>
  <c r="Q1372" i="21"/>
  <c r="Q1371" i="21"/>
  <c r="Q1370" i="21"/>
  <c r="Q1369" i="21"/>
  <c r="Q1368" i="21"/>
  <c r="Q1366" i="21"/>
  <c r="Q1365" i="21"/>
  <c r="Q1361" i="21"/>
  <c r="Q1359" i="21"/>
  <c r="Q1358" i="21"/>
  <c r="Q1356" i="21"/>
  <c r="Q1355" i="21"/>
  <c r="Q1354" i="21"/>
  <c r="Q1353" i="21"/>
  <c r="Q1352" i="21"/>
  <c r="Q1351" i="21"/>
  <c r="Q1349" i="21"/>
  <c r="Q1348" i="21"/>
  <c r="Q1346" i="21"/>
  <c r="Q1343" i="21"/>
  <c r="Q1341" i="21"/>
  <c r="Q1339" i="21"/>
  <c r="Q1338" i="21"/>
  <c r="Q1337" i="21"/>
  <c r="Q1336" i="21"/>
  <c r="Q1335" i="21"/>
  <c r="Q1334" i="21"/>
  <c r="Q1332" i="21"/>
  <c r="Q1331" i="21"/>
  <c r="Q1328" i="21"/>
  <c r="Q1327" i="21"/>
  <c r="Q1326" i="21"/>
  <c r="Q1325" i="21"/>
  <c r="Q1324" i="21"/>
  <c r="Q1323" i="21"/>
  <c r="Q1322" i="21"/>
  <c r="Q1321" i="21"/>
  <c r="Q1319" i="21"/>
  <c r="Q1318" i="21"/>
  <c r="Q1315" i="21"/>
  <c r="Q1314" i="21"/>
  <c r="Q1313" i="21"/>
  <c r="Q1312" i="21"/>
  <c r="Q1311" i="21"/>
  <c r="Q1310" i="21"/>
  <c r="Q1309" i="21"/>
  <c r="Q1308" i="21"/>
  <c r="Q1307" i="21"/>
  <c r="Q1305" i="21"/>
  <c r="N1374" i="21"/>
  <c r="M1363" i="21"/>
  <c r="N1361" i="21"/>
  <c r="N1356" i="21"/>
  <c r="M1347" i="21"/>
  <c r="N1343" i="21"/>
  <c r="M1329" i="21"/>
  <c r="N1328" i="21"/>
  <c r="M1320" i="21"/>
  <c r="N1317" i="21"/>
  <c r="N1306" i="21"/>
  <c r="N1305" i="21"/>
  <c r="M1304" i="21"/>
  <c r="J1315" i="21"/>
  <c r="I1317" i="21"/>
  <c r="J1318" i="21"/>
  <c r="J1319" i="21"/>
  <c r="I1320" i="21"/>
  <c r="J1321" i="21"/>
  <c r="J1322" i="21"/>
  <c r="J1324" i="21"/>
  <c r="J1325" i="21"/>
  <c r="J1327" i="21"/>
  <c r="J1331" i="21"/>
  <c r="J1332" i="21"/>
  <c r="I1333" i="21"/>
  <c r="J1334" i="21"/>
  <c r="J1335" i="21"/>
  <c r="J1336" i="21"/>
  <c r="J1337" i="21"/>
  <c r="J1338" i="21"/>
  <c r="J1339" i="21"/>
  <c r="J1341" i="21"/>
  <c r="J1346" i="21"/>
  <c r="J1348" i="21"/>
  <c r="J1349" i="21"/>
  <c r="I1350" i="21"/>
  <c r="Q1350" i="21" s="1"/>
  <c r="J1351" i="21"/>
  <c r="J1352" i="21"/>
  <c r="J1353" i="21"/>
  <c r="J1354" i="21"/>
  <c r="J1355" i="21"/>
  <c r="J1358" i="21"/>
  <c r="J1361" i="21"/>
  <c r="J1365" i="21"/>
  <c r="J1366" i="21"/>
  <c r="I1367" i="21"/>
  <c r="Q1367" i="21" s="1"/>
  <c r="J1368" i="21"/>
  <c r="J1369" i="21"/>
  <c r="J1370" i="21"/>
  <c r="J1371" i="21"/>
  <c r="J1372" i="21"/>
  <c r="J1314" i="21"/>
  <c r="J1313" i="21"/>
  <c r="J1312" i="21"/>
  <c r="J1311" i="21"/>
  <c r="J1310" i="21"/>
  <c r="J1309" i="21"/>
  <c r="J1308" i="21"/>
  <c r="J1307" i="21"/>
  <c r="I1306" i="21"/>
  <c r="J1305" i="21"/>
  <c r="Q1256" i="21"/>
  <c r="Q1255" i="21"/>
  <c r="Q1254" i="21"/>
  <c r="Q1253" i="21"/>
  <c r="Q1252" i="21"/>
  <c r="Q1251" i="21"/>
  <c r="Q1249" i="21"/>
  <c r="Q1248" i="21"/>
  <c r="Q1246" i="21"/>
  <c r="Q1245" i="21"/>
  <c r="Q1244" i="21"/>
  <c r="Q1243" i="21"/>
  <c r="Q1241" i="21"/>
  <c r="Q1240" i="21"/>
  <c r="Q1239" i="21"/>
  <c r="Q1238" i="21"/>
  <c r="Q1237" i="21"/>
  <c r="Q1236" i="21"/>
  <c r="Q1235" i="21"/>
  <c r="Q1233" i="21"/>
  <c r="Q1232" i="21"/>
  <c r="Q1228" i="21"/>
  <c r="Q1227" i="21"/>
  <c r="Q1226" i="21"/>
  <c r="Q1225" i="21"/>
  <c r="Q1223" i="21"/>
  <c r="Q1220" i="21"/>
  <c r="Q1219" i="21"/>
  <c r="Q1215" i="21"/>
  <c r="Q1214" i="21"/>
  <c r="Q1213" i="21"/>
  <c r="Q1212" i="21"/>
  <c r="Q1211" i="21"/>
  <c r="Q1209" i="21"/>
  <c r="Q1208" i="21"/>
  <c r="Q1206" i="21"/>
  <c r="Q1205" i="21"/>
  <c r="Q1204" i="21"/>
  <c r="Q1203" i="21"/>
  <c r="Q1202" i="21"/>
  <c r="Q1201" i="21"/>
  <c r="Q1199" i="21"/>
  <c r="Q1198" i="21"/>
  <c r="Q1195" i="21"/>
  <c r="Q1194" i="21"/>
  <c r="Q1193" i="21"/>
  <c r="Q1192" i="21"/>
  <c r="Q1191" i="21"/>
  <c r="Q1190" i="21"/>
  <c r="Q1189" i="21"/>
  <c r="Q1187" i="21"/>
  <c r="Q1186" i="21"/>
  <c r="Q1184" i="21"/>
  <c r="Q1183" i="21"/>
  <c r="Q1182" i="21"/>
  <c r="Q1181" i="21"/>
  <c r="Q1180" i="21"/>
  <c r="Q1178" i="21"/>
  <c r="Q1177" i="21"/>
  <c r="Q1174" i="21"/>
  <c r="Q1173" i="21"/>
  <c r="Q1172" i="21"/>
  <c r="Q1171" i="21"/>
  <c r="Q1170" i="21"/>
  <c r="Q1168" i="21"/>
  <c r="Q1167" i="21"/>
  <c r="Q1165" i="21"/>
  <c r="Q1164" i="21"/>
  <c r="Q1163" i="21"/>
  <c r="Q1162" i="21"/>
  <c r="Q1161" i="21"/>
  <c r="Q1159" i="21"/>
  <c r="Q1158" i="21"/>
  <c r="Q1154" i="21"/>
  <c r="Q1153" i="21"/>
  <c r="Q1152" i="21"/>
  <c r="Q1151" i="21"/>
  <c r="Q1149" i="21"/>
  <c r="Q1148" i="21"/>
  <c r="Q1145" i="21"/>
  <c r="Q1144" i="21"/>
  <c r="Q1143" i="21"/>
  <c r="Q1142" i="21"/>
  <c r="Q1140" i="21"/>
  <c r="Q1139" i="21"/>
  <c r="Q1136" i="21"/>
  <c r="Q1135" i="21"/>
  <c r="Q1134" i="21"/>
  <c r="Q1133" i="21"/>
  <c r="Q1132" i="21"/>
  <c r="Q1131" i="21"/>
  <c r="Q1129" i="21"/>
  <c r="Q1128" i="21"/>
  <c r="Q1126" i="21"/>
  <c r="Q1125" i="21"/>
  <c r="Q1124" i="21"/>
  <c r="Q1123" i="21"/>
  <c r="Q1122" i="21"/>
  <c r="Q1121" i="21"/>
  <c r="Q1120" i="21"/>
  <c r="Q1118" i="21"/>
  <c r="Q1117" i="21"/>
  <c r="Q1114" i="21"/>
  <c r="Q1113" i="21"/>
  <c r="Q1112" i="21"/>
  <c r="Q1111" i="21"/>
  <c r="Q1110" i="21"/>
  <c r="Q1108" i="21"/>
  <c r="Q1107" i="21"/>
  <c r="Q1105" i="21"/>
  <c r="Q1104" i="21"/>
  <c r="Q1103" i="21"/>
  <c r="Q1102" i="21"/>
  <c r="Q1101" i="21"/>
  <c r="Q1099" i="21"/>
  <c r="Q1098" i="21"/>
  <c r="Q1097" i="21"/>
  <c r="Q1095" i="21"/>
  <c r="Q1094" i="21"/>
  <c r="Q1093" i="21"/>
  <c r="Q1092" i="21"/>
  <c r="Q1091" i="21"/>
  <c r="Q1090" i="21"/>
  <c r="Q1088" i="21"/>
  <c r="Q1087" i="21"/>
  <c r="Q1085" i="21"/>
  <c r="Q1084" i="21"/>
  <c r="Q1083" i="21"/>
  <c r="Q1082" i="21"/>
  <c r="Q1081" i="21"/>
  <c r="Q1080" i="21"/>
  <c r="Q1078" i="21"/>
  <c r="Q1077" i="21"/>
  <c r="Q1073" i="21"/>
  <c r="Q1072" i="21"/>
  <c r="Q1071" i="21"/>
  <c r="Q1070" i="21"/>
  <c r="Q1068" i="21"/>
  <c r="Q1067" i="21"/>
  <c r="Q1065" i="21"/>
  <c r="Q1064" i="21"/>
  <c r="Q1063" i="21"/>
  <c r="Q1062" i="21"/>
  <c r="Q1060" i="21"/>
  <c r="Q1059" i="21"/>
  <c r="Q1057" i="21"/>
  <c r="Q1056" i="21"/>
  <c r="Q1055" i="21"/>
  <c r="Q1054" i="21"/>
  <c r="Q1052" i="21"/>
  <c r="Q1051" i="21"/>
  <c r="Q1049" i="21"/>
  <c r="Q1048" i="21"/>
  <c r="Q1047" i="21"/>
  <c r="Q1046" i="21"/>
  <c r="Q1044" i="21"/>
  <c r="Q1043" i="21"/>
  <c r="Q1041" i="21"/>
  <c r="Q1040" i="21"/>
  <c r="Q1039" i="21"/>
  <c r="Q1038" i="21"/>
  <c r="Q1036" i="21"/>
  <c r="Q1035" i="21"/>
  <c r="Q1033" i="21"/>
  <c r="Q1032" i="21"/>
  <c r="Q1031" i="21"/>
  <c r="Q1030" i="21"/>
  <c r="Q1028" i="21"/>
  <c r="Q1027" i="21"/>
  <c r="Q1025" i="21"/>
  <c r="Q1024" i="21"/>
  <c r="Q1023" i="21"/>
  <c r="Q1022" i="21"/>
  <c r="Q1020" i="21"/>
  <c r="Q1019" i="21"/>
  <c r="Q1017" i="21"/>
  <c r="Q1016" i="21"/>
  <c r="Q1015" i="21"/>
  <c r="Q1014" i="21"/>
  <c r="Q1013" i="21"/>
  <c r="Q1011" i="21"/>
  <c r="Q1010" i="21"/>
  <c r="Q1008" i="21"/>
  <c r="Q1007" i="21"/>
  <c r="Q1006" i="21"/>
  <c r="Q1005" i="21"/>
  <c r="Q1003" i="21"/>
  <c r="Q1002" i="21"/>
  <c r="Q1000" i="21"/>
  <c r="Q999" i="21"/>
  <c r="Q998" i="21"/>
  <c r="Q997" i="21"/>
  <c r="Q996" i="21"/>
  <c r="Q994" i="21"/>
  <c r="Q993" i="21"/>
  <c r="Q991" i="21"/>
  <c r="Q990" i="21"/>
  <c r="Q989" i="21"/>
  <c r="Q987" i="21"/>
  <c r="Q986" i="21"/>
  <c r="Q984" i="21"/>
  <c r="Q983" i="21"/>
  <c r="Q982" i="21"/>
  <c r="Q980" i="21"/>
  <c r="Q979" i="21"/>
  <c r="Q977" i="21"/>
  <c r="Q976" i="21"/>
  <c r="Q975" i="21"/>
  <c r="Q974" i="21"/>
  <c r="Q972" i="21"/>
  <c r="Q971" i="21"/>
  <c r="Q969" i="21"/>
  <c r="Q968" i="21"/>
  <c r="Q967" i="21"/>
  <c r="Q966" i="21"/>
  <c r="Q964" i="21"/>
  <c r="Q963" i="21"/>
  <c r="N1220" i="21"/>
  <c r="M1217" i="21"/>
  <c r="M1216" i="21" s="1"/>
  <c r="N1206" i="21"/>
  <c r="M1197" i="21"/>
  <c r="M1196" i="21" s="1"/>
  <c r="N1195" i="21"/>
  <c r="M1185" i="21"/>
  <c r="N1184" i="21"/>
  <c r="M1176" i="21"/>
  <c r="N1126" i="21"/>
  <c r="M1115" i="21"/>
  <c r="N1073" i="21"/>
  <c r="M1066" i="21"/>
  <c r="N1058" i="21"/>
  <c r="M1050" i="21"/>
  <c r="N1049" i="21"/>
  <c r="M1042" i="21"/>
  <c r="M1034" i="21"/>
  <c r="M1026" i="21"/>
  <c r="M1018" i="21"/>
  <c r="N1017" i="21"/>
  <c r="M1009" i="21"/>
  <c r="N1008" i="21"/>
  <c r="M1001" i="21"/>
  <c r="N1000" i="21"/>
  <c r="M992" i="21"/>
  <c r="N977" i="21"/>
  <c r="M970" i="21"/>
  <c r="N969" i="21"/>
  <c r="M962" i="21"/>
  <c r="J1256" i="21"/>
  <c r="J1255" i="21"/>
  <c r="J1254" i="21"/>
  <c r="J1253" i="21"/>
  <c r="J1252" i="21"/>
  <c r="J1251" i="21"/>
  <c r="I1250" i="21"/>
  <c r="Q1250" i="21" s="1"/>
  <c r="J1249" i="21"/>
  <c r="J1248" i="21"/>
  <c r="J1246" i="21"/>
  <c r="J1245" i="21"/>
  <c r="J1244" i="21"/>
  <c r="J1243" i="21"/>
  <c r="I1242" i="21"/>
  <c r="Q1242" i="21" s="1"/>
  <c r="J1241" i="21"/>
  <c r="J1240" i="21"/>
  <c r="J1239" i="21"/>
  <c r="J1238" i="21"/>
  <c r="J1237" i="21"/>
  <c r="J1236" i="21"/>
  <c r="J1235" i="21"/>
  <c r="I1234" i="21"/>
  <c r="I1231" i="21" s="1"/>
  <c r="J1233" i="21"/>
  <c r="J1232" i="21"/>
  <c r="J1228" i="21"/>
  <c r="J1227" i="21"/>
  <c r="J1226" i="21"/>
  <c r="J1225" i="21"/>
  <c r="J1223" i="21"/>
  <c r="I1222" i="21"/>
  <c r="J1219" i="21"/>
  <c r="I1218" i="21"/>
  <c r="I1217" i="21" s="1"/>
  <c r="J1215" i="21"/>
  <c r="J1214" i="21"/>
  <c r="J1213" i="21"/>
  <c r="J1212" i="21"/>
  <c r="J1211" i="21"/>
  <c r="I1210" i="21"/>
  <c r="Q1210" i="21" s="1"/>
  <c r="J1206" i="21"/>
  <c r="J1205" i="21"/>
  <c r="J1204" i="21"/>
  <c r="J1203" i="21"/>
  <c r="J1202" i="21"/>
  <c r="J1201" i="21"/>
  <c r="I1200" i="21"/>
  <c r="I1197" i="21" s="1"/>
  <c r="J1195" i="21"/>
  <c r="J1194" i="21"/>
  <c r="J1193" i="21"/>
  <c r="J1192" i="21"/>
  <c r="J1191" i="21"/>
  <c r="J1190" i="21"/>
  <c r="J1189" i="21"/>
  <c r="I1188" i="21"/>
  <c r="J1184" i="21"/>
  <c r="J1183" i="21"/>
  <c r="J1182" i="21"/>
  <c r="J1181" i="21"/>
  <c r="J1180" i="21"/>
  <c r="I1179" i="21"/>
  <c r="Q1179" i="21" s="1"/>
  <c r="J1174" i="21"/>
  <c r="J1173" i="21"/>
  <c r="J1172" i="21"/>
  <c r="J1171" i="21"/>
  <c r="J1170" i="21"/>
  <c r="I1169" i="21"/>
  <c r="J1165" i="21"/>
  <c r="J1164" i="21"/>
  <c r="J1163" i="21"/>
  <c r="J1162" i="21"/>
  <c r="J1161" i="21"/>
  <c r="I1160" i="21"/>
  <c r="Q1160" i="21" s="1"/>
  <c r="J1154" i="21"/>
  <c r="J1153" i="21"/>
  <c r="J1152" i="21"/>
  <c r="J1151" i="21"/>
  <c r="I1150" i="21"/>
  <c r="J1145" i="21"/>
  <c r="J1144" i="21"/>
  <c r="J1143" i="21"/>
  <c r="J1142" i="21"/>
  <c r="I1141" i="21"/>
  <c r="J1136" i="21"/>
  <c r="J1135" i="21"/>
  <c r="J1134" i="21"/>
  <c r="J1133" i="21"/>
  <c r="J1132" i="21"/>
  <c r="J1131" i="21"/>
  <c r="I1130" i="21"/>
  <c r="Q1130" i="21" s="1"/>
  <c r="J1126" i="21"/>
  <c r="J1125" i="21"/>
  <c r="J1124" i="21"/>
  <c r="J1123" i="21"/>
  <c r="J1122" i="21"/>
  <c r="J1121" i="21"/>
  <c r="J1120" i="21"/>
  <c r="I1119" i="21"/>
  <c r="J1114" i="21"/>
  <c r="J1113" i="21"/>
  <c r="J1112" i="21"/>
  <c r="J1111" i="21"/>
  <c r="J1110" i="21"/>
  <c r="I1109" i="21"/>
  <c r="I1106" i="21" s="1"/>
  <c r="J1105" i="21"/>
  <c r="J1104" i="21"/>
  <c r="J1103" i="21"/>
  <c r="J1102" i="21"/>
  <c r="J1101" i="21"/>
  <c r="I1100" i="21"/>
  <c r="Q1100" i="21" s="1"/>
  <c r="J1095" i="21"/>
  <c r="J1094" i="21"/>
  <c r="J1093" i="21"/>
  <c r="J1092" i="21"/>
  <c r="J1091" i="21"/>
  <c r="J1090" i="21"/>
  <c r="I1089" i="21"/>
  <c r="I1086" i="21" s="1"/>
  <c r="Q1086" i="21" s="1"/>
  <c r="J1085" i="21"/>
  <c r="J1084" i="21"/>
  <c r="J1083" i="21"/>
  <c r="J1082" i="21"/>
  <c r="J1081" i="21"/>
  <c r="J1080" i="21"/>
  <c r="I1079" i="21"/>
  <c r="Q1079" i="21" s="1"/>
  <c r="J1073" i="21"/>
  <c r="J1072" i="21"/>
  <c r="J1071" i="21"/>
  <c r="J1070" i="21"/>
  <c r="I1069" i="21"/>
  <c r="Q1069" i="21" s="1"/>
  <c r="J1065" i="21"/>
  <c r="J1064" i="21"/>
  <c r="J1063" i="21"/>
  <c r="J1062" i="21"/>
  <c r="I1061" i="21"/>
  <c r="Q1061" i="21" s="1"/>
  <c r="J1057" i="21"/>
  <c r="J1056" i="21"/>
  <c r="J1055" i="21"/>
  <c r="J1054" i="21"/>
  <c r="I1053" i="21"/>
  <c r="Q1053" i="21" s="1"/>
  <c r="J1049" i="21"/>
  <c r="J1048" i="21"/>
  <c r="J1047" i="21"/>
  <c r="J1046" i="21"/>
  <c r="I1045" i="21"/>
  <c r="Q1045" i="21" s="1"/>
  <c r="J1041" i="21"/>
  <c r="J1040" i="21"/>
  <c r="J1039" i="21"/>
  <c r="J1038" i="21"/>
  <c r="I1037" i="21"/>
  <c r="Q1037" i="21" s="1"/>
  <c r="J1032" i="21"/>
  <c r="J1031" i="21"/>
  <c r="I1029" i="21"/>
  <c r="I1026" i="21" s="1"/>
  <c r="J1025" i="21"/>
  <c r="J1024" i="21"/>
  <c r="J1023" i="21"/>
  <c r="J1022" i="21"/>
  <c r="I1021" i="21"/>
  <c r="I1018" i="21" s="1"/>
  <c r="J1017" i="21"/>
  <c r="J1016" i="21"/>
  <c r="J1015" i="21"/>
  <c r="J1014" i="21"/>
  <c r="J1013" i="21"/>
  <c r="I1012" i="21"/>
  <c r="Q1012" i="21" s="1"/>
  <c r="J1008" i="21"/>
  <c r="J1007" i="21"/>
  <c r="J1006" i="21"/>
  <c r="J1005" i="21"/>
  <c r="I1004" i="21"/>
  <c r="Q1004" i="21" s="1"/>
  <c r="J998" i="21"/>
  <c r="J997" i="21"/>
  <c r="J996" i="21"/>
  <c r="I995" i="21"/>
  <c r="Q995" i="21" s="1"/>
  <c r="J991" i="21"/>
  <c r="J990" i="21"/>
  <c r="J989" i="21"/>
  <c r="I988" i="21"/>
  <c r="J984" i="21"/>
  <c r="J983" i="21"/>
  <c r="J982" i="21"/>
  <c r="I981" i="21"/>
  <c r="Q981" i="21" s="1"/>
  <c r="J977" i="21"/>
  <c r="J976" i="21"/>
  <c r="J975" i="21"/>
  <c r="J974" i="21"/>
  <c r="I973" i="21"/>
  <c r="Q973" i="21" s="1"/>
  <c r="J969" i="21"/>
  <c r="J968" i="21"/>
  <c r="J967" i="21"/>
  <c r="J966" i="21"/>
  <c r="I965" i="21"/>
  <c r="Q958" i="21"/>
  <c r="Q957" i="21"/>
  <c r="Q955" i="21"/>
  <c r="Q954" i="21"/>
  <c r="Q953" i="21"/>
  <c r="Q952" i="21"/>
  <c r="Q951" i="21"/>
  <c r="Q950" i="21"/>
  <c r="Q948" i="21"/>
  <c r="Q947" i="21"/>
  <c r="Q945" i="21"/>
  <c r="Q944" i="21"/>
  <c r="Q943" i="21"/>
  <c r="Q942" i="21"/>
  <c r="Q941" i="21"/>
  <c r="Q940" i="21"/>
  <c r="Q939" i="21"/>
  <c r="Q937" i="21"/>
  <c r="Q936" i="21"/>
  <c r="Q933" i="21"/>
  <c r="Q932" i="21"/>
  <c r="Q931" i="21"/>
  <c r="Q930" i="21"/>
  <c r="Q928" i="21"/>
  <c r="Q927" i="21"/>
  <c r="Q926" i="21"/>
  <c r="Q925" i="21"/>
  <c r="Q923" i="21"/>
  <c r="Q922" i="21"/>
  <c r="Q920" i="21"/>
  <c r="Q919" i="21"/>
  <c r="Q918" i="21"/>
  <c r="Q917" i="21"/>
  <c r="Q915" i="21"/>
  <c r="Q914" i="21"/>
  <c r="Q912" i="21"/>
  <c r="Q911" i="21"/>
  <c r="Q910" i="21"/>
  <c r="Q909" i="21"/>
  <c r="Q907" i="21"/>
  <c r="Q906" i="21"/>
  <c r="Q904" i="21"/>
  <c r="Q903" i="21"/>
  <c r="Q902" i="21"/>
  <c r="Q900" i="21"/>
  <c r="Q899" i="21"/>
  <c r="Q897" i="21"/>
  <c r="Q896" i="21"/>
  <c r="Q895" i="21"/>
  <c r="Q894" i="21"/>
  <c r="Q892" i="21"/>
  <c r="Q891" i="21"/>
  <c r="Q889" i="21"/>
  <c r="Q888" i="21"/>
  <c r="Q887" i="21"/>
  <c r="Q886" i="21"/>
  <c r="Q884" i="21"/>
  <c r="Q883" i="21"/>
  <c r="Q881" i="21"/>
  <c r="Q880" i="21"/>
  <c r="Q879" i="21"/>
  <c r="Q878" i="21"/>
  <c r="Q876" i="21"/>
  <c r="Q875" i="21"/>
  <c r="Q873" i="21"/>
  <c r="Q872" i="21"/>
  <c r="Q871" i="21"/>
  <c r="Q870" i="21"/>
  <c r="Q868" i="21"/>
  <c r="Q867" i="21"/>
  <c r="Q865" i="21"/>
  <c r="Q864" i="21"/>
  <c r="Q863" i="21"/>
  <c r="Q861" i="21"/>
  <c r="Q860" i="21"/>
  <c r="J958" i="21"/>
  <c r="J957" i="21"/>
  <c r="J955" i="21"/>
  <c r="J953" i="21"/>
  <c r="J952" i="21"/>
  <c r="J951" i="21"/>
  <c r="J950" i="21"/>
  <c r="I949" i="21"/>
  <c r="I946" i="21" s="1"/>
  <c r="J945" i="21"/>
  <c r="J944" i="21"/>
  <c r="J943" i="21"/>
  <c r="J942" i="21"/>
  <c r="J941" i="21"/>
  <c r="J940" i="21"/>
  <c r="J939" i="21"/>
  <c r="I938" i="21"/>
  <c r="J933" i="21"/>
  <c r="J932" i="21"/>
  <c r="J931" i="21"/>
  <c r="J930" i="21"/>
  <c r="J928" i="21"/>
  <c r="J927" i="21"/>
  <c r="J926" i="21"/>
  <c r="J925" i="21"/>
  <c r="I924" i="21"/>
  <c r="J920" i="21"/>
  <c r="J919" i="21"/>
  <c r="J918" i="21"/>
  <c r="J917" i="21"/>
  <c r="I916" i="21"/>
  <c r="J912" i="21"/>
  <c r="J911" i="21"/>
  <c r="J910" i="21"/>
  <c r="J909" i="21"/>
  <c r="I908" i="21"/>
  <c r="J904" i="21"/>
  <c r="J903" i="21"/>
  <c r="J902" i="21"/>
  <c r="I901" i="21"/>
  <c r="I898" i="21" s="1"/>
  <c r="J897" i="21"/>
  <c r="J896" i="21"/>
  <c r="J895" i="21"/>
  <c r="J894" i="21"/>
  <c r="I893" i="21"/>
  <c r="I890" i="21" s="1"/>
  <c r="J889" i="21"/>
  <c r="J888" i="21"/>
  <c r="J887" i="21"/>
  <c r="J886" i="21"/>
  <c r="I885" i="21"/>
  <c r="Q885" i="21" s="1"/>
  <c r="J881" i="21"/>
  <c r="J880" i="21"/>
  <c r="J879" i="21"/>
  <c r="J878" i="21"/>
  <c r="I877" i="21"/>
  <c r="I874" i="21" s="1"/>
  <c r="J873" i="21"/>
  <c r="J872" i="21"/>
  <c r="J871" i="21"/>
  <c r="J870" i="21"/>
  <c r="I869" i="21"/>
  <c r="Q869" i="21" s="1"/>
  <c r="J865" i="21"/>
  <c r="J864" i="21"/>
  <c r="J863" i="21"/>
  <c r="I862" i="21"/>
  <c r="I859" i="21" s="1"/>
  <c r="Q856" i="21"/>
  <c r="Q855" i="21"/>
  <c r="Q854" i="21"/>
  <c r="Q853" i="21"/>
  <c r="Q852" i="21"/>
  <c r="Q851" i="21"/>
  <c r="Q849" i="21"/>
  <c r="Q848" i="21"/>
  <c r="Q846" i="21"/>
  <c r="Q845" i="21"/>
  <c r="Q844" i="21"/>
  <c r="Q843" i="21"/>
  <c r="Q842" i="21"/>
  <c r="Q841" i="21"/>
  <c r="Q839" i="21"/>
  <c r="Q838" i="21"/>
  <c r="Q835" i="21"/>
  <c r="Q834" i="21"/>
  <c r="Q833" i="21"/>
  <c r="Q832" i="21"/>
  <c r="Q831" i="21"/>
  <c r="Q830" i="21"/>
  <c r="Q829" i="21"/>
  <c r="Q827" i="21"/>
  <c r="Q826" i="21"/>
  <c r="Q824" i="21"/>
  <c r="Q823" i="21"/>
  <c r="Q822" i="21"/>
  <c r="Q821" i="21"/>
  <c r="Q820" i="21"/>
  <c r="Q819" i="21"/>
  <c r="Q817" i="21"/>
  <c r="Q816" i="21"/>
  <c r="Q813" i="21"/>
  <c r="Q812" i="21"/>
  <c r="Q811" i="21"/>
  <c r="Q810" i="21"/>
  <c r="Q809" i="21"/>
  <c r="Q808" i="21"/>
  <c r="Q807" i="21"/>
  <c r="Q806" i="21"/>
  <c r="Q804" i="21"/>
  <c r="Q803" i="21"/>
  <c r="Q801" i="21"/>
  <c r="Q800" i="21"/>
  <c r="Q799" i="21"/>
  <c r="Q798" i="21"/>
  <c r="Q797" i="21"/>
  <c r="Q796" i="21"/>
  <c r="Q794" i="21"/>
  <c r="Q793" i="21"/>
  <c r="Q790" i="21"/>
  <c r="Q788" i="21"/>
  <c r="Q787" i="21"/>
  <c r="Q786" i="21"/>
  <c r="Q785" i="21"/>
  <c r="Q784" i="21"/>
  <c r="Q783" i="21"/>
  <c r="Q782" i="21"/>
  <c r="Q780" i="21"/>
  <c r="Q779" i="21"/>
  <c r="Q777" i="21"/>
  <c r="Q776" i="21"/>
  <c r="Q775" i="21"/>
  <c r="Q774" i="21"/>
  <c r="Q773" i="21"/>
  <c r="Q772" i="21"/>
  <c r="Q770" i="21"/>
  <c r="Q769" i="21"/>
  <c r="Q766" i="21"/>
  <c r="Q765" i="21"/>
  <c r="Q764" i="21"/>
  <c r="Q763" i="21"/>
  <c r="Q762" i="21"/>
  <c r="Q761" i="21"/>
  <c r="Q760" i="21"/>
  <c r="Q759" i="21"/>
  <c r="Q757" i="21"/>
  <c r="Q756" i="21"/>
  <c r="Q754" i="21"/>
  <c r="Q753" i="21"/>
  <c r="Q752" i="21"/>
  <c r="Q751" i="21"/>
  <c r="Q750" i="21"/>
  <c r="Q749" i="21"/>
  <c r="Q748" i="21"/>
  <c r="Q747" i="21"/>
  <c r="Q745" i="21"/>
  <c r="Q744" i="21"/>
  <c r="Q740" i="21"/>
  <c r="Q739" i="21"/>
  <c r="Q738" i="21"/>
  <c r="Q737" i="21"/>
  <c r="Q736" i="21"/>
  <c r="Q735" i="21"/>
  <c r="Q734" i="21"/>
  <c r="Q733" i="21"/>
  <c r="Q732" i="21"/>
  <c r="Q730" i="21"/>
  <c r="Q729" i="21"/>
  <c r="Q727" i="21"/>
  <c r="Q726" i="21"/>
  <c r="Q725" i="21"/>
  <c r="Q724" i="21"/>
  <c r="Q723" i="21"/>
  <c r="Q722" i="21"/>
  <c r="Q721" i="21"/>
  <c r="Q720" i="21"/>
  <c r="Q718" i="21"/>
  <c r="Q717" i="21"/>
  <c r="Q714" i="21"/>
  <c r="Q713" i="21"/>
  <c r="Q712" i="21"/>
  <c r="Q711" i="21"/>
  <c r="Q710" i="21"/>
  <c r="Q709" i="21"/>
  <c r="Q708" i="21"/>
  <c r="Q707" i="21"/>
  <c r="Q705" i="21"/>
  <c r="Q704" i="21"/>
  <c r="Q702" i="21"/>
  <c r="Q701" i="21"/>
  <c r="Q700" i="21"/>
  <c r="Q699" i="21"/>
  <c r="Q698" i="21"/>
  <c r="Q697" i="21"/>
  <c r="Q695" i="21"/>
  <c r="Q694" i="21"/>
  <c r="Q691" i="21"/>
  <c r="Q690" i="21"/>
  <c r="Q689" i="21"/>
  <c r="Q688" i="21"/>
  <c r="Q687" i="21"/>
  <c r="Q686" i="21"/>
  <c r="Q685" i="21"/>
  <c r="Q684" i="21"/>
  <c r="Q682" i="21"/>
  <c r="Q681" i="21"/>
  <c r="Q679" i="21"/>
  <c r="Q678" i="21"/>
  <c r="Q677" i="21"/>
  <c r="Q676" i="21"/>
  <c r="Q675" i="21"/>
  <c r="Q674" i="21"/>
  <c r="Q673" i="21"/>
  <c r="Q671" i="21"/>
  <c r="Q670" i="21"/>
  <c r="Q667" i="21"/>
  <c r="Q666" i="21"/>
  <c r="Q665" i="21"/>
  <c r="Q664" i="21"/>
  <c r="Q663" i="21"/>
  <c r="Q661" i="21"/>
  <c r="Q660" i="21"/>
  <c r="I1671" i="21" l="1"/>
  <c r="Q965" i="21"/>
  <c r="I1157" i="21"/>
  <c r="Q1157" i="21" s="1"/>
  <c r="I1050" i="21"/>
  <c r="Q1050" i="21" s="1"/>
  <c r="I1076" i="21"/>
  <c r="I1075" i="21" s="1"/>
  <c r="Q1075" i="21" s="1"/>
  <c r="Q1141" i="21"/>
  <c r="I1138" i="21"/>
  <c r="Q1138" i="21" s="1"/>
  <c r="I1147" i="21"/>
  <c r="Q1147" i="21" s="1"/>
  <c r="M1730" i="21"/>
  <c r="M1728" i="21" s="1"/>
  <c r="I1207" i="21"/>
  <c r="Q1207" i="21" s="1"/>
  <c r="I1009" i="21"/>
  <c r="Q1009" i="21" s="1"/>
  <c r="I1034" i="21"/>
  <c r="Q1034" i="21" s="1"/>
  <c r="I978" i="21"/>
  <c r="Q978" i="21" s="1"/>
  <c r="I1397" i="21"/>
  <c r="Q1397" i="21" s="1"/>
  <c r="I962" i="21"/>
  <c r="Q962" i="21" s="1"/>
  <c r="I992" i="21"/>
  <c r="Q992" i="21" s="1"/>
  <c r="I1042" i="21"/>
  <c r="Q1042" i="21" s="1"/>
  <c r="I1058" i="21"/>
  <c r="Q1058" i="21" s="1"/>
  <c r="I1127" i="21"/>
  <c r="Q1127" i="21" s="1"/>
  <c r="Q1217" i="21"/>
  <c r="I1247" i="21"/>
  <c r="Q1247" i="21" s="1"/>
  <c r="Q1317" i="21"/>
  <c r="M1496" i="21"/>
  <c r="M1461" i="21" s="1"/>
  <c r="I1698" i="21"/>
  <c r="Q1698" i="21" s="1"/>
  <c r="Q1699" i="21"/>
  <c r="Q1599" i="21"/>
  <c r="I1598" i="21"/>
  <c r="Q1598" i="21" s="1"/>
  <c r="I1066" i="21"/>
  <c r="Q1066" i="21" s="1"/>
  <c r="I1176" i="21"/>
  <c r="Q1176" i="21" s="1"/>
  <c r="I970" i="21"/>
  <c r="Q970" i="21" s="1"/>
  <c r="I1001" i="21"/>
  <c r="Q1001" i="21" s="1"/>
  <c r="Q1630" i="21"/>
  <c r="Q1197" i="21"/>
  <c r="Q898" i="21"/>
  <c r="Q946" i="21"/>
  <c r="Q859" i="21"/>
  <c r="Q924" i="21"/>
  <c r="I921" i="21"/>
  <c r="Q1026" i="21"/>
  <c r="Q1106" i="21"/>
  <c r="I1096" i="21"/>
  <c r="Q1188" i="21"/>
  <c r="I1185" i="21"/>
  <c r="Q916" i="21"/>
  <c r="I913" i="21"/>
  <c r="Q1385" i="21"/>
  <c r="I1383" i="21"/>
  <c r="I866" i="21"/>
  <c r="I882" i="21"/>
  <c r="Q938" i="21"/>
  <c r="I935" i="21"/>
  <c r="Q862" i="21"/>
  <c r="Q1109" i="21"/>
  <c r="Q1150" i="21"/>
  <c r="Q1200" i="21"/>
  <c r="Q1231" i="21"/>
  <c r="Q901" i="21"/>
  <c r="Q908" i="21"/>
  <c r="I905" i="21"/>
  <c r="Q949" i="21"/>
  <c r="Q1018" i="21"/>
  <c r="Q1169" i="21"/>
  <c r="I1166" i="21"/>
  <c r="Q1089" i="21"/>
  <c r="Q874" i="21"/>
  <c r="Q877" i="21"/>
  <c r="Q890" i="21"/>
  <c r="Q893" i="21"/>
  <c r="I985" i="21"/>
  <c r="Q1119" i="21"/>
  <c r="Q1021" i="21"/>
  <c r="Q1029" i="21"/>
  <c r="I1116" i="21"/>
  <c r="Q988" i="21"/>
  <c r="Q1218" i="21"/>
  <c r="Q1234" i="21"/>
  <c r="I1330" i="21"/>
  <c r="Q1330" i="21" s="1"/>
  <c r="Q1333" i="21"/>
  <c r="Q1503" i="21"/>
  <c r="Q1507" i="21"/>
  <c r="Q1577" i="21"/>
  <c r="I1574" i="21"/>
  <c r="I1690" i="21"/>
  <c r="I1221" i="21"/>
  <c r="I1216" i="21" s="1"/>
  <c r="Q1222" i="21"/>
  <c r="Q1306" i="21"/>
  <c r="I1347" i="21"/>
  <c r="Q1320" i="21"/>
  <c r="Q1693" i="21"/>
  <c r="H13" i="15"/>
  <c r="I1412" i="21"/>
  <c r="Q1466" i="21"/>
  <c r="Q1528" i="21"/>
  <c r="Q1463" i="21"/>
  <c r="Q1482" i="21"/>
  <c r="Q1520" i="21"/>
  <c r="I1517" i="21"/>
  <c r="M1382" i="21"/>
  <c r="Q1497" i="21"/>
  <c r="Q1485" i="21"/>
  <c r="I1608" i="21"/>
  <c r="Q1608" i="21" s="1"/>
  <c r="Q1609" i="21"/>
  <c r="Q1589" i="21"/>
  <c r="Q1602" i="21"/>
  <c r="Q1731" i="21"/>
  <c r="Q1735" i="21"/>
  <c r="Q1739" i="21"/>
  <c r="H16" i="15"/>
  <c r="Q1655" i="21"/>
  <c r="Q1671" i="21"/>
  <c r="Q1702" i="21"/>
  <c r="I1640" i="21"/>
  <c r="Q1585" i="21"/>
  <c r="I1730" i="21"/>
  <c r="Q1730" i="21" s="1"/>
  <c r="I1670" i="21"/>
  <c r="I1651" i="21"/>
  <c r="I1626" i="21"/>
  <c r="I1525" i="21"/>
  <c r="Q1525" i="21" s="1"/>
  <c r="I1496" i="21"/>
  <c r="I1474" i="21"/>
  <c r="I1462" i="21" s="1"/>
  <c r="M1316" i="21"/>
  <c r="I1364" i="21"/>
  <c r="Q1364" i="21" s="1"/>
  <c r="M1175" i="21"/>
  <c r="M961" i="21"/>
  <c r="N790" i="21"/>
  <c r="M778" i="21"/>
  <c r="M767" i="21" s="1"/>
  <c r="M728" i="21"/>
  <c r="N727" i="21"/>
  <c r="M716" i="21"/>
  <c r="J855" i="21"/>
  <c r="J854" i="21"/>
  <c r="J851" i="21"/>
  <c r="I850" i="21"/>
  <c r="I847" i="21" s="1"/>
  <c r="J845" i="21"/>
  <c r="J844" i="21"/>
  <c r="J841" i="21"/>
  <c r="I840" i="21"/>
  <c r="I837" i="21" s="1"/>
  <c r="J835" i="21"/>
  <c r="J834" i="21"/>
  <c r="J831" i="21"/>
  <c r="J829" i="21"/>
  <c r="I828" i="21"/>
  <c r="Q828" i="21" s="1"/>
  <c r="J824" i="21"/>
  <c r="J821" i="21"/>
  <c r="J819" i="21"/>
  <c r="I818" i="21"/>
  <c r="Q818" i="21" s="1"/>
  <c r="J813" i="21"/>
  <c r="J812" i="21"/>
  <c r="J810" i="21"/>
  <c r="J807" i="21"/>
  <c r="J806" i="21"/>
  <c r="I805" i="21"/>
  <c r="Q805" i="21" s="1"/>
  <c r="J801" i="21"/>
  <c r="J800" i="21"/>
  <c r="J797" i="21"/>
  <c r="J796" i="21"/>
  <c r="I795" i="21"/>
  <c r="Q795" i="21" s="1"/>
  <c r="J790" i="21"/>
  <c r="J788" i="21"/>
  <c r="J787" i="21"/>
  <c r="J786" i="21"/>
  <c r="J784" i="21"/>
  <c r="J783" i="21"/>
  <c r="J782" i="21"/>
  <c r="I781" i="21"/>
  <c r="Q781" i="21" s="1"/>
  <c r="J777" i="21"/>
  <c r="J776" i="21"/>
  <c r="J774" i="21"/>
  <c r="J773" i="21"/>
  <c r="J772" i="21"/>
  <c r="I771" i="21"/>
  <c r="Q771" i="21" s="1"/>
  <c r="J765" i="21"/>
  <c r="J764" i="21"/>
  <c r="J762" i="21"/>
  <c r="J761" i="21"/>
  <c r="J760" i="21"/>
  <c r="J759" i="21"/>
  <c r="I758" i="21"/>
  <c r="I755" i="21" s="1"/>
  <c r="J753" i="21"/>
  <c r="J752" i="21"/>
  <c r="J750" i="21"/>
  <c r="J749" i="21"/>
  <c r="J748" i="21"/>
  <c r="J747" i="21"/>
  <c r="I746" i="21"/>
  <c r="I743" i="21" s="1"/>
  <c r="J740" i="21"/>
  <c r="J739" i="21"/>
  <c r="J738" i="21"/>
  <c r="J737" i="21"/>
  <c r="J736" i="21"/>
  <c r="J735" i="21"/>
  <c r="J733" i="21"/>
  <c r="J732" i="21"/>
  <c r="I731" i="21"/>
  <c r="Q731" i="21" s="1"/>
  <c r="J727" i="21"/>
  <c r="J726" i="21"/>
  <c r="J725" i="21"/>
  <c r="J724" i="21"/>
  <c r="J723" i="21"/>
  <c r="J721" i="21"/>
  <c r="J720" i="21"/>
  <c r="I719" i="21"/>
  <c r="J713" i="21"/>
  <c r="J712" i="21"/>
  <c r="J711" i="21"/>
  <c r="J710" i="21"/>
  <c r="J709" i="21"/>
  <c r="J707" i="21"/>
  <c r="I706" i="21"/>
  <c r="I703" i="21" s="1"/>
  <c r="J701" i="21"/>
  <c r="J700" i="21"/>
  <c r="J699" i="21"/>
  <c r="J697" i="21"/>
  <c r="I696" i="21"/>
  <c r="J690" i="21"/>
  <c r="J689" i="21"/>
  <c r="J687" i="21"/>
  <c r="J686" i="21"/>
  <c r="J685" i="21"/>
  <c r="J684" i="21"/>
  <c r="I683" i="21"/>
  <c r="I680" i="21" s="1"/>
  <c r="J678" i="21"/>
  <c r="J676" i="21"/>
  <c r="J675" i="21"/>
  <c r="J674" i="21"/>
  <c r="J673" i="21"/>
  <c r="I672" i="21"/>
  <c r="I669" i="21" s="1"/>
  <c r="J667" i="21"/>
  <c r="J666" i="21"/>
  <c r="J665" i="21"/>
  <c r="J664" i="21"/>
  <c r="I662" i="21"/>
  <c r="I659" i="21" s="1"/>
  <c r="Q659" i="21" s="1"/>
  <c r="Q655" i="21"/>
  <c r="Q654" i="21"/>
  <c r="Q653" i="21"/>
  <c r="Q651" i="21"/>
  <c r="Q649" i="21"/>
  <c r="Q648" i="21"/>
  <c r="Q647" i="21"/>
  <c r="Q646" i="21"/>
  <c r="Q645" i="21"/>
  <c r="Q644" i="21"/>
  <c r="Q642" i="21"/>
  <c r="Q641" i="21"/>
  <c r="Q639" i="21"/>
  <c r="Q638" i="21"/>
  <c r="Q637" i="21"/>
  <c r="Q636" i="21"/>
  <c r="Q635" i="21"/>
  <c r="Q633" i="21"/>
  <c r="Q632" i="21"/>
  <c r="Q630" i="21"/>
  <c r="Q629" i="21"/>
  <c r="Q628" i="21"/>
  <c r="Q627" i="21"/>
  <c r="Q626" i="21"/>
  <c r="Q625" i="21"/>
  <c r="Q623" i="21"/>
  <c r="Q622" i="21"/>
  <c r="Q620" i="21"/>
  <c r="Q619" i="21"/>
  <c r="Q618" i="21"/>
  <c r="Q617" i="21"/>
  <c r="Q615" i="21"/>
  <c r="Q614" i="21"/>
  <c r="Q612" i="21"/>
  <c r="Q611" i="21"/>
  <c r="Q610" i="21"/>
  <c r="Q608" i="21"/>
  <c r="Q607" i="21"/>
  <c r="Q605" i="21"/>
  <c r="Q604" i="21"/>
  <c r="Q603" i="21"/>
  <c r="Q602" i="21"/>
  <c r="Q601" i="21"/>
  <c r="Q600" i="21"/>
  <c r="Q598" i="21"/>
  <c r="Q597" i="21"/>
  <c r="Q595" i="21"/>
  <c r="Q594" i="21"/>
  <c r="Q593" i="21"/>
  <c r="Q592" i="21"/>
  <c r="Q591" i="21"/>
  <c r="Q590" i="21"/>
  <c r="Q588" i="21"/>
  <c r="Q587" i="21"/>
  <c r="Q585" i="21"/>
  <c r="Q584" i="21"/>
  <c r="Q583" i="21"/>
  <c r="Q582" i="21"/>
  <c r="Q581" i="21"/>
  <c r="Q580" i="21"/>
  <c r="Q578" i="21"/>
  <c r="Q577" i="21"/>
  <c r="Q575" i="21"/>
  <c r="Q574" i="21"/>
  <c r="Q573" i="21"/>
  <c r="Q572" i="21"/>
  <c r="Q571" i="21"/>
  <c r="Q570" i="21"/>
  <c r="Q569" i="21"/>
  <c r="Q567" i="21"/>
  <c r="Q566" i="21"/>
  <c r="Q564" i="21"/>
  <c r="Q563" i="21"/>
  <c r="Q562" i="21"/>
  <c r="Q561" i="21"/>
  <c r="Q560" i="21"/>
  <c r="Q559" i="21"/>
  <c r="Q557" i="21"/>
  <c r="Q556" i="21"/>
  <c r="Q554" i="21"/>
  <c r="Q553" i="21"/>
  <c r="Q552" i="21"/>
  <c r="Q551" i="21"/>
  <c r="Q549" i="21"/>
  <c r="Q548" i="21"/>
  <c r="Q546" i="21"/>
  <c r="Q545" i="21"/>
  <c r="Q544" i="21"/>
  <c r="Q542" i="21"/>
  <c r="Q541" i="21"/>
  <c r="Q539" i="21"/>
  <c r="Q538" i="21"/>
  <c r="Q536" i="21"/>
  <c r="Q535" i="21"/>
  <c r="Q534" i="21"/>
  <c r="Q533" i="21"/>
  <c r="Q532" i="21"/>
  <c r="Q530" i="21"/>
  <c r="Q529" i="21"/>
  <c r="Q527" i="21"/>
  <c r="Q526" i="21"/>
  <c r="Q525" i="21"/>
  <c r="Q523" i="21"/>
  <c r="Q522" i="21"/>
  <c r="Q519" i="21"/>
  <c r="Q518" i="21"/>
  <c r="Q517" i="21"/>
  <c r="Q516" i="21"/>
  <c r="Q515" i="21"/>
  <c r="Q513" i="21"/>
  <c r="Q512" i="21"/>
  <c r="Q510" i="21"/>
  <c r="Q509" i="21"/>
  <c r="Q508" i="21"/>
  <c r="Q507" i="21"/>
  <c r="Q505" i="21"/>
  <c r="Q504" i="21"/>
  <c r="M596" i="21"/>
  <c r="M586" i="21"/>
  <c r="N585" i="21"/>
  <c r="M576" i="21"/>
  <c r="N574" i="21"/>
  <c r="M565" i="21"/>
  <c r="J655" i="21"/>
  <c r="J654" i="21"/>
  <c r="J653" i="21"/>
  <c r="J649" i="21"/>
  <c r="J648" i="21"/>
  <c r="J647" i="21"/>
  <c r="J646" i="21"/>
  <c r="J645" i="21"/>
  <c r="J644" i="21"/>
  <c r="I643" i="21"/>
  <c r="J639" i="21"/>
  <c r="J638" i="21"/>
  <c r="J637" i="21"/>
  <c r="J636" i="21"/>
  <c r="I634" i="21"/>
  <c r="Q634" i="21" s="1"/>
  <c r="J630" i="21"/>
  <c r="J629" i="21"/>
  <c r="J628" i="21"/>
  <c r="J627" i="21"/>
  <c r="J625" i="21"/>
  <c r="I624" i="21"/>
  <c r="J620" i="21"/>
  <c r="J619" i="21"/>
  <c r="J618" i="21"/>
  <c r="J617" i="21"/>
  <c r="I616" i="21"/>
  <c r="I613" i="21" s="1"/>
  <c r="J612" i="21"/>
  <c r="J611" i="21"/>
  <c r="J610" i="21"/>
  <c r="I609" i="21"/>
  <c r="J605" i="21"/>
  <c r="J604" i="21"/>
  <c r="J603" i="21"/>
  <c r="J602" i="21"/>
  <c r="J601" i="21"/>
  <c r="J600" i="21"/>
  <c r="I599" i="21"/>
  <c r="Q599" i="21" s="1"/>
  <c r="J595" i="21"/>
  <c r="J594" i="21"/>
  <c r="J593" i="21"/>
  <c r="J592" i="21"/>
  <c r="J591" i="21"/>
  <c r="J590" i="21"/>
  <c r="I589" i="21"/>
  <c r="J585" i="21"/>
  <c r="J584" i="21"/>
  <c r="J583" i="21"/>
  <c r="J582" i="21"/>
  <c r="J581" i="21"/>
  <c r="J580" i="21"/>
  <c r="I579" i="21"/>
  <c r="I576" i="21" s="1"/>
  <c r="J574" i="21"/>
  <c r="J573" i="21"/>
  <c r="J572" i="21"/>
  <c r="J571" i="21"/>
  <c r="J569" i="21"/>
  <c r="I568" i="21"/>
  <c r="J564" i="21"/>
  <c r="J563" i="21"/>
  <c r="J562" i="21"/>
  <c r="J561" i="21"/>
  <c r="J560" i="21"/>
  <c r="J559" i="21"/>
  <c r="I558" i="21"/>
  <c r="I555" i="21" s="1"/>
  <c r="Q555" i="21" s="1"/>
  <c r="J554" i="21"/>
  <c r="J553" i="21"/>
  <c r="J551" i="21"/>
  <c r="I550" i="21"/>
  <c r="Q550" i="21" s="1"/>
  <c r="J546" i="21"/>
  <c r="J545" i="21"/>
  <c r="J544" i="21"/>
  <c r="J542" i="21"/>
  <c r="J541" i="21"/>
  <c r="I540" i="21"/>
  <c r="Q540" i="21" s="1"/>
  <c r="J536" i="21"/>
  <c r="J535" i="21"/>
  <c r="J534" i="21"/>
  <c r="J533" i="21"/>
  <c r="J532" i="21"/>
  <c r="I531" i="21"/>
  <c r="I528" i="21" s="1"/>
  <c r="Q528" i="21" s="1"/>
  <c r="J527" i="21"/>
  <c r="J526" i="21"/>
  <c r="J525" i="21"/>
  <c r="I524" i="21"/>
  <c r="Q524" i="21" s="1"/>
  <c r="J519" i="21"/>
  <c r="J518" i="21"/>
  <c r="J517" i="21"/>
  <c r="J516" i="21"/>
  <c r="J515" i="21"/>
  <c r="I514" i="21"/>
  <c r="Q514" i="21" s="1"/>
  <c r="J510" i="21"/>
  <c r="J509" i="21"/>
  <c r="J508" i="21"/>
  <c r="J507" i="21"/>
  <c r="I506" i="21"/>
  <c r="Q454" i="21"/>
  <c r="Q453" i="21"/>
  <c r="Q452" i="21"/>
  <c r="Q451" i="21"/>
  <c r="Q450" i="21"/>
  <c r="Q449" i="21"/>
  <c r="Q448" i="21"/>
  <c r="Q447" i="21"/>
  <c r="Q446" i="21"/>
  <c r="Q445" i="21"/>
  <c r="Q444" i="21"/>
  <c r="Q442" i="21"/>
  <c r="Q441" i="21"/>
  <c r="Q440" i="21"/>
  <c r="Q439" i="21"/>
  <c r="Q438" i="21"/>
  <c r="Q437" i="21"/>
  <c r="Q436" i="21"/>
  <c r="Q435" i="21"/>
  <c r="Q434" i="21"/>
  <c r="Q433" i="21"/>
  <c r="Q432" i="21"/>
  <c r="Q431" i="21"/>
  <c r="Q430" i="21"/>
  <c r="Q429" i="21"/>
  <c r="Q428" i="21"/>
  <c r="Q427" i="21"/>
  <c r="Q426" i="21"/>
  <c r="Q425" i="21"/>
  <c r="Q424" i="21"/>
  <c r="Q423" i="21"/>
  <c r="Q422" i="21"/>
  <c r="Q421" i="21"/>
  <c r="Q420" i="21"/>
  <c r="Q419" i="21"/>
  <c r="Q418" i="21"/>
  <c r="Q417" i="21"/>
  <c r="Q416" i="21"/>
  <c r="Q415" i="21"/>
  <c r="Q414" i="21"/>
  <c r="Q413" i="21"/>
  <c r="Q412" i="21"/>
  <c r="Q411" i="21"/>
  <c r="Q410" i="21"/>
  <c r="Q408" i="21"/>
  <c r="Q407" i="21"/>
  <c r="Q405" i="21"/>
  <c r="Q404" i="21"/>
  <c r="Q403" i="21"/>
  <c r="Q402" i="21"/>
  <c r="Q400" i="21"/>
  <c r="Q399" i="21"/>
  <c r="Q397" i="21"/>
  <c r="Q396" i="21"/>
  <c r="Q395" i="21"/>
  <c r="Q394" i="21"/>
  <c r="Q392" i="21"/>
  <c r="Q391" i="21"/>
  <c r="Q390" i="21"/>
  <c r="N454" i="21"/>
  <c r="N453" i="21"/>
  <c r="N451" i="21"/>
  <c r="N450" i="21"/>
  <c r="N449" i="21"/>
  <c r="N448" i="21"/>
  <c r="N447" i="21"/>
  <c r="N446" i="21"/>
  <c r="N445" i="21"/>
  <c r="N442" i="21"/>
  <c r="N441" i="21"/>
  <c r="N440" i="21"/>
  <c r="N438" i="21"/>
  <c r="N436" i="21"/>
  <c r="N435" i="21"/>
  <c r="N432" i="21"/>
  <c r="N431" i="21"/>
  <c r="N429" i="21"/>
  <c r="N428" i="21"/>
  <c r="N426" i="21"/>
  <c r="N425" i="21"/>
  <c r="N424" i="21"/>
  <c r="N422" i="21"/>
  <c r="N421" i="21"/>
  <c r="N419" i="21"/>
  <c r="N418" i="21"/>
  <c r="N414" i="21"/>
  <c r="N413" i="21"/>
  <c r="N411" i="21"/>
  <c r="M409" i="21"/>
  <c r="N408" i="21"/>
  <c r="M393" i="21"/>
  <c r="J405" i="21"/>
  <c r="J404" i="21"/>
  <c r="J403" i="21"/>
  <c r="J402" i="21"/>
  <c r="I401" i="21"/>
  <c r="Q401" i="21" s="1"/>
  <c r="J400" i="21"/>
  <c r="J399" i="21"/>
  <c r="J396" i="21"/>
  <c r="J395" i="21"/>
  <c r="I389" i="21"/>
  <c r="Q374" i="21"/>
  <c r="Q373" i="21"/>
  <c r="Q372" i="21"/>
  <c r="Q371" i="21"/>
  <c r="Q370" i="21"/>
  <c r="Q369" i="21"/>
  <c r="Q368" i="21"/>
  <c r="Q366" i="21"/>
  <c r="Q364" i="21"/>
  <c r="Q363" i="21"/>
  <c r="Q360" i="21"/>
  <c r="Q358" i="21"/>
  <c r="Q357" i="21"/>
  <c r="Q356" i="21"/>
  <c r="Q355" i="21"/>
  <c r="Q353" i="21"/>
  <c r="Q352" i="21"/>
  <c r="Q350" i="21"/>
  <c r="Q349" i="21"/>
  <c r="Q346" i="21"/>
  <c r="Q345" i="21"/>
  <c r="Q344" i="21"/>
  <c r="Q343" i="21"/>
  <c r="Q342" i="21"/>
  <c r="Q341" i="21"/>
  <c r="Q340" i="21"/>
  <c r="Q339" i="21"/>
  <c r="Q337" i="21"/>
  <c r="Q336" i="21"/>
  <c r="N367" i="21"/>
  <c r="M365" i="21"/>
  <c r="N364" i="21"/>
  <c r="M362" i="21"/>
  <c r="M347" i="21"/>
  <c r="N335" i="21"/>
  <c r="M335" i="21"/>
  <c r="J374" i="21"/>
  <c r="J373" i="21"/>
  <c r="J372" i="21"/>
  <c r="J371" i="21"/>
  <c r="J370" i="21"/>
  <c r="J369" i="21"/>
  <c r="J368" i="21"/>
  <c r="I367" i="21"/>
  <c r="Q367" i="21" s="1"/>
  <c r="J366" i="21"/>
  <c r="I365" i="21"/>
  <c r="J364" i="21"/>
  <c r="J363" i="21"/>
  <c r="I362" i="21"/>
  <c r="Q362" i="21" s="1"/>
  <c r="J360" i="21"/>
  <c r="J359" i="21"/>
  <c r="J357" i="21"/>
  <c r="I354" i="21"/>
  <c r="I351" i="21" s="1"/>
  <c r="J353" i="21"/>
  <c r="J352" i="21"/>
  <c r="I348" i="21"/>
  <c r="J346" i="21"/>
  <c r="J345" i="21"/>
  <c r="J344" i="21"/>
  <c r="J343" i="21"/>
  <c r="J342" i="21"/>
  <c r="J341" i="21"/>
  <c r="J340" i="21"/>
  <c r="J339" i="21"/>
  <c r="I338" i="21"/>
  <c r="Q338" i="21" s="1"/>
  <c r="J337" i="21"/>
  <c r="J336" i="21"/>
  <c r="Q291" i="21"/>
  <c r="Q290" i="21"/>
  <c r="Q289" i="21"/>
  <c r="Q288" i="21"/>
  <c r="Q287" i="21"/>
  <c r="Q286" i="21"/>
  <c r="Q284" i="21"/>
  <c r="Q283" i="21"/>
  <c r="Q280" i="21"/>
  <c r="Q279" i="21"/>
  <c r="Q278" i="21"/>
  <c r="Q277" i="21"/>
  <c r="Q276" i="21"/>
  <c r="Q275" i="21"/>
  <c r="Q274" i="21"/>
  <c r="Q273" i="21"/>
  <c r="Q272" i="21"/>
  <c r="Q271" i="21"/>
  <c r="Q269" i="21"/>
  <c r="Q268" i="21"/>
  <c r="Q267" i="21"/>
  <c r="Q266" i="21"/>
  <c r="Q265" i="21"/>
  <c r="Q264" i="21"/>
  <c r="Q262" i="21"/>
  <c r="Q261" i="21"/>
  <c r="Q258" i="21"/>
  <c r="Q257" i="21"/>
  <c r="Q256" i="21"/>
  <c r="Q255" i="21"/>
  <c r="Q254" i="21"/>
  <c r="Q252" i="21"/>
  <c r="Q251" i="21"/>
  <c r="Q248" i="21"/>
  <c r="Q247" i="21"/>
  <c r="Q246" i="21"/>
  <c r="Q245" i="21"/>
  <c r="Q244" i="21"/>
  <c r="Q243" i="21"/>
  <c r="Q241" i="21"/>
  <c r="Q240" i="21"/>
  <c r="Q238" i="21"/>
  <c r="Q237" i="21"/>
  <c r="Q236" i="21"/>
  <c r="Q235" i="21"/>
  <c r="Q234" i="21"/>
  <c r="Q233" i="21"/>
  <c r="Q231" i="21"/>
  <c r="Q230" i="21"/>
  <c r="Q228" i="21"/>
  <c r="Q227" i="21"/>
  <c r="Q226" i="21"/>
  <c r="N290" i="21"/>
  <c r="M281" i="21"/>
  <c r="N280" i="21"/>
  <c r="N278" i="21"/>
  <c r="N276" i="21"/>
  <c r="N275" i="21"/>
  <c r="M270" i="21"/>
  <c r="N269" i="21"/>
  <c r="M259" i="21"/>
  <c r="J291" i="21"/>
  <c r="J290" i="21"/>
  <c r="J289" i="21"/>
  <c r="J288" i="21"/>
  <c r="J287" i="21"/>
  <c r="J286" i="21"/>
  <c r="I285" i="21"/>
  <c r="Q285" i="21" s="1"/>
  <c r="J284" i="21"/>
  <c r="J283" i="21"/>
  <c r="J280" i="21"/>
  <c r="J279" i="21"/>
  <c r="J278" i="21"/>
  <c r="J277" i="21"/>
  <c r="J276" i="21"/>
  <c r="J275" i="21"/>
  <c r="J274" i="21"/>
  <c r="J273" i="21"/>
  <c r="J272" i="21"/>
  <c r="J271" i="21"/>
  <c r="I270" i="21"/>
  <c r="J269" i="21"/>
  <c r="J268" i="21"/>
  <c r="J267" i="21"/>
  <c r="J266" i="21"/>
  <c r="J265" i="21"/>
  <c r="J264" i="21"/>
  <c r="I263" i="21"/>
  <c r="Q263" i="21" s="1"/>
  <c r="J262" i="21"/>
  <c r="J261" i="21"/>
  <c r="J258" i="21"/>
  <c r="J257" i="21"/>
  <c r="J256" i="21"/>
  <c r="J255" i="21"/>
  <c r="J254" i="21"/>
  <c r="I253" i="21"/>
  <c r="Q253" i="21" s="1"/>
  <c r="J252" i="21"/>
  <c r="J251" i="21"/>
  <c r="J248" i="21"/>
  <c r="J247" i="21"/>
  <c r="J246" i="21"/>
  <c r="J245" i="21"/>
  <c r="J244" i="21"/>
  <c r="J243" i="21"/>
  <c r="I242" i="21"/>
  <c r="Q242" i="21" s="1"/>
  <c r="J241" i="21"/>
  <c r="J240" i="21"/>
  <c r="J238" i="21"/>
  <c r="J236" i="21"/>
  <c r="I232" i="21"/>
  <c r="I229" i="21" s="1"/>
  <c r="Q229" i="21" s="1"/>
  <c r="J228" i="21"/>
  <c r="J227" i="21"/>
  <c r="J226" i="21"/>
  <c r="I225" i="21"/>
  <c r="Q225" i="21" s="1"/>
  <c r="N177" i="21"/>
  <c r="N176" i="21"/>
  <c r="N175" i="21"/>
  <c r="N174" i="21"/>
  <c r="M173" i="21"/>
  <c r="N172" i="21"/>
  <c r="N171" i="21"/>
  <c r="N169" i="21"/>
  <c r="N168" i="21"/>
  <c r="N167" i="21"/>
  <c r="M166" i="21"/>
  <c r="N165" i="21"/>
  <c r="N164" i="21"/>
  <c r="N163" i="21"/>
  <c r="N162" i="21"/>
  <c r="N161" i="21"/>
  <c r="N160" i="21"/>
  <c r="N159" i="21"/>
  <c r="N158" i="21"/>
  <c r="N157" i="21"/>
  <c r="N156" i="21"/>
  <c r="N155" i="21"/>
  <c r="N154" i="21"/>
  <c r="N153" i="21"/>
  <c r="N152" i="21"/>
  <c r="N151" i="21"/>
  <c r="N150" i="21"/>
  <c r="N149" i="21"/>
  <c r="N148" i="21"/>
  <c r="N147" i="21"/>
  <c r="N146" i="21"/>
  <c r="N145" i="21"/>
  <c r="N144" i="21"/>
  <c r="N143" i="21"/>
  <c r="N142" i="21"/>
  <c r="N138" i="21"/>
  <c r="N137" i="21"/>
  <c r="N135" i="21"/>
  <c r="N134" i="21"/>
  <c r="M133" i="21"/>
  <c r="N132" i="21"/>
  <c r="N131" i="21"/>
  <c r="N130" i="21"/>
  <c r="M129" i="21"/>
  <c r="N127" i="21"/>
  <c r="N126" i="21"/>
  <c r="M125" i="21"/>
  <c r="N124" i="21"/>
  <c r="N123" i="21"/>
  <c r="N122" i="21"/>
  <c r="M121" i="21"/>
  <c r="N120" i="21"/>
  <c r="N119" i="21"/>
  <c r="N117" i="21"/>
  <c r="N116" i="21"/>
  <c r="N115" i="21"/>
  <c r="M114" i="21"/>
  <c r="I173" i="21"/>
  <c r="J143" i="21"/>
  <c r="J144" i="21"/>
  <c r="I145" i="21"/>
  <c r="J146" i="21"/>
  <c r="J147" i="21"/>
  <c r="J148" i="21"/>
  <c r="J149" i="21"/>
  <c r="J150" i="21"/>
  <c r="J151" i="21"/>
  <c r="J152" i="21"/>
  <c r="J154" i="21"/>
  <c r="J155" i="21"/>
  <c r="I156" i="21"/>
  <c r="J157" i="21"/>
  <c r="J159" i="21"/>
  <c r="J160" i="21"/>
  <c r="J161" i="21"/>
  <c r="I163" i="21"/>
  <c r="J164" i="21"/>
  <c r="J165" i="21"/>
  <c r="I166" i="21"/>
  <c r="J170" i="21"/>
  <c r="J171" i="21"/>
  <c r="J172" i="21"/>
  <c r="J174" i="21"/>
  <c r="J175" i="21"/>
  <c r="J176" i="21"/>
  <c r="J177" i="21"/>
  <c r="J139" i="21"/>
  <c r="J138" i="21"/>
  <c r="J136" i="21"/>
  <c r="J135" i="21"/>
  <c r="J134" i="21"/>
  <c r="J132" i="21"/>
  <c r="J131" i="21"/>
  <c r="J130" i="21"/>
  <c r="I129" i="21"/>
  <c r="J128" i="21"/>
  <c r="J127" i="21"/>
  <c r="J126" i="21"/>
  <c r="I125" i="21"/>
  <c r="J124" i="21"/>
  <c r="J123" i="21"/>
  <c r="J122" i="21"/>
  <c r="I121" i="21"/>
  <c r="J120" i="21"/>
  <c r="I119" i="21"/>
  <c r="J116" i="21"/>
  <c r="J115" i="21"/>
  <c r="I114" i="21"/>
  <c r="N80" i="21"/>
  <c r="M80" i="21"/>
  <c r="H7" i="15" s="1"/>
  <c r="J88" i="21"/>
  <c r="J87" i="21"/>
  <c r="I86" i="21"/>
  <c r="Q86" i="21" s="1"/>
  <c r="J85" i="21"/>
  <c r="J83" i="21"/>
  <c r="J82" i="21"/>
  <c r="I81" i="21"/>
  <c r="I80" i="21" s="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49" i="21"/>
  <c r="N50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M36" i="21"/>
  <c r="N35" i="21"/>
  <c r="N34" i="21"/>
  <c r="N33" i="21"/>
  <c r="N32" i="21"/>
  <c r="N31" i="21"/>
  <c r="N30" i="21"/>
  <c r="N29" i="21"/>
  <c r="N28" i="21"/>
  <c r="N27" i="21"/>
  <c r="N26" i="21"/>
  <c r="M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M6" i="21"/>
  <c r="J50" i="21"/>
  <c r="J51" i="21"/>
  <c r="J52" i="21"/>
  <c r="J53" i="21"/>
  <c r="I54" i="21"/>
  <c r="Q54" i="21" s="1"/>
  <c r="J55" i="21"/>
  <c r="J56" i="21"/>
  <c r="J57" i="21"/>
  <c r="J58" i="21"/>
  <c r="J59" i="21"/>
  <c r="J60" i="21"/>
  <c r="I62" i="21"/>
  <c r="J63" i="21"/>
  <c r="J64" i="21"/>
  <c r="J65" i="21"/>
  <c r="J66" i="21"/>
  <c r="J67" i="21"/>
  <c r="J68" i="21"/>
  <c r="J69" i="21"/>
  <c r="J70" i="21"/>
  <c r="J71" i="21"/>
  <c r="J72" i="21"/>
  <c r="J49" i="21"/>
  <c r="J48" i="21"/>
  <c r="J47" i="21"/>
  <c r="J46" i="21"/>
  <c r="J45" i="21"/>
  <c r="J44" i="21"/>
  <c r="J43" i="21"/>
  <c r="J42" i="21"/>
  <c r="J41" i="21"/>
  <c r="J40" i="21"/>
  <c r="J39" i="21"/>
  <c r="I36" i="21"/>
  <c r="Q36" i="21" s="1"/>
  <c r="J35" i="21"/>
  <c r="J34" i="21"/>
  <c r="J33" i="21"/>
  <c r="J32" i="21"/>
  <c r="J31" i="21"/>
  <c r="J30" i="21"/>
  <c r="J29" i="21"/>
  <c r="J28" i="21"/>
  <c r="J27" i="21"/>
  <c r="I25" i="21"/>
  <c r="J24" i="21"/>
  <c r="J23" i="21"/>
  <c r="J21" i="21"/>
  <c r="J20" i="21"/>
  <c r="I19" i="21"/>
  <c r="Q19" i="21" s="1"/>
  <c r="J18" i="21"/>
  <c r="I17" i="21"/>
  <c r="Q17" i="21" s="1"/>
  <c r="J16" i="21"/>
  <c r="I15" i="21"/>
  <c r="Q15" i="21" s="1"/>
  <c r="J14" i="21"/>
  <c r="I13" i="21"/>
  <c r="Q13" i="21" s="1"/>
  <c r="J12" i="21"/>
  <c r="J11" i="21"/>
  <c r="J10" i="21"/>
  <c r="J9" i="21"/>
  <c r="J8" i="21"/>
  <c r="I7" i="21"/>
  <c r="Q7" i="21" s="1"/>
  <c r="P1740" i="21"/>
  <c r="L1739" i="21"/>
  <c r="N1739" i="21" s="1"/>
  <c r="H1739" i="21"/>
  <c r="J1739" i="21" s="1"/>
  <c r="P1738" i="21"/>
  <c r="P1737" i="21"/>
  <c r="P1736" i="21"/>
  <c r="L1735" i="21"/>
  <c r="N1735" i="21" s="1"/>
  <c r="H1735" i="21"/>
  <c r="J1735" i="21" s="1"/>
  <c r="P1734" i="21"/>
  <c r="P1733" i="21"/>
  <c r="P1732" i="21"/>
  <c r="H1731" i="21"/>
  <c r="P1729" i="21"/>
  <c r="B1729" i="21"/>
  <c r="B1730" i="21" s="1"/>
  <c r="B1731" i="21" s="1"/>
  <c r="B1732" i="21" s="1"/>
  <c r="B1733" i="21" s="1"/>
  <c r="B1734" i="21" s="1"/>
  <c r="B1735" i="21" s="1"/>
  <c r="B1736" i="21" s="1"/>
  <c r="B1737" i="21" s="1"/>
  <c r="B1738" i="21" s="1"/>
  <c r="B1739" i="21" s="1"/>
  <c r="B1740" i="21" s="1"/>
  <c r="P1708" i="21"/>
  <c r="R1708" i="21" s="1"/>
  <c r="P1707" i="21"/>
  <c r="R1707" i="21" s="1"/>
  <c r="P1706" i="21"/>
  <c r="R1706" i="21" s="1"/>
  <c r="P1705" i="21"/>
  <c r="R1705" i="21" s="1"/>
  <c r="P1704" i="21"/>
  <c r="R1704" i="21" s="1"/>
  <c r="P1703" i="21"/>
  <c r="R1703" i="21" s="1"/>
  <c r="H1702" i="21"/>
  <c r="P1701" i="21"/>
  <c r="R1701" i="21" s="1"/>
  <c r="P1700" i="21"/>
  <c r="R1700" i="21" s="1"/>
  <c r="P1697" i="21"/>
  <c r="R1697" i="21" s="1"/>
  <c r="P1696" i="21"/>
  <c r="R1696" i="21" s="1"/>
  <c r="P1695" i="21"/>
  <c r="R1695" i="21" s="1"/>
  <c r="P1694" i="21"/>
  <c r="R1694" i="21" s="1"/>
  <c r="H1693" i="21"/>
  <c r="J1693" i="21" s="1"/>
  <c r="P1692" i="21"/>
  <c r="R1692" i="21" s="1"/>
  <c r="P1691" i="21"/>
  <c r="R1691" i="21" s="1"/>
  <c r="P1688" i="21"/>
  <c r="R1688" i="21" s="1"/>
  <c r="P1687" i="21"/>
  <c r="R1687" i="21" s="1"/>
  <c r="H1686" i="21"/>
  <c r="H1683" i="21" s="1"/>
  <c r="P1683" i="21" s="1"/>
  <c r="R1683" i="21" s="1"/>
  <c r="P1685" i="21"/>
  <c r="R1685" i="21" s="1"/>
  <c r="P1684" i="21"/>
  <c r="R1684" i="21" s="1"/>
  <c r="P1682" i="21"/>
  <c r="R1682" i="21" s="1"/>
  <c r="H1681" i="21"/>
  <c r="P1679" i="21"/>
  <c r="R1679" i="21" s="1"/>
  <c r="P1678" i="21"/>
  <c r="R1678" i="21" s="1"/>
  <c r="P1677" i="21"/>
  <c r="R1677" i="21" s="1"/>
  <c r="P1676" i="21"/>
  <c r="R1676" i="21" s="1"/>
  <c r="P1675" i="21"/>
  <c r="R1675" i="21" s="1"/>
  <c r="H1674" i="21"/>
  <c r="P1674" i="21" s="1"/>
  <c r="R1674" i="21" s="1"/>
  <c r="P1673" i="21"/>
  <c r="R1673" i="21" s="1"/>
  <c r="P1672" i="21"/>
  <c r="R1672" i="21" s="1"/>
  <c r="P1668" i="21"/>
  <c r="R1668" i="21" s="1"/>
  <c r="P1667" i="21"/>
  <c r="R1667" i="21" s="1"/>
  <c r="P1665" i="21"/>
  <c r="R1665" i="21" s="1"/>
  <c r="P1664" i="21"/>
  <c r="R1664" i="21" s="1"/>
  <c r="P1662" i="21"/>
  <c r="R1662" i="21" s="1"/>
  <c r="P1661" i="21"/>
  <c r="R1661" i="21" s="1"/>
  <c r="P1660" i="21"/>
  <c r="R1660" i="21" s="1"/>
  <c r="P1659" i="21"/>
  <c r="R1659" i="21" s="1"/>
  <c r="P1658" i="21"/>
  <c r="R1658" i="21" s="1"/>
  <c r="P1657" i="21"/>
  <c r="R1657" i="21" s="1"/>
  <c r="P1656" i="21"/>
  <c r="R1656" i="21" s="1"/>
  <c r="H1655" i="21"/>
  <c r="P1654" i="21"/>
  <c r="R1654" i="21" s="1"/>
  <c r="P1653" i="21"/>
  <c r="R1653" i="21" s="1"/>
  <c r="L1651" i="21"/>
  <c r="N1651" i="21" s="1"/>
  <c r="P1650" i="21"/>
  <c r="R1650" i="21" s="1"/>
  <c r="P1649" i="21"/>
  <c r="R1649" i="21" s="1"/>
  <c r="P1648" i="21"/>
  <c r="R1648" i="21" s="1"/>
  <c r="P1647" i="21"/>
  <c r="R1647" i="21" s="1"/>
  <c r="P1645" i="21"/>
  <c r="R1645" i="21" s="1"/>
  <c r="P1644" i="21"/>
  <c r="R1644" i="21" s="1"/>
  <c r="P1643" i="21"/>
  <c r="R1643" i="21" s="1"/>
  <c r="P1642" i="21"/>
  <c r="R1642" i="21" s="1"/>
  <c r="H1641" i="21"/>
  <c r="P1639" i="21"/>
  <c r="R1639" i="21" s="1"/>
  <c r="P1637" i="21"/>
  <c r="R1637" i="21" s="1"/>
  <c r="P1636" i="21"/>
  <c r="R1636" i="21" s="1"/>
  <c r="P1635" i="21"/>
  <c r="R1635" i="21" s="1"/>
  <c r="P1634" i="21"/>
  <c r="R1634" i="21" s="1"/>
  <c r="P1633" i="21"/>
  <c r="R1633" i="21" s="1"/>
  <c r="P1632" i="21"/>
  <c r="R1632" i="21" s="1"/>
  <c r="P1631" i="21"/>
  <c r="R1631" i="21" s="1"/>
  <c r="H1630" i="21"/>
  <c r="P1629" i="21"/>
  <c r="R1629" i="21" s="1"/>
  <c r="P1628" i="21"/>
  <c r="R1628" i="21" s="1"/>
  <c r="P1625" i="21"/>
  <c r="R1625" i="21" s="1"/>
  <c r="P1624" i="21"/>
  <c r="R1624" i="21" s="1"/>
  <c r="P1623" i="21"/>
  <c r="R1623" i="21" s="1"/>
  <c r="P1621" i="21"/>
  <c r="R1621" i="21" s="1"/>
  <c r="P1620" i="21"/>
  <c r="R1620" i="21" s="1"/>
  <c r="H1619" i="21"/>
  <c r="P1617" i="21"/>
  <c r="R1617" i="21" s="1"/>
  <c r="P1616" i="21"/>
  <c r="R1616" i="21" s="1"/>
  <c r="P1615" i="21"/>
  <c r="R1615" i="21" s="1"/>
  <c r="P1614" i="21"/>
  <c r="R1614" i="21" s="1"/>
  <c r="P1613" i="21"/>
  <c r="R1613" i="21" s="1"/>
  <c r="P1612" i="21"/>
  <c r="R1612" i="21" s="1"/>
  <c r="P1611" i="21"/>
  <c r="R1611" i="21" s="1"/>
  <c r="P1610" i="21"/>
  <c r="R1610" i="21" s="1"/>
  <c r="H1609" i="21"/>
  <c r="P1606" i="21"/>
  <c r="R1606" i="21" s="1"/>
  <c r="P1605" i="21"/>
  <c r="R1605" i="21" s="1"/>
  <c r="P1604" i="21"/>
  <c r="R1604" i="21" s="1"/>
  <c r="P1603" i="21"/>
  <c r="R1603" i="21" s="1"/>
  <c r="H1602" i="21"/>
  <c r="J1602" i="21" s="1"/>
  <c r="P1601" i="21"/>
  <c r="R1601" i="21" s="1"/>
  <c r="P1600" i="21"/>
  <c r="R1600" i="21" s="1"/>
  <c r="P1597" i="21"/>
  <c r="R1597" i="21" s="1"/>
  <c r="P1596" i="21"/>
  <c r="R1596" i="21" s="1"/>
  <c r="P1595" i="21"/>
  <c r="R1595" i="21" s="1"/>
  <c r="P1594" i="21"/>
  <c r="R1594" i="21" s="1"/>
  <c r="P1593" i="21"/>
  <c r="R1593" i="21" s="1"/>
  <c r="P1592" i="21"/>
  <c r="R1592" i="21" s="1"/>
  <c r="P1591" i="21"/>
  <c r="R1591" i="21" s="1"/>
  <c r="P1590" i="21"/>
  <c r="R1590" i="21" s="1"/>
  <c r="H1589" i="21"/>
  <c r="H1585" i="21" s="1"/>
  <c r="P1588" i="21"/>
  <c r="R1588" i="21" s="1"/>
  <c r="P1587" i="21"/>
  <c r="R1587" i="21" s="1"/>
  <c r="P1586" i="21"/>
  <c r="R1586" i="21" s="1"/>
  <c r="P1584" i="21"/>
  <c r="R1584" i="21" s="1"/>
  <c r="H1583" i="21"/>
  <c r="P1582" i="21"/>
  <c r="R1582" i="21" s="1"/>
  <c r="P1581" i="21"/>
  <c r="R1581" i="21" s="1"/>
  <c r="P1580" i="21"/>
  <c r="R1580" i="21" s="1"/>
  <c r="P1579" i="21"/>
  <c r="R1579" i="21" s="1"/>
  <c r="P1578" i="21"/>
  <c r="R1578" i="21" s="1"/>
  <c r="H1577" i="21"/>
  <c r="J1577" i="21" s="1"/>
  <c r="P1576" i="21"/>
  <c r="R1576" i="21" s="1"/>
  <c r="P1575" i="21"/>
  <c r="R1575" i="21" s="1"/>
  <c r="L1573" i="21"/>
  <c r="N1573" i="21" s="1"/>
  <c r="B1573" i="21"/>
  <c r="B1574" i="21" s="1"/>
  <c r="B1575" i="21" s="1"/>
  <c r="B1576" i="21" s="1"/>
  <c r="B1577" i="21" s="1"/>
  <c r="B1578" i="21" s="1"/>
  <c r="B1579" i="21" s="1"/>
  <c r="B1580" i="21" s="1"/>
  <c r="B1581" i="21" s="1"/>
  <c r="B1582" i="21" s="1"/>
  <c r="B1583" i="21" s="1"/>
  <c r="B1584" i="21" s="1"/>
  <c r="B1585" i="21" s="1"/>
  <c r="B1586" i="21" s="1"/>
  <c r="B1587" i="21" s="1"/>
  <c r="B1588" i="21" s="1"/>
  <c r="B1589" i="21" s="1"/>
  <c r="B1590" i="21" s="1"/>
  <c r="B1591" i="21" s="1"/>
  <c r="B1592" i="21" s="1"/>
  <c r="B1593" i="21" s="1"/>
  <c r="B1594" i="21" s="1"/>
  <c r="B1595" i="21" s="1"/>
  <c r="B1596" i="21" s="1"/>
  <c r="B1597" i="21" s="1"/>
  <c r="B1598" i="21" s="1"/>
  <c r="B1599" i="21" s="1"/>
  <c r="B1600" i="21" s="1"/>
  <c r="B1601" i="21" s="1"/>
  <c r="B1602" i="21" s="1"/>
  <c r="B1603" i="21" s="1"/>
  <c r="B1604" i="21" s="1"/>
  <c r="B1605" i="21" s="1"/>
  <c r="B1606" i="21" s="1"/>
  <c r="B1607" i="21" s="1"/>
  <c r="B1608" i="21" s="1"/>
  <c r="B1609" i="21" s="1"/>
  <c r="B1610" i="21" s="1"/>
  <c r="B1611" i="21" s="1"/>
  <c r="B1612" i="21" s="1"/>
  <c r="B1613" i="21" s="1"/>
  <c r="B1614" i="21" s="1"/>
  <c r="B1615" i="21" s="1"/>
  <c r="B1616" i="21" s="1"/>
  <c r="B1617" i="21" s="1"/>
  <c r="B1618" i="21" s="1"/>
  <c r="B1619" i="21" s="1"/>
  <c r="B1620" i="21" s="1"/>
  <c r="B1621" i="21" s="1"/>
  <c r="B1622" i="21" s="1"/>
  <c r="B1623" i="21" s="1"/>
  <c r="B1624" i="21" s="1"/>
  <c r="B1625" i="21" s="1"/>
  <c r="B1626" i="21" s="1"/>
  <c r="B1627" i="21" s="1"/>
  <c r="B1628" i="21" s="1"/>
  <c r="B1629" i="21" s="1"/>
  <c r="B1630" i="21" s="1"/>
  <c r="B1631" i="21" s="1"/>
  <c r="B1632" i="21" s="1"/>
  <c r="B1633" i="21" s="1"/>
  <c r="B1634" i="21" s="1"/>
  <c r="B1635" i="21" s="1"/>
  <c r="B1636" i="21" s="1"/>
  <c r="B1637" i="21" s="1"/>
  <c r="B1638" i="21" s="1"/>
  <c r="B1639" i="21" s="1"/>
  <c r="B1640" i="21" s="1"/>
  <c r="B1641" i="21" s="1"/>
  <c r="B1642" i="21" s="1"/>
  <c r="B1643" i="21" s="1"/>
  <c r="B1644" i="21" s="1"/>
  <c r="B1645" i="21" s="1"/>
  <c r="B1646" i="21" s="1"/>
  <c r="B1647" i="21" s="1"/>
  <c r="B1648" i="21" s="1"/>
  <c r="B1649" i="21" s="1"/>
  <c r="B1650" i="21" s="1"/>
  <c r="B1651" i="21" s="1"/>
  <c r="B1652" i="21" s="1"/>
  <c r="B1653" i="21" s="1"/>
  <c r="B1654" i="21" s="1"/>
  <c r="B1655" i="21" s="1"/>
  <c r="B1656" i="21" s="1"/>
  <c r="B1657" i="21" s="1"/>
  <c r="B1658" i="21" s="1"/>
  <c r="B1659" i="21" s="1"/>
  <c r="B1660" i="21" s="1"/>
  <c r="B1661" i="21" s="1"/>
  <c r="B1662" i="21" s="1"/>
  <c r="B1663" i="21" s="1"/>
  <c r="B1664" i="21" s="1"/>
  <c r="B1665" i="21" s="1"/>
  <c r="B1666" i="21" s="1"/>
  <c r="B1667" i="21" s="1"/>
  <c r="B1668" i="21" s="1"/>
  <c r="B1669" i="21" s="1"/>
  <c r="B1670" i="21" s="1"/>
  <c r="B1671" i="21" s="1"/>
  <c r="B1672" i="21" s="1"/>
  <c r="B1673" i="21" s="1"/>
  <c r="B1674" i="21" s="1"/>
  <c r="B1675" i="21" s="1"/>
  <c r="B1676" i="21" s="1"/>
  <c r="B1677" i="21" s="1"/>
  <c r="B1678" i="21" s="1"/>
  <c r="B1679" i="21" s="1"/>
  <c r="B1680" i="21" s="1"/>
  <c r="B1681" i="21" s="1"/>
  <c r="B1682" i="21" s="1"/>
  <c r="B1683" i="21" s="1"/>
  <c r="B1684" i="21" s="1"/>
  <c r="B1685" i="21" s="1"/>
  <c r="B1686" i="21" s="1"/>
  <c r="B1687" i="21" s="1"/>
  <c r="B1689" i="21" s="1"/>
  <c r="B1690" i="21" s="1"/>
  <c r="B1691" i="21" s="1"/>
  <c r="B1692" i="21" s="1"/>
  <c r="B1693" i="21" s="1"/>
  <c r="B1694" i="21" s="1"/>
  <c r="B1695" i="21" s="1"/>
  <c r="B1696" i="21" s="1"/>
  <c r="B1697" i="21" s="1"/>
  <c r="B1698" i="21" s="1"/>
  <c r="B1699" i="21" s="1"/>
  <c r="B1700" i="21" s="1"/>
  <c r="B1701" i="21" s="1"/>
  <c r="B1702" i="21" s="1"/>
  <c r="B1703" i="21" s="1"/>
  <c r="B1704" i="21" s="1"/>
  <c r="B1705" i="21" s="1"/>
  <c r="B1706" i="21" s="1"/>
  <c r="B1707" i="21" s="1"/>
  <c r="B1708" i="21" s="1"/>
  <c r="H1535" i="21"/>
  <c r="H1534" i="21"/>
  <c r="H1533" i="21"/>
  <c r="J1533" i="21" s="1"/>
  <c r="H1532" i="21"/>
  <c r="H1531" i="21"/>
  <c r="H1530" i="21"/>
  <c r="H1529" i="21"/>
  <c r="H1527" i="21"/>
  <c r="H1526" i="21"/>
  <c r="P1523" i="21"/>
  <c r="R1523" i="21" s="1"/>
  <c r="P1522" i="21"/>
  <c r="R1522" i="21" s="1"/>
  <c r="P1521" i="21"/>
  <c r="R1521" i="21" s="1"/>
  <c r="H1520" i="21"/>
  <c r="P1520" i="21" s="1"/>
  <c r="P1519" i="21"/>
  <c r="R1519" i="21" s="1"/>
  <c r="P1518" i="21"/>
  <c r="R1518" i="21" s="1"/>
  <c r="P1515" i="21"/>
  <c r="R1515" i="21" s="1"/>
  <c r="H1514" i="21"/>
  <c r="P1511" i="21"/>
  <c r="R1511" i="21" s="1"/>
  <c r="P1510" i="21"/>
  <c r="R1510" i="21" s="1"/>
  <c r="P1509" i="21"/>
  <c r="R1509" i="21" s="1"/>
  <c r="P1508" i="21"/>
  <c r="R1508" i="21" s="1"/>
  <c r="L1507" i="21"/>
  <c r="N1507" i="21" s="1"/>
  <c r="J1507" i="21"/>
  <c r="P1506" i="21"/>
  <c r="R1506" i="21" s="1"/>
  <c r="P1505" i="21"/>
  <c r="R1505" i="21" s="1"/>
  <c r="P1504" i="21"/>
  <c r="R1504" i="21" s="1"/>
  <c r="L1503" i="21"/>
  <c r="N1503" i="21" s="1"/>
  <c r="H1503" i="21"/>
  <c r="J1503" i="21" s="1"/>
  <c r="P1501" i="21"/>
  <c r="R1501" i="21" s="1"/>
  <c r="P1500" i="21"/>
  <c r="R1500" i="21" s="1"/>
  <c r="H1498" i="21"/>
  <c r="L1497" i="21"/>
  <c r="P1494" i="21"/>
  <c r="R1494" i="21" s="1"/>
  <c r="P1493" i="21"/>
  <c r="R1493" i="21" s="1"/>
  <c r="P1491" i="21"/>
  <c r="R1491" i="21" s="1"/>
  <c r="H1490" i="21"/>
  <c r="P1489" i="21"/>
  <c r="R1489" i="21" s="1"/>
  <c r="H1488" i="21"/>
  <c r="H1487" i="21"/>
  <c r="H1486" i="21"/>
  <c r="H1484" i="21"/>
  <c r="H1483" i="21"/>
  <c r="H1481" i="21"/>
  <c r="H1480" i="21"/>
  <c r="P1479" i="21"/>
  <c r="R1479" i="21" s="1"/>
  <c r="P1478" i="21"/>
  <c r="R1478" i="21" s="1"/>
  <c r="P1477" i="21"/>
  <c r="R1477" i="21" s="1"/>
  <c r="P1475" i="21"/>
  <c r="R1475" i="21" s="1"/>
  <c r="P1473" i="21"/>
  <c r="R1473" i="21" s="1"/>
  <c r="H1472" i="21"/>
  <c r="P1471" i="21"/>
  <c r="R1471" i="21" s="1"/>
  <c r="P1470" i="21"/>
  <c r="R1470" i="21" s="1"/>
  <c r="P1469" i="21"/>
  <c r="R1469" i="21" s="1"/>
  <c r="P1468" i="21"/>
  <c r="R1468" i="21" s="1"/>
  <c r="P1467" i="21"/>
  <c r="R1467" i="21" s="1"/>
  <c r="P1465" i="21"/>
  <c r="R1465" i="21" s="1"/>
  <c r="P1464" i="21"/>
  <c r="R1464" i="21" s="1"/>
  <c r="L1462" i="21"/>
  <c r="N1462" i="21" s="1"/>
  <c r="B1462" i="21"/>
  <c r="B1463" i="21" s="1"/>
  <c r="B1464" i="21" s="1"/>
  <c r="B1465" i="21" s="1"/>
  <c r="B1466" i="21" s="1"/>
  <c r="B1467" i="21" s="1"/>
  <c r="B1468" i="21" s="1"/>
  <c r="B1469" i="21" s="1"/>
  <c r="B1470" i="21" s="1"/>
  <c r="B1471" i="21" s="1"/>
  <c r="B1472" i="21" s="1"/>
  <c r="B1473" i="21" s="1"/>
  <c r="B1474" i="21" s="1"/>
  <c r="B1475" i="21" s="1"/>
  <c r="B1476" i="21" s="1"/>
  <c r="B1477" i="21" s="1"/>
  <c r="B1478" i="21" s="1"/>
  <c r="B1479" i="21" s="1"/>
  <c r="B1480" i="21" s="1"/>
  <c r="B1481" i="21" s="1"/>
  <c r="B1482" i="21" s="1"/>
  <c r="B1483" i="21" s="1"/>
  <c r="B1484" i="21" s="1"/>
  <c r="B1485" i="21" s="1"/>
  <c r="B1486" i="21" s="1"/>
  <c r="B1487" i="21" s="1"/>
  <c r="B1488" i="21" s="1"/>
  <c r="B1489" i="21" s="1"/>
  <c r="B1490" i="21" s="1"/>
  <c r="B1491" i="21" s="1"/>
  <c r="B1492" i="21" s="1"/>
  <c r="B1493" i="21" s="1"/>
  <c r="B1494" i="21" s="1"/>
  <c r="B1495" i="21" s="1"/>
  <c r="B1496" i="21" s="1"/>
  <c r="B1497" i="21" s="1"/>
  <c r="B1498" i="21" s="1"/>
  <c r="B1499" i="21" s="1"/>
  <c r="B1500" i="21" s="1"/>
  <c r="B1501" i="21" s="1"/>
  <c r="B1502" i="21" s="1"/>
  <c r="B1503" i="21" s="1"/>
  <c r="B1504" i="21" s="1"/>
  <c r="B1505" i="21" s="1"/>
  <c r="B1506" i="21" s="1"/>
  <c r="B1507" i="21" s="1"/>
  <c r="B1508" i="21" s="1"/>
  <c r="B1509" i="21" s="1"/>
  <c r="P1425" i="21"/>
  <c r="R1425" i="21" s="1"/>
  <c r="P1424" i="21"/>
  <c r="R1424" i="21" s="1"/>
  <c r="P1423" i="21"/>
  <c r="R1423" i="21" s="1"/>
  <c r="P1422" i="21"/>
  <c r="R1422" i="21" s="1"/>
  <c r="P1421" i="21"/>
  <c r="R1421" i="21" s="1"/>
  <c r="P1420" i="21"/>
  <c r="R1420" i="21" s="1"/>
  <c r="P1419" i="21"/>
  <c r="R1419" i="21" s="1"/>
  <c r="P1417" i="21"/>
  <c r="R1417" i="21" s="1"/>
  <c r="H1416" i="21"/>
  <c r="J1416" i="21" s="1"/>
  <c r="P1415" i="21"/>
  <c r="R1415" i="21" s="1"/>
  <c r="P1414" i="21"/>
  <c r="R1414" i="21" s="1"/>
  <c r="L1412" i="21"/>
  <c r="N1412" i="21" s="1"/>
  <c r="H1411" i="21"/>
  <c r="P1410" i="21"/>
  <c r="R1410" i="21" s="1"/>
  <c r="H1409" i="21"/>
  <c r="P1408" i="21"/>
  <c r="R1408" i="21" s="1"/>
  <c r="P1407" i="21"/>
  <c r="R1407" i="21" s="1"/>
  <c r="P1406" i="21"/>
  <c r="R1406" i="21" s="1"/>
  <c r="H1405" i="21"/>
  <c r="P1404" i="21"/>
  <c r="R1404" i="21" s="1"/>
  <c r="P1403" i="21"/>
  <c r="R1403" i="21" s="1"/>
  <c r="H1402" i="21"/>
  <c r="H1401" i="21"/>
  <c r="H1400" i="21"/>
  <c r="J1400" i="21" s="1"/>
  <c r="P1399" i="21"/>
  <c r="R1399" i="21" s="1"/>
  <c r="P1396" i="21"/>
  <c r="R1396" i="21" s="1"/>
  <c r="P1395" i="21"/>
  <c r="R1395" i="21" s="1"/>
  <c r="P1394" i="21"/>
  <c r="R1394" i="21" s="1"/>
  <c r="P1393" i="21"/>
  <c r="R1393" i="21" s="1"/>
  <c r="P1392" i="21"/>
  <c r="R1392" i="21" s="1"/>
  <c r="P1391" i="21"/>
  <c r="R1391" i="21" s="1"/>
  <c r="P1390" i="21"/>
  <c r="R1390" i="21" s="1"/>
  <c r="P1389" i="21"/>
  <c r="R1389" i="21" s="1"/>
  <c r="P1388" i="21"/>
  <c r="R1388" i="21" s="1"/>
  <c r="H1387" i="21"/>
  <c r="P1386" i="21"/>
  <c r="R1386" i="21" s="1"/>
  <c r="P1384" i="21"/>
  <c r="R1384" i="21" s="1"/>
  <c r="L1383" i="21"/>
  <c r="N1383" i="21" s="1"/>
  <c r="B1383" i="21"/>
  <c r="B1384" i="21" s="1"/>
  <c r="B1385" i="21" s="1"/>
  <c r="B1386" i="21" s="1"/>
  <c r="B1387" i="21" s="1"/>
  <c r="B1388" i="21" s="1"/>
  <c r="B1389" i="21" s="1"/>
  <c r="B1390" i="21" s="1"/>
  <c r="B1391" i="21" s="1"/>
  <c r="B1392" i="21" s="1"/>
  <c r="B1393" i="21" s="1"/>
  <c r="B1394" i="21" s="1"/>
  <c r="B1395" i="21" s="1"/>
  <c r="B1396" i="21" s="1"/>
  <c r="B1397" i="21" s="1"/>
  <c r="B1398" i="21" s="1"/>
  <c r="B1399" i="21" s="1"/>
  <c r="B1400" i="21" s="1"/>
  <c r="B1401" i="21" s="1"/>
  <c r="B1402" i="21" s="1"/>
  <c r="B1403" i="21" s="1"/>
  <c r="B1404" i="21" s="1"/>
  <c r="B1405" i="21" s="1"/>
  <c r="P1375" i="21"/>
  <c r="R1375" i="21" s="1"/>
  <c r="P1374" i="21"/>
  <c r="R1374" i="21" s="1"/>
  <c r="P1372" i="21"/>
  <c r="R1372" i="21" s="1"/>
  <c r="P1371" i="21"/>
  <c r="R1371" i="21" s="1"/>
  <c r="P1370" i="21"/>
  <c r="R1370" i="21" s="1"/>
  <c r="P1369" i="21"/>
  <c r="R1369" i="21" s="1"/>
  <c r="P1368" i="21"/>
  <c r="R1368" i="21" s="1"/>
  <c r="H1367" i="21"/>
  <c r="P1366" i="21"/>
  <c r="R1366" i="21" s="1"/>
  <c r="P1365" i="21"/>
  <c r="R1365" i="21" s="1"/>
  <c r="L1363" i="21"/>
  <c r="N1363" i="21" s="1"/>
  <c r="P1361" i="21"/>
  <c r="R1361" i="21" s="1"/>
  <c r="L1359" i="21"/>
  <c r="P1358" i="21"/>
  <c r="R1358" i="21" s="1"/>
  <c r="P1356" i="21"/>
  <c r="R1356" i="21" s="1"/>
  <c r="P1355" i="21"/>
  <c r="R1355" i="21" s="1"/>
  <c r="P1354" i="21"/>
  <c r="R1354" i="21" s="1"/>
  <c r="P1353" i="21"/>
  <c r="R1353" i="21" s="1"/>
  <c r="P1352" i="21"/>
  <c r="R1352" i="21" s="1"/>
  <c r="P1351" i="21"/>
  <c r="R1351" i="21" s="1"/>
  <c r="H1350" i="21"/>
  <c r="H1347" i="21" s="1"/>
  <c r="P1349" i="21"/>
  <c r="R1349" i="21" s="1"/>
  <c r="P1348" i="21"/>
  <c r="R1348" i="21" s="1"/>
  <c r="L1347" i="21"/>
  <c r="N1347" i="21" s="1"/>
  <c r="P1346" i="21"/>
  <c r="R1346" i="21" s="1"/>
  <c r="P1343" i="21"/>
  <c r="R1343" i="21" s="1"/>
  <c r="P1341" i="21"/>
  <c r="R1341" i="21" s="1"/>
  <c r="P1339" i="21"/>
  <c r="R1339" i="21" s="1"/>
  <c r="P1338" i="21"/>
  <c r="R1338" i="21" s="1"/>
  <c r="P1337" i="21"/>
  <c r="R1337" i="21" s="1"/>
  <c r="P1336" i="21"/>
  <c r="R1336" i="21" s="1"/>
  <c r="P1335" i="21"/>
  <c r="R1335" i="21" s="1"/>
  <c r="P1334" i="21"/>
  <c r="R1334" i="21" s="1"/>
  <c r="H1333" i="21"/>
  <c r="P1332" i="21"/>
  <c r="R1332" i="21" s="1"/>
  <c r="P1331" i="21"/>
  <c r="R1331" i="21" s="1"/>
  <c r="P1328" i="21"/>
  <c r="R1328" i="21" s="1"/>
  <c r="P1327" i="21"/>
  <c r="R1327" i="21" s="1"/>
  <c r="H1326" i="21"/>
  <c r="J1326" i="21" s="1"/>
  <c r="P1325" i="21"/>
  <c r="R1325" i="21" s="1"/>
  <c r="P1324" i="21"/>
  <c r="R1324" i="21" s="1"/>
  <c r="H1323" i="21"/>
  <c r="P1322" i="21"/>
  <c r="R1322" i="21" s="1"/>
  <c r="P1321" i="21"/>
  <c r="R1321" i="21" s="1"/>
  <c r="L1320" i="21"/>
  <c r="N1320" i="21" s="1"/>
  <c r="P1319" i="21"/>
  <c r="R1319" i="21" s="1"/>
  <c r="P1318" i="21"/>
  <c r="R1318" i="21" s="1"/>
  <c r="H1317" i="21"/>
  <c r="P1315" i="21"/>
  <c r="R1315" i="21" s="1"/>
  <c r="P1314" i="21"/>
  <c r="R1314" i="21" s="1"/>
  <c r="P1313" i="21"/>
  <c r="R1313" i="21" s="1"/>
  <c r="P1312" i="21"/>
  <c r="R1312" i="21" s="1"/>
  <c r="P1311" i="21"/>
  <c r="R1311" i="21" s="1"/>
  <c r="P1310" i="21"/>
  <c r="R1310" i="21" s="1"/>
  <c r="P1309" i="21"/>
  <c r="R1309" i="21" s="1"/>
  <c r="P1308" i="21"/>
  <c r="R1308" i="21" s="1"/>
  <c r="P1307" i="21"/>
  <c r="R1307" i="21" s="1"/>
  <c r="H1306" i="21"/>
  <c r="P1305" i="21"/>
  <c r="R1305" i="21" s="1"/>
  <c r="B1305" i="21"/>
  <c r="B1306" i="21" s="1"/>
  <c r="B1307" i="21" s="1"/>
  <c r="B1308" i="21" s="1"/>
  <c r="B1309" i="21" s="1"/>
  <c r="B1310" i="21" s="1"/>
  <c r="B1311" i="21" s="1"/>
  <c r="B1312" i="21" s="1"/>
  <c r="B1313" i="21" s="1"/>
  <c r="B1314" i="21" s="1"/>
  <c r="B1315" i="21" s="1"/>
  <c r="B1316" i="21" s="1"/>
  <c r="B1317" i="21" s="1"/>
  <c r="B1318" i="21" s="1"/>
  <c r="B1319" i="21" s="1"/>
  <c r="B1320" i="21" s="1"/>
  <c r="B1321" i="21" s="1"/>
  <c r="B1322" i="21" s="1"/>
  <c r="B1323" i="21" s="1"/>
  <c r="B1324" i="21" s="1"/>
  <c r="B1325" i="21" s="1"/>
  <c r="B1326" i="21" s="1"/>
  <c r="B1327" i="21" s="1"/>
  <c r="B1328" i="21" s="1"/>
  <c r="B1329" i="21" s="1"/>
  <c r="B1330" i="21" s="1"/>
  <c r="B1331" i="21" s="1"/>
  <c r="B1332" i="21" s="1"/>
  <c r="B1333" i="21" s="1"/>
  <c r="B1334" i="21" s="1"/>
  <c r="B1335" i="21" s="1"/>
  <c r="B1336" i="21" s="1"/>
  <c r="P1256" i="21"/>
  <c r="R1256" i="21" s="1"/>
  <c r="P1255" i="21"/>
  <c r="R1255" i="21" s="1"/>
  <c r="P1254" i="21"/>
  <c r="R1254" i="21" s="1"/>
  <c r="P1253" i="21"/>
  <c r="R1253" i="21" s="1"/>
  <c r="P1252" i="21"/>
  <c r="R1252" i="21" s="1"/>
  <c r="P1251" i="21"/>
  <c r="R1251" i="21" s="1"/>
  <c r="H1250" i="21"/>
  <c r="J1250" i="21" s="1"/>
  <c r="P1249" i="21"/>
  <c r="R1249" i="21" s="1"/>
  <c r="P1248" i="21"/>
  <c r="R1248" i="21" s="1"/>
  <c r="P1246" i="21"/>
  <c r="R1246" i="21" s="1"/>
  <c r="P1245" i="21"/>
  <c r="R1245" i="21" s="1"/>
  <c r="P1244" i="21"/>
  <c r="R1244" i="21" s="1"/>
  <c r="P1243" i="21"/>
  <c r="R1243" i="21" s="1"/>
  <c r="H1242" i="21"/>
  <c r="P1241" i="21"/>
  <c r="R1241" i="21" s="1"/>
  <c r="P1240" i="21"/>
  <c r="R1240" i="21" s="1"/>
  <c r="P1239" i="21"/>
  <c r="R1239" i="21" s="1"/>
  <c r="P1238" i="21"/>
  <c r="R1238" i="21" s="1"/>
  <c r="P1237" i="21"/>
  <c r="R1237" i="21" s="1"/>
  <c r="P1236" i="21"/>
  <c r="R1236" i="21" s="1"/>
  <c r="P1235" i="21"/>
  <c r="R1235" i="21" s="1"/>
  <c r="H1234" i="21"/>
  <c r="J1234" i="21" s="1"/>
  <c r="P1233" i="21"/>
  <c r="R1233" i="21" s="1"/>
  <c r="P1232" i="21"/>
  <c r="R1232" i="21" s="1"/>
  <c r="P1228" i="21"/>
  <c r="R1228" i="21" s="1"/>
  <c r="P1227" i="21"/>
  <c r="R1227" i="21" s="1"/>
  <c r="P1226" i="21"/>
  <c r="R1226" i="21" s="1"/>
  <c r="P1225" i="21"/>
  <c r="R1225" i="21" s="1"/>
  <c r="P1223" i="21"/>
  <c r="R1223" i="21" s="1"/>
  <c r="H1222" i="21"/>
  <c r="P1220" i="21"/>
  <c r="R1220" i="21" s="1"/>
  <c r="P1219" i="21"/>
  <c r="R1219" i="21" s="1"/>
  <c r="H1218" i="21"/>
  <c r="L1217" i="21"/>
  <c r="P1215" i="21"/>
  <c r="R1215" i="21" s="1"/>
  <c r="P1214" i="21"/>
  <c r="R1214" i="21" s="1"/>
  <c r="P1213" i="21"/>
  <c r="R1213" i="21" s="1"/>
  <c r="P1212" i="21"/>
  <c r="R1212" i="21" s="1"/>
  <c r="P1211" i="21"/>
  <c r="R1211" i="21" s="1"/>
  <c r="H1210" i="21"/>
  <c r="H1209" i="21"/>
  <c r="H1208" i="21"/>
  <c r="P1206" i="21"/>
  <c r="R1206" i="21" s="1"/>
  <c r="P1205" i="21"/>
  <c r="R1205" i="21" s="1"/>
  <c r="P1204" i="21"/>
  <c r="R1204" i="21" s="1"/>
  <c r="P1203" i="21"/>
  <c r="R1203" i="21" s="1"/>
  <c r="P1202" i="21"/>
  <c r="R1202" i="21" s="1"/>
  <c r="P1201" i="21"/>
  <c r="R1201" i="21" s="1"/>
  <c r="H1200" i="21"/>
  <c r="H1199" i="21"/>
  <c r="H1198" i="21"/>
  <c r="J1198" i="21" s="1"/>
  <c r="L1197" i="21"/>
  <c r="P1195" i="21"/>
  <c r="R1195" i="21" s="1"/>
  <c r="P1194" i="21"/>
  <c r="R1194" i="21" s="1"/>
  <c r="P1193" i="21"/>
  <c r="R1193" i="21" s="1"/>
  <c r="P1192" i="21"/>
  <c r="R1192" i="21" s="1"/>
  <c r="P1191" i="21"/>
  <c r="R1191" i="21" s="1"/>
  <c r="P1190" i="21"/>
  <c r="R1190" i="21" s="1"/>
  <c r="P1189" i="21"/>
  <c r="R1189" i="21" s="1"/>
  <c r="H1188" i="21"/>
  <c r="H1187" i="21"/>
  <c r="H1186" i="21"/>
  <c r="J1186" i="21" s="1"/>
  <c r="L1185" i="21"/>
  <c r="N1185" i="21" s="1"/>
  <c r="P1184" i="21"/>
  <c r="R1184" i="21" s="1"/>
  <c r="P1183" i="21"/>
  <c r="R1183" i="21" s="1"/>
  <c r="P1182" i="21"/>
  <c r="R1182" i="21" s="1"/>
  <c r="P1181" i="21"/>
  <c r="R1181" i="21" s="1"/>
  <c r="P1180" i="21"/>
  <c r="R1180" i="21" s="1"/>
  <c r="H1179" i="21"/>
  <c r="J1179" i="21" s="1"/>
  <c r="H1178" i="21"/>
  <c r="H1177" i="21"/>
  <c r="L1176" i="21"/>
  <c r="N1176" i="21" s="1"/>
  <c r="P1174" i="21"/>
  <c r="R1174" i="21" s="1"/>
  <c r="P1173" i="21"/>
  <c r="R1173" i="21" s="1"/>
  <c r="P1172" i="21"/>
  <c r="R1172" i="21" s="1"/>
  <c r="P1171" i="21"/>
  <c r="R1171" i="21" s="1"/>
  <c r="P1170" i="21"/>
  <c r="R1170" i="21" s="1"/>
  <c r="H1169" i="21"/>
  <c r="H1168" i="21"/>
  <c r="J1168" i="21" s="1"/>
  <c r="H1167" i="21"/>
  <c r="P1165" i="21"/>
  <c r="R1165" i="21" s="1"/>
  <c r="P1164" i="21"/>
  <c r="R1164" i="21" s="1"/>
  <c r="P1163" i="21"/>
  <c r="R1163" i="21" s="1"/>
  <c r="P1162" i="21"/>
  <c r="R1162" i="21" s="1"/>
  <c r="P1161" i="21"/>
  <c r="R1161" i="21" s="1"/>
  <c r="H1160" i="21"/>
  <c r="H1159" i="21"/>
  <c r="H1158" i="21"/>
  <c r="P1154" i="21"/>
  <c r="R1154" i="21" s="1"/>
  <c r="P1153" i="21"/>
  <c r="R1153" i="21" s="1"/>
  <c r="P1152" i="21"/>
  <c r="R1152" i="21" s="1"/>
  <c r="P1151" i="21"/>
  <c r="R1151" i="21" s="1"/>
  <c r="H1150" i="21"/>
  <c r="H1149" i="21"/>
  <c r="H1148" i="21"/>
  <c r="J1148" i="21" s="1"/>
  <c r="P1145" i="21"/>
  <c r="R1145" i="21" s="1"/>
  <c r="P1144" i="21"/>
  <c r="R1144" i="21" s="1"/>
  <c r="P1143" i="21"/>
  <c r="R1143" i="21" s="1"/>
  <c r="P1142" i="21"/>
  <c r="R1142" i="21" s="1"/>
  <c r="H1141" i="21"/>
  <c r="J1141" i="21" s="1"/>
  <c r="H1140" i="21"/>
  <c r="H1139" i="21"/>
  <c r="J1139" i="21" s="1"/>
  <c r="P1136" i="21"/>
  <c r="R1136" i="21" s="1"/>
  <c r="P1135" i="21"/>
  <c r="R1135" i="21" s="1"/>
  <c r="P1134" i="21"/>
  <c r="R1134" i="21" s="1"/>
  <c r="P1133" i="21"/>
  <c r="R1133" i="21" s="1"/>
  <c r="P1132" i="21"/>
  <c r="R1132" i="21" s="1"/>
  <c r="P1131" i="21"/>
  <c r="R1131" i="21" s="1"/>
  <c r="H1130" i="21"/>
  <c r="H1129" i="21"/>
  <c r="J1129" i="21" s="1"/>
  <c r="H1128" i="21"/>
  <c r="P1126" i="21"/>
  <c r="R1126" i="21" s="1"/>
  <c r="P1125" i="21"/>
  <c r="R1125" i="21" s="1"/>
  <c r="P1124" i="21"/>
  <c r="R1124" i="21" s="1"/>
  <c r="P1123" i="21"/>
  <c r="R1123" i="21" s="1"/>
  <c r="P1122" i="21"/>
  <c r="R1122" i="21" s="1"/>
  <c r="P1121" i="21"/>
  <c r="R1121" i="21" s="1"/>
  <c r="P1120" i="21"/>
  <c r="R1120" i="21" s="1"/>
  <c r="H1119" i="21"/>
  <c r="H1118" i="21"/>
  <c r="H1117" i="21"/>
  <c r="L1115" i="21"/>
  <c r="N1115" i="21" s="1"/>
  <c r="P1114" i="21"/>
  <c r="R1114" i="21" s="1"/>
  <c r="P1113" i="21"/>
  <c r="R1113" i="21" s="1"/>
  <c r="P1112" i="21"/>
  <c r="R1112" i="21" s="1"/>
  <c r="P1111" i="21"/>
  <c r="R1111" i="21" s="1"/>
  <c r="P1110" i="21"/>
  <c r="R1110" i="21" s="1"/>
  <c r="H1109" i="21"/>
  <c r="H1108" i="21"/>
  <c r="J1108" i="21" s="1"/>
  <c r="H1107" i="21"/>
  <c r="P1105" i="21"/>
  <c r="R1105" i="21" s="1"/>
  <c r="P1104" i="21"/>
  <c r="R1104" i="21" s="1"/>
  <c r="P1103" i="21"/>
  <c r="R1103" i="21" s="1"/>
  <c r="P1102" i="21"/>
  <c r="R1102" i="21" s="1"/>
  <c r="P1101" i="21"/>
  <c r="R1101" i="21" s="1"/>
  <c r="H1100" i="21"/>
  <c r="H1099" i="21"/>
  <c r="H1098" i="21"/>
  <c r="P1095" i="21"/>
  <c r="R1095" i="21" s="1"/>
  <c r="P1094" i="21"/>
  <c r="R1094" i="21" s="1"/>
  <c r="P1093" i="21"/>
  <c r="R1093" i="21" s="1"/>
  <c r="P1092" i="21"/>
  <c r="R1092" i="21" s="1"/>
  <c r="P1091" i="21"/>
  <c r="R1091" i="21" s="1"/>
  <c r="P1090" i="21"/>
  <c r="R1090" i="21" s="1"/>
  <c r="H1089" i="21"/>
  <c r="H1088" i="21"/>
  <c r="H1087" i="21"/>
  <c r="J1087" i="21" s="1"/>
  <c r="P1085" i="21"/>
  <c r="R1085" i="21" s="1"/>
  <c r="P1084" i="21"/>
  <c r="R1084" i="21" s="1"/>
  <c r="P1083" i="21"/>
  <c r="R1083" i="21" s="1"/>
  <c r="P1082" i="21"/>
  <c r="R1082" i="21" s="1"/>
  <c r="P1081" i="21"/>
  <c r="R1081" i="21" s="1"/>
  <c r="P1080" i="21"/>
  <c r="R1080" i="21" s="1"/>
  <c r="H1079" i="21"/>
  <c r="H1078" i="21"/>
  <c r="H1077" i="21"/>
  <c r="J1077" i="21" s="1"/>
  <c r="P1073" i="21"/>
  <c r="R1073" i="21" s="1"/>
  <c r="P1072" i="21"/>
  <c r="R1072" i="21" s="1"/>
  <c r="P1071" i="21"/>
  <c r="R1071" i="21" s="1"/>
  <c r="P1070" i="21"/>
  <c r="R1070" i="21" s="1"/>
  <c r="H1069" i="21"/>
  <c r="H1068" i="21"/>
  <c r="J1068" i="21" s="1"/>
  <c r="H1067" i="21"/>
  <c r="L1066" i="21"/>
  <c r="N1066" i="21" s="1"/>
  <c r="P1065" i="21"/>
  <c r="R1065" i="21" s="1"/>
  <c r="P1064" i="21"/>
  <c r="R1064" i="21" s="1"/>
  <c r="P1063" i="21"/>
  <c r="R1063" i="21" s="1"/>
  <c r="P1062" i="21"/>
  <c r="R1062" i="21" s="1"/>
  <c r="H1061" i="21"/>
  <c r="H1060" i="21"/>
  <c r="H1059" i="21"/>
  <c r="J1059" i="21" s="1"/>
  <c r="L1057" i="21"/>
  <c r="P1056" i="21"/>
  <c r="R1056" i="21" s="1"/>
  <c r="P1055" i="21"/>
  <c r="R1055" i="21" s="1"/>
  <c r="P1054" i="21"/>
  <c r="R1054" i="21" s="1"/>
  <c r="H1053" i="21"/>
  <c r="H1052" i="21"/>
  <c r="H1051" i="21"/>
  <c r="P1049" i="21"/>
  <c r="R1049" i="21" s="1"/>
  <c r="P1048" i="21"/>
  <c r="R1048" i="21" s="1"/>
  <c r="P1047" i="21"/>
  <c r="R1047" i="21" s="1"/>
  <c r="P1046" i="21"/>
  <c r="R1046" i="21" s="1"/>
  <c r="H1045" i="21"/>
  <c r="J1045" i="21" s="1"/>
  <c r="H1044" i="21"/>
  <c r="H1043" i="21"/>
  <c r="L1042" i="21"/>
  <c r="N1042" i="21" s="1"/>
  <c r="L1041" i="21"/>
  <c r="P1040" i="21"/>
  <c r="R1040" i="21" s="1"/>
  <c r="P1039" i="21"/>
  <c r="R1039" i="21" s="1"/>
  <c r="P1038" i="21"/>
  <c r="R1038" i="21" s="1"/>
  <c r="H1037" i="21"/>
  <c r="J1037" i="21" s="1"/>
  <c r="H1036" i="21"/>
  <c r="H1035" i="21"/>
  <c r="L1033" i="21"/>
  <c r="L1026" i="21" s="1"/>
  <c r="N1026" i="21" s="1"/>
  <c r="P1032" i="21"/>
  <c r="R1032" i="21" s="1"/>
  <c r="P1031" i="21"/>
  <c r="R1031" i="21" s="1"/>
  <c r="H1030" i="21"/>
  <c r="H1028" i="21"/>
  <c r="J1028" i="21" s="1"/>
  <c r="H1027" i="21"/>
  <c r="L1025" i="21"/>
  <c r="L1018" i="21" s="1"/>
  <c r="N1018" i="21" s="1"/>
  <c r="P1024" i="21"/>
  <c r="R1024" i="21" s="1"/>
  <c r="P1023" i="21"/>
  <c r="R1023" i="21" s="1"/>
  <c r="P1022" i="21"/>
  <c r="R1022" i="21" s="1"/>
  <c r="H1021" i="21"/>
  <c r="H1020" i="21"/>
  <c r="H1019" i="21"/>
  <c r="P1017" i="21"/>
  <c r="R1017" i="21" s="1"/>
  <c r="P1016" i="21"/>
  <c r="R1016" i="21" s="1"/>
  <c r="P1015" i="21"/>
  <c r="R1015" i="21" s="1"/>
  <c r="P1014" i="21"/>
  <c r="R1014" i="21" s="1"/>
  <c r="P1013" i="21"/>
  <c r="R1013" i="21" s="1"/>
  <c r="H1012" i="21"/>
  <c r="H1011" i="21"/>
  <c r="H1010" i="21"/>
  <c r="L1009" i="21"/>
  <c r="N1009" i="21" s="1"/>
  <c r="P1008" i="21"/>
  <c r="R1008" i="21" s="1"/>
  <c r="P1007" i="21"/>
  <c r="R1007" i="21" s="1"/>
  <c r="P1006" i="21"/>
  <c r="R1006" i="21" s="1"/>
  <c r="P1005" i="21"/>
  <c r="R1005" i="21" s="1"/>
  <c r="H1004" i="21"/>
  <c r="H1003" i="21"/>
  <c r="H1002" i="21"/>
  <c r="L1001" i="21"/>
  <c r="N1001" i="21" s="1"/>
  <c r="P1000" i="21"/>
  <c r="R1000" i="21" s="1"/>
  <c r="H999" i="21"/>
  <c r="P998" i="21"/>
  <c r="R998" i="21" s="1"/>
  <c r="P997" i="21"/>
  <c r="R997" i="21" s="1"/>
  <c r="P996" i="21"/>
  <c r="R996" i="21" s="1"/>
  <c r="H995" i="21"/>
  <c r="H994" i="21"/>
  <c r="J994" i="21" s="1"/>
  <c r="H993" i="21"/>
  <c r="L992" i="21"/>
  <c r="N992" i="21" s="1"/>
  <c r="P991" i="21"/>
  <c r="R991" i="21" s="1"/>
  <c r="P990" i="21"/>
  <c r="R990" i="21" s="1"/>
  <c r="P989" i="21"/>
  <c r="R989" i="21" s="1"/>
  <c r="H988" i="21"/>
  <c r="J988" i="21" s="1"/>
  <c r="H987" i="21"/>
  <c r="H986" i="21"/>
  <c r="J986" i="21" s="1"/>
  <c r="P984" i="21"/>
  <c r="R984" i="21" s="1"/>
  <c r="P983" i="21"/>
  <c r="R983" i="21" s="1"/>
  <c r="P982" i="21"/>
  <c r="R982" i="21" s="1"/>
  <c r="H981" i="21"/>
  <c r="H980" i="21"/>
  <c r="H979" i="21"/>
  <c r="P977" i="21"/>
  <c r="R977" i="21" s="1"/>
  <c r="P976" i="21"/>
  <c r="R976" i="21" s="1"/>
  <c r="P975" i="21"/>
  <c r="R975" i="21" s="1"/>
  <c r="P974" i="21"/>
  <c r="R974" i="21" s="1"/>
  <c r="H973" i="21"/>
  <c r="J973" i="21" s="1"/>
  <c r="H972" i="21"/>
  <c r="H971" i="21"/>
  <c r="L970" i="21"/>
  <c r="N970" i="21" s="1"/>
  <c r="P969" i="21"/>
  <c r="R969" i="21" s="1"/>
  <c r="P968" i="21"/>
  <c r="R968" i="21" s="1"/>
  <c r="P967" i="21"/>
  <c r="R967" i="21" s="1"/>
  <c r="P966" i="21"/>
  <c r="R966" i="21" s="1"/>
  <c r="H965" i="21"/>
  <c r="H964" i="21"/>
  <c r="J964" i="21" s="1"/>
  <c r="H963" i="21"/>
  <c r="L962" i="21"/>
  <c r="N962" i="21" s="1"/>
  <c r="P958" i="21"/>
  <c r="R958" i="21" s="1"/>
  <c r="P957" i="21"/>
  <c r="R957" i="21" s="1"/>
  <c r="P955" i="21"/>
  <c r="R955" i="21" s="1"/>
  <c r="H954" i="21"/>
  <c r="P954" i="21" s="1"/>
  <c r="R954" i="21" s="1"/>
  <c r="P953" i="21"/>
  <c r="R953" i="21" s="1"/>
  <c r="P952" i="21"/>
  <c r="R952" i="21" s="1"/>
  <c r="P951" i="21"/>
  <c r="R951" i="21" s="1"/>
  <c r="P950" i="21"/>
  <c r="R950" i="21" s="1"/>
  <c r="H948" i="21"/>
  <c r="H947" i="21"/>
  <c r="P945" i="21"/>
  <c r="R945" i="21" s="1"/>
  <c r="P944" i="21"/>
  <c r="R944" i="21" s="1"/>
  <c r="P943" i="21"/>
  <c r="R943" i="21" s="1"/>
  <c r="P942" i="21"/>
  <c r="R942" i="21" s="1"/>
  <c r="P941" i="21"/>
  <c r="R941" i="21" s="1"/>
  <c r="P940" i="21"/>
  <c r="R940" i="21" s="1"/>
  <c r="P939" i="21"/>
  <c r="R939" i="21" s="1"/>
  <c r="H938" i="21"/>
  <c r="H937" i="21"/>
  <c r="H936" i="21"/>
  <c r="J936" i="21" s="1"/>
  <c r="P933" i="21"/>
  <c r="R933" i="21" s="1"/>
  <c r="P932" i="21"/>
  <c r="R932" i="21" s="1"/>
  <c r="P931" i="21"/>
  <c r="R931" i="21" s="1"/>
  <c r="P930" i="21"/>
  <c r="R930" i="21" s="1"/>
  <c r="P928" i="21"/>
  <c r="R928" i="21" s="1"/>
  <c r="P927" i="21"/>
  <c r="R927" i="21" s="1"/>
  <c r="P926" i="21"/>
  <c r="R926" i="21" s="1"/>
  <c r="P925" i="21"/>
  <c r="R925" i="21" s="1"/>
  <c r="H924" i="21"/>
  <c r="H923" i="21"/>
  <c r="J923" i="21" s="1"/>
  <c r="H922" i="21"/>
  <c r="P920" i="21"/>
  <c r="R920" i="21" s="1"/>
  <c r="P919" i="21"/>
  <c r="R919" i="21" s="1"/>
  <c r="P918" i="21"/>
  <c r="R918" i="21" s="1"/>
  <c r="P917" i="21"/>
  <c r="R917" i="21" s="1"/>
  <c r="H916" i="21"/>
  <c r="J916" i="21" s="1"/>
  <c r="H915" i="21"/>
  <c r="J915" i="21" s="1"/>
  <c r="H914" i="21"/>
  <c r="P912" i="21"/>
  <c r="R912" i="21" s="1"/>
  <c r="P911" i="21"/>
  <c r="R911" i="21" s="1"/>
  <c r="P910" i="21"/>
  <c r="R910" i="21" s="1"/>
  <c r="P909" i="21"/>
  <c r="R909" i="21" s="1"/>
  <c r="H908" i="21"/>
  <c r="J908" i="21" s="1"/>
  <c r="H907" i="21"/>
  <c r="H906" i="21"/>
  <c r="P904" i="21"/>
  <c r="R904" i="21" s="1"/>
  <c r="P903" i="21"/>
  <c r="R903" i="21" s="1"/>
  <c r="P902" i="21"/>
  <c r="R902" i="21" s="1"/>
  <c r="H901" i="21"/>
  <c r="H900" i="21"/>
  <c r="J900" i="21" s="1"/>
  <c r="H899" i="21"/>
  <c r="P897" i="21"/>
  <c r="R897" i="21" s="1"/>
  <c r="P896" i="21"/>
  <c r="R896" i="21" s="1"/>
  <c r="P895" i="21"/>
  <c r="R895" i="21" s="1"/>
  <c r="P894" i="21"/>
  <c r="R894" i="21" s="1"/>
  <c r="H893" i="21"/>
  <c r="J891" i="21"/>
  <c r="P889" i="21"/>
  <c r="R889" i="21" s="1"/>
  <c r="P888" i="21"/>
  <c r="R888" i="21" s="1"/>
  <c r="P887" i="21"/>
  <c r="R887" i="21" s="1"/>
  <c r="P886" i="21"/>
  <c r="R886" i="21" s="1"/>
  <c r="H885" i="21"/>
  <c r="H884" i="21"/>
  <c r="H883" i="21"/>
  <c r="P883" i="21" s="1"/>
  <c r="R883" i="21" s="1"/>
  <c r="P881" i="21"/>
  <c r="R881" i="21" s="1"/>
  <c r="P880" i="21"/>
  <c r="R880" i="21" s="1"/>
  <c r="P879" i="21"/>
  <c r="R879" i="21" s="1"/>
  <c r="P878" i="21"/>
  <c r="R878" i="21" s="1"/>
  <c r="H877" i="21"/>
  <c r="H876" i="21"/>
  <c r="J876" i="21" s="1"/>
  <c r="H875" i="21"/>
  <c r="J875" i="21" s="1"/>
  <c r="P873" i="21"/>
  <c r="R873" i="21" s="1"/>
  <c r="P872" i="21"/>
  <c r="R872" i="21" s="1"/>
  <c r="P871" i="21"/>
  <c r="R871" i="21" s="1"/>
  <c r="P870" i="21"/>
  <c r="R870" i="21" s="1"/>
  <c r="H869" i="21"/>
  <c r="P865" i="21"/>
  <c r="R865" i="21" s="1"/>
  <c r="P864" i="21"/>
  <c r="R864" i="21" s="1"/>
  <c r="P863" i="21"/>
  <c r="R863" i="21" s="1"/>
  <c r="H862" i="21"/>
  <c r="H861" i="21"/>
  <c r="J861" i="21" s="1"/>
  <c r="H860" i="21"/>
  <c r="H856" i="21"/>
  <c r="P855" i="21"/>
  <c r="R855" i="21" s="1"/>
  <c r="P854" i="21"/>
  <c r="R854" i="21" s="1"/>
  <c r="H853" i="21"/>
  <c r="J853" i="21" s="1"/>
  <c r="H852" i="21"/>
  <c r="P851" i="21"/>
  <c r="R851" i="21" s="1"/>
  <c r="H849" i="21"/>
  <c r="P849" i="21" s="1"/>
  <c r="R849" i="21" s="1"/>
  <c r="H848" i="21"/>
  <c r="J848" i="21" s="1"/>
  <c r="H846" i="21"/>
  <c r="P845" i="21"/>
  <c r="R845" i="21" s="1"/>
  <c r="P844" i="21"/>
  <c r="R844" i="21" s="1"/>
  <c r="H843" i="21"/>
  <c r="H842" i="21"/>
  <c r="P841" i="21"/>
  <c r="R841" i="21" s="1"/>
  <c r="H839" i="21"/>
  <c r="H838" i="21"/>
  <c r="J838" i="21" s="1"/>
  <c r="P835" i="21"/>
  <c r="R835" i="21" s="1"/>
  <c r="P834" i="21"/>
  <c r="R834" i="21" s="1"/>
  <c r="H833" i="21"/>
  <c r="J833" i="21" s="1"/>
  <c r="H832" i="21"/>
  <c r="J832" i="21" s="1"/>
  <c r="P831" i="21"/>
  <c r="R831" i="21" s="1"/>
  <c r="H830" i="21"/>
  <c r="J830" i="21" s="1"/>
  <c r="P829" i="21"/>
  <c r="R829" i="21" s="1"/>
  <c r="H827" i="21"/>
  <c r="P827" i="21" s="1"/>
  <c r="R827" i="21" s="1"/>
  <c r="H826" i="21"/>
  <c r="P824" i="21"/>
  <c r="R824" i="21" s="1"/>
  <c r="H823" i="21"/>
  <c r="H822" i="21"/>
  <c r="P821" i="21"/>
  <c r="R821" i="21" s="1"/>
  <c r="H820" i="21"/>
  <c r="J820" i="21" s="1"/>
  <c r="P819" i="21"/>
  <c r="R819" i="21" s="1"/>
  <c r="H817" i="21"/>
  <c r="P817" i="21" s="1"/>
  <c r="R817" i="21" s="1"/>
  <c r="H816" i="21"/>
  <c r="J816" i="21" s="1"/>
  <c r="P813" i="21"/>
  <c r="R813" i="21" s="1"/>
  <c r="P812" i="21"/>
  <c r="R812" i="21" s="1"/>
  <c r="H811" i="21"/>
  <c r="P810" i="21"/>
  <c r="R810" i="21" s="1"/>
  <c r="H809" i="21"/>
  <c r="H808" i="21"/>
  <c r="P807" i="21"/>
  <c r="R807" i="21" s="1"/>
  <c r="P806" i="21"/>
  <c r="R806" i="21" s="1"/>
  <c r="H804" i="21"/>
  <c r="H803" i="21"/>
  <c r="J803" i="21" s="1"/>
  <c r="P801" i="21"/>
  <c r="R801" i="21" s="1"/>
  <c r="P800" i="21"/>
  <c r="R800" i="21" s="1"/>
  <c r="H799" i="21"/>
  <c r="J799" i="21" s="1"/>
  <c r="H798" i="21"/>
  <c r="P797" i="21"/>
  <c r="R797" i="21" s="1"/>
  <c r="P796" i="21"/>
  <c r="R796" i="21" s="1"/>
  <c r="H794" i="21"/>
  <c r="H793" i="21"/>
  <c r="J793" i="21" s="1"/>
  <c r="P790" i="21"/>
  <c r="R790" i="21" s="1"/>
  <c r="P788" i="21"/>
  <c r="R788" i="21" s="1"/>
  <c r="P787" i="21"/>
  <c r="R787" i="21" s="1"/>
  <c r="P786" i="21"/>
  <c r="R786" i="21" s="1"/>
  <c r="H785" i="21"/>
  <c r="P785" i="21" s="1"/>
  <c r="R785" i="21" s="1"/>
  <c r="P784" i="21"/>
  <c r="R784" i="21" s="1"/>
  <c r="P783" i="21"/>
  <c r="R783" i="21" s="1"/>
  <c r="P782" i="21"/>
  <c r="R782" i="21" s="1"/>
  <c r="H781" i="21"/>
  <c r="P781" i="21" s="1"/>
  <c r="H780" i="21"/>
  <c r="J780" i="21" s="1"/>
  <c r="H779" i="21"/>
  <c r="J779" i="21" s="1"/>
  <c r="L778" i="21"/>
  <c r="L767" i="21" s="1"/>
  <c r="P777" i="21"/>
  <c r="R777" i="21" s="1"/>
  <c r="P776" i="21"/>
  <c r="R776" i="21" s="1"/>
  <c r="H775" i="21"/>
  <c r="P775" i="21" s="1"/>
  <c r="R775" i="21" s="1"/>
  <c r="P774" i="21"/>
  <c r="R774" i="21" s="1"/>
  <c r="P773" i="21"/>
  <c r="R773" i="21" s="1"/>
  <c r="P772" i="21"/>
  <c r="R772" i="21" s="1"/>
  <c r="H770" i="21"/>
  <c r="J770" i="21" s="1"/>
  <c r="H769" i="21"/>
  <c r="H766" i="21"/>
  <c r="P765" i="21"/>
  <c r="R765" i="21" s="1"/>
  <c r="P764" i="21"/>
  <c r="R764" i="21" s="1"/>
  <c r="H763" i="21"/>
  <c r="J763" i="21" s="1"/>
  <c r="P762" i="21"/>
  <c r="R762" i="21" s="1"/>
  <c r="P761" i="21"/>
  <c r="R761" i="21" s="1"/>
  <c r="P760" i="21"/>
  <c r="R760" i="21" s="1"/>
  <c r="P759" i="21"/>
  <c r="R759" i="21" s="1"/>
  <c r="H757" i="21"/>
  <c r="J757" i="21" s="1"/>
  <c r="H756" i="21"/>
  <c r="H754" i="21"/>
  <c r="P753" i="21"/>
  <c r="R753" i="21" s="1"/>
  <c r="P752" i="21"/>
  <c r="R752" i="21" s="1"/>
  <c r="H751" i="21"/>
  <c r="H746" i="21" s="1"/>
  <c r="P746" i="21" s="1"/>
  <c r="P750" i="21"/>
  <c r="R750" i="21" s="1"/>
  <c r="P749" i="21"/>
  <c r="R749" i="21" s="1"/>
  <c r="P748" i="21"/>
  <c r="R748" i="21" s="1"/>
  <c r="P747" i="21"/>
  <c r="R747" i="21" s="1"/>
  <c r="H745" i="21"/>
  <c r="J745" i="21" s="1"/>
  <c r="H744" i="21"/>
  <c r="L740" i="21"/>
  <c r="L728" i="21" s="1"/>
  <c r="P739" i="21"/>
  <c r="R739" i="21" s="1"/>
  <c r="P738" i="21"/>
  <c r="R738" i="21" s="1"/>
  <c r="P737" i="21"/>
  <c r="R737" i="21" s="1"/>
  <c r="P736" i="21"/>
  <c r="R736" i="21" s="1"/>
  <c r="P735" i="21"/>
  <c r="R735" i="21" s="1"/>
  <c r="H734" i="21"/>
  <c r="J734" i="21" s="1"/>
  <c r="P733" i="21"/>
  <c r="R733" i="21" s="1"/>
  <c r="P732" i="21"/>
  <c r="R732" i="21" s="1"/>
  <c r="H730" i="21"/>
  <c r="P730" i="21" s="1"/>
  <c r="R730" i="21" s="1"/>
  <c r="H729" i="21"/>
  <c r="P727" i="21"/>
  <c r="R727" i="21" s="1"/>
  <c r="P726" i="21"/>
  <c r="R726" i="21" s="1"/>
  <c r="P725" i="21"/>
  <c r="R725" i="21" s="1"/>
  <c r="P724" i="21"/>
  <c r="R724" i="21" s="1"/>
  <c r="P723" i="21"/>
  <c r="R723" i="21" s="1"/>
  <c r="H722" i="21"/>
  <c r="H719" i="21" s="1"/>
  <c r="P719" i="21" s="1"/>
  <c r="P721" i="21"/>
  <c r="R721" i="21" s="1"/>
  <c r="P720" i="21"/>
  <c r="R720" i="21" s="1"/>
  <c r="H718" i="21"/>
  <c r="J718" i="21" s="1"/>
  <c r="H717" i="21"/>
  <c r="L716" i="21"/>
  <c r="N716" i="21" s="1"/>
  <c r="H714" i="21"/>
  <c r="P713" i="21"/>
  <c r="R713" i="21" s="1"/>
  <c r="P712" i="21"/>
  <c r="R712" i="21" s="1"/>
  <c r="P711" i="21"/>
  <c r="R711" i="21" s="1"/>
  <c r="P710" i="21"/>
  <c r="R710" i="21" s="1"/>
  <c r="P709" i="21"/>
  <c r="R709" i="21" s="1"/>
  <c r="H708" i="21"/>
  <c r="P708" i="21" s="1"/>
  <c r="R708" i="21" s="1"/>
  <c r="P707" i="21"/>
  <c r="R707" i="21" s="1"/>
  <c r="H705" i="21"/>
  <c r="H704" i="21"/>
  <c r="P704" i="21" s="1"/>
  <c r="R704" i="21" s="1"/>
  <c r="H702" i="21"/>
  <c r="P701" i="21"/>
  <c r="R701" i="21" s="1"/>
  <c r="P700" i="21"/>
  <c r="R700" i="21" s="1"/>
  <c r="P699" i="21"/>
  <c r="R699" i="21" s="1"/>
  <c r="H698" i="21"/>
  <c r="P698" i="21" s="1"/>
  <c r="R698" i="21" s="1"/>
  <c r="P697" i="21"/>
  <c r="R697" i="21" s="1"/>
  <c r="H695" i="21"/>
  <c r="J695" i="21" s="1"/>
  <c r="H694" i="21"/>
  <c r="H691" i="21"/>
  <c r="J691" i="21" s="1"/>
  <c r="P690" i="21"/>
  <c r="R690" i="21" s="1"/>
  <c r="P689" i="21"/>
  <c r="R689" i="21" s="1"/>
  <c r="H688" i="21"/>
  <c r="P687" i="21"/>
  <c r="R687" i="21" s="1"/>
  <c r="P686" i="21"/>
  <c r="R686" i="21" s="1"/>
  <c r="P685" i="21"/>
  <c r="R685" i="21" s="1"/>
  <c r="P684" i="21"/>
  <c r="R684" i="21" s="1"/>
  <c r="H682" i="21"/>
  <c r="H681" i="21"/>
  <c r="P681" i="21" s="1"/>
  <c r="R681" i="21" s="1"/>
  <c r="H679" i="21"/>
  <c r="P678" i="21"/>
  <c r="R678" i="21" s="1"/>
  <c r="H677" i="21"/>
  <c r="P677" i="21" s="1"/>
  <c r="R677" i="21" s="1"/>
  <c r="P676" i="21"/>
  <c r="R676" i="21" s="1"/>
  <c r="P675" i="21"/>
  <c r="R675" i="21" s="1"/>
  <c r="P674" i="21"/>
  <c r="R674" i="21" s="1"/>
  <c r="P673" i="21"/>
  <c r="R673" i="21" s="1"/>
  <c r="H671" i="21"/>
  <c r="H670" i="21"/>
  <c r="P667" i="21"/>
  <c r="R667" i="21" s="1"/>
  <c r="P666" i="21"/>
  <c r="R666" i="21" s="1"/>
  <c r="P665" i="21"/>
  <c r="R665" i="21" s="1"/>
  <c r="P664" i="21"/>
  <c r="R664" i="21" s="1"/>
  <c r="H663" i="21"/>
  <c r="H661" i="21"/>
  <c r="P661" i="21" s="1"/>
  <c r="R661" i="21" s="1"/>
  <c r="H660" i="21"/>
  <c r="J660" i="21" s="1"/>
  <c r="P655" i="21"/>
  <c r="P654" i="21"/>
  <c r="P653" i="21"/>
  <c r="H651" i="21"/>
  <c r="P651" i="21" s="1"/>
  <c r="P649" i="21"/>
  <c r="P648" i="21"/>
  <c r="P647" i="21"/>
  <c r="P646" i="21"/>
  <c r="P645" i="21"/>
  <c r="P644" i="21"/>
  <c r="H643" i="21"/>
  <c r="P643" i="21" s="1"/>
  <c r="H642" i="21"/>
  <c r="J642" i="21" s="1"/>
  <c r="H641" i="21"/>
  <c r="P639" i="21"/>
  <c r="P638" i="21"/>
  <c r="P637" i="21"/>
  <c r="P636" i="21"/>
  <c r="H635" i="21"/>
  <c r="H633" i="21"/>
  <c r="H632" i="21"/>
  <c r="J632" i="21" s="1"/>
  <c r="P630" i="21"/>
  <c r="P629" i="21"/>
  <c r="P628" i="21"/>
  <c r="P627" i="21"/>
  <c r="H626" i="21"/>
  <c r="P625" i="21"/>
  <c r="H623" i="21"/>
  <c r="H622" i="21"/>
  <c r="J622" i="21" s="1"/>
  <c r="P620" i="21"/>
  <c r="P619" i="21"/>
  <c r="P618" i="21"/>
  <c r="P617" i="21"/>
  <c r="H616" i="21"/>
  <c r="P616" i="21" s="1"/>
  <c r="H615" i="21"/>
  <c r="H614" i="21"/>
  <c r="P612" i="21"/>
  <c r="P611" i="21"/>
  <c r="P610" i="21"/>
  <c r="H609" i="21"/>
  <c r="P609" i="21" s="1"/>
  <c r="H608" i="21"/>
  <c r="H607" i="21"/>
  <c r="L605" i="21"/>
  <c r="L604" i="21"/>
  <c r="P604" i="21" s="1"/>
  <c r="P603" i="21"/>
  <c r="P602" i="21"/>
  <c r="P601" i="21"/>
  <c r="P600" i="21"/>
  <c r="H599" i="21"/>
  <c r="P599" i="21" s="1"/>
  <c r="H598" i="21"/>
  <c r="J598" i="21" s="1"/>
  <c r="H597" i="21"/>
  <c r="P597" i="21" s="1"/>
  <c r="L595" i="21"/>
  <c r="N595" i="21" s="1"/>
  <c r="P594" i="21"/>
  <c r="P593" i="21"/>
  <c r="P592" i="21"/>
  <c r="P591" i="21"/>
  <c r="P590" i="21"/>
  <c r="H589" i="21"/>
  <c r="P589" i="21" s="1"/>
  <c r="H588" i="21"/>
  <c r="J588" i="21" s="1"/>
  <c r="H587" i="21"/>
  <c r="P585" i="21"/>
  <c r="P584" i="21"/>
  <c r="P583" i="21"/>
  <c r="P582" i="21"/>
  <c r="P581" i="21"/>
  <c r="P580" i="21"/>
  <c r="H579" i="21"/>
  <c r="P579" i="21" s="1"/>
  <c r="H578" i="21"/>
  <c r="H577" i="21"/>
  <c r="P577" i="21" s="1"/>
  <c r="L576" i="21"/>
  <c r="L575" i="21"/>
  <c r="P575" i="21" s="1"/>
  <c r="P574" i="21"/>
  <c r="L573" i="21"/>
  <c r="P572" i="21"/>
  <c r="P571" i="21"/>
  <c r="H570" i="21"/>
  <c r="P569" i="21"/>
  <c r="H567" i="21"/>
  <c r="H566" i="21"/>
  <c r="P564" i="21"/>
  <c r="P563" i="21"/>
  <c r="P562" i="21"/>
  <c r="P561" i="21"/>
  <c r="P560" i="21"/>
  <c r="P559" i="21"/>
  <c r="H558" i="21"/>
  <c r="P558" i="21" s="1"/>
  <c r="H557" i="21"/>
  <c r="H556" i="21"/>
  <c r="P556" i="21" s="1"/>
  <c r="P554" i="21"/>
  <c r="P553" i="21"/>
  <c r="H552" i="21"/>
  <c r="H550" i="21" s="1"/>
  <c r="P551" i="21"/>
  <c r="H549" i="21"/>
  <c r="P549" i="21" s="1"/>
  <c r="H548" i="21"/>
  <c r="J548" i="21" s="1"/>
  <c r="P546" i="21"/>
  <c r="P545" i="21"/>
  <c r="P544" i="21"/>
  <c r="P542" i="21"/>
  <c r="P541" i="21"/>
  <c r="H540" i="21"/>
  <c r="P540" i="21" s="1"/>
  <c r="H539" i="21"/>
  <c r="H538" i="21"/>
  <c r="P536" i="21"/>
  <c r="P535" i="21"/>
  <c r="P534" i="21"/>
  <c r="P533" i="21"/>
  <c r="P532" i="21"/>
  <c r="H531" i="21"/>
  <c r="P531" i="21" s="1"/>
  <c r="H530" i="21"/>
  <c r="H529" i="21"/>
  <c r="J529" i="21" s="1"/>
  <c r="P527" i="21"/>
  <c r="P526" i="21"/>
  <c r="P525" i="21"/>
  <c r="H524" i="21"/>
  <c r="P524" i="21" s="1"/>
  <c r="H523" i="21"/>
  <c r="H522" i="21"/>
  <c r="P519" i="21"/>
  <c r="P518" i="21"/>
  <c r="P517" i="21"/>
  <c r="P516" i="21"/>
  <c r="P515" i="21"/>
  <c r="H514" i="21"/>
  <c r="H513" i="21"/>
  <c r="P513" i="21" s="1"/>
  <c r="H512" i="21"/>
  <c r="J512" i="21" s="1"/>
  <c r="P510" i="21"/>
  <c r="P509" i="21"/>
  <c r="P508" i="21"/>
  <c r="P507" i="21"/>
  <c r="H506" i="21"/>
  <c r="H505" i="21"/>
  <c r="H504" i="21"/>
  <c r="J504" i="21" s="1"/>
  <c r="B501" i="2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P454" i="21"/>
  <c r="P453" i="21"/>
  <c r="L452" i="21"/>
  <c r="P451" i="21"/>
  <c r="P450" i="21"/>
  <c r="P449" i="21"/>
  <c r="P448" i="21"/>
  <c r="P447" i="21"/>
  <c r="P446" i="21"/>
  <c r="P445" i="21"/>
  <c r="L444" i="21"/>
  <c r="P442" i="21"/>
  <c r="P441" i="21"/>
  <c r="P440" i="21"/>
  <c r="L439" i="21"/>
  <c r="P438" i="21"/>
  <c r="L437" i="21"/>
  <c r="P437" i="21" s="1"/>
  <c r="P436" i="21"/>
  <c r="P435" i="21"/>
  <c r="L434" i="21"/>
  <c r="L433" i="21"/>
  <c r="P433" i="21" s="1"/>
  <c r="P432" i="21"/>
  <c r="P431" i="21"/>
  <c r="L430" i="21"/>
  <c r="P429" i="21"/>
  <c r="P428" i="21"/>
  <c r="L427" i="21"/>
  <c r="P426" i="21"/>
  <c r="P425" i="21"/>
  <c r="P424" i="21"/>
  <c r="L423" i="21"/>
  <c r="P422" i="21"/>
  <c r="P421" i="21"/>
  <c r="L420" i="21"/>
  <c r="P419" i="21"/>
  <c r="P418" i="21"/>
  <c r="L417" i="21"/>
  <c r="P417" i="21" s="1"/>
  <c r="L416" i="21"/>
  <c r="L415" i="21"/>
  <c r="P414" i="21"/>
  <c r="P413" i="21"/>
  <c r="L412" i="21"/>
  <c r="P411" i="21"/>
  <c r="L410" i="21"/>
  <c r="P408" i="21"/>
  <c r="L407" i="21"/>
  <c r="P405" i="21"/>
  <c r="P404" i="21"/>
  <c r="P403" i="21"/>
  <c r="P402" i="21"/>
  <c r="H401" i="21"/>
  <c r="P401" i="21" s="1"/>
  <c r="P400" i="21"/>
  <c r="P399" i="21"/>
  <c r="H397" i="21"/>
  <c r="P397" i="21" s="1"/>
  <c r="P396" i="21"/>
  <c r="P395" i="21"/>
  <c r="H394" i="21"/>
  <c r="P394" i="21" s="1"/>
  <c r="H392" i="21"/>
  <c r="P392" i="21" s="1"/>
  <c r="P391" i="21"/>
  <c r="H390" i="21"/>
  <c r="P390" i="21" s="1"/>
  <c r="B389" i="2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P374" i="21"/>
  <c r="P373" i="21"/>
  <c r="P372" i="21"/>
  <c r="P371" i="21"/>
  <c r="P370" i="21"/>
  <c r="P369" i="21"/>
  <c r="P368" i="21"/>
  <c r="H367" i="21"/>
  <c r="P367" i="21" s="1"/>
  <c r="P366" i="21"/>
  <c r="L365" i="21"/>
  <c r="H365" i="21"/>
  <c r="P364" i="21"/>
  <c r="P363" i="21"/>
  <c r="L362" i="21"/>
  <c r="H362" i="21"/>
  <c r="L360" i="21"/>
  <c r="H358" i="21"/>
  <c r="P358" i="21" s="1"/>
  <c r="P357" i="21"/>
  <c r="H356" i="21"/>
  <c r="P356" i="21" s="1"/>
  <c r="H355" i="21"/>
  <c r="P355" i="21" s="1"/>
  <c r="P353" i="21"/>
  <c r="P352" i="21"/>
  <c r="H350" i="21"/>
  <c r="P350" i="21" s="1"/>
  <c r="H349" i="21"/>
  <c r="P349" i="21" s="1"/>
  <c r="P346" i="21"/>
  <c r="P345" i="21"/>
  <c r="P344" i="21"/>
  <c r="P343" i="21"/>
  <c r="P342" i="21"/>
  <c r="P341" i="21"/>
  <c r="P340" i="21"/>
  <c r="P339" i="21"/>
  <c r="H338" i="21"/>
  <c r="P338" i="21" s="1"/>
  <c r="P337" i="21"/>
  <c r="P336" i="21"/>
  <c r="L335" i="21"/>
  <c r="B335" i="2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P291" i="21"/>
  <c r="P290" i="21"/>
  <c r="P289" i="21"/>
  <c r="P288" i="21"/>
  <c r="P287" i="21"/>
  <c r="P286" i="21"/>
  <c r="H285" i="21"/>
  <c r="P285" i="21" s="1"/>
  <c r="P284" i="21"/>
  <c r="P283" i="21"/>
  <c r="L281" i="21"/>
  <c r="P280" i="21"/>
  <c r="L279" i="21"/>
  <c r="P279" i="21" s="1"/>
  <c r="P278" i="21"/>
  <c r="L277" i="21"/>
  <c r="N277" i="21" s="1"/>
  <c r="P276" i="21"/>
  <c r="P275" i="21"/>
  <c r="P274" i="21"/>
  <c r="P273" i="21"/>
  <c r="P272" i="21"/>
  <c r="P271" i="21"/>
  <c r="H270" i="21"/>
  <c r="P269" i="21"/>
  <c r="P268" i="21"/>
  <c r="P267" i="21"/>
  <c r="P266" i="21"/>
  <c r="P265" i="21"/>
  <c r="P264" i="21"/>
  <c r="H263" i="21"/>
  <c r="P263" i="21" s="1"/>
  <c r="P262" i="21"/>
  <c r="P261" i="21"/>
  <c r="L259" i="21"/>
  <c r="P258" i="21"/>
  <c r="P257" i="21"/>
  <c r="P256" i="21"/>
  <c r="P255" i="21"/>
  <c r="P254" i="21"/>
  <c r="H253" i="21"/>
  <c r="P253" i="21" s="1"/>
  <c r="P252" i="21"/>
  <c r="P251" i="21"/>
  <c r="P248" i="21"/>
  <c r="P247" i="21"/>
  <c r="P246" i="21"/>
  <c r="P245" i="21"/>
  <c r="P244" i="21"/>
  <c r="P243" i="21"/>
  <c r="H242" i="21"/>
  <c r="P242" i="21" s="1"/>
  <c r="P241" i="21"/>
  <c r="P240" i="21"/>
  <c r="P238" i="21"/>
  <c r="H237" i="21"/>
  <c r="P237" i="21" s="1"/>
  <c r="P236" i="21"/>
  <c r="H235" i="21"/>
  <c r="J235" i="21" s="1"/>
  <c r="H234" i="21"/>
  <c r="J234" i="21" s="1"/>
  <c r="H233" i="21"/>
  <c r="P233" i="21" s="1"/>
  <c r="H231" i="21"/>
  <c r="P231" i="21" s="1"/>
  <c r="H230" i="21"/>
  <c r="P230" i="21" s="1"/>
  <c r="P228" i="21"/>
  <c r="P227" i="21"/>
  <c r="P226" i="21"/>
  <c r="H225" i="21"/>
  <c r="P225" i="21" s="1"/>
  <c r="B225" i="2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P177" i="21"/>
  <c r="R177" i="21" s="1"/>
  <c r="P176" i="21"/>
  <c r="R176" i="21" s="1"/>
  <c r="P175" i="21"/>
  <c r="R175" i="21" s="1"/>
  <c r="P174" i="21"/>
  <c r="R174" i="21" s="1"/>
  <c r="L173" i="21"/>
  <c r="H173" i="21"/>
  <c r="P172" i="21"/>
  <c r="R172" i="21" s="1"/>
  <c r="P171" i="21"/>
  <c r="R171" i="21" s="1"/>
  <c r="J169" i="21"/>
  <c r="H168" i="21"/>
  <c r="P168" i="21" s="1"/>
  <c r="R168" i="21" s="1"/>
  <c r="H167" i="21"/>
  <c r="P167" i="21" s="1"/>
  <c r="R167" i="21" s="1"/>
  <c r="L166" i="21"/>
  <c r="P165" i="21"/>
  <c r="R165" i="21" s="1"/>
  <c r="P164" i="21"/>
  <c r="R164" i="21" s="1"/>
  <c r="H163" i="21"/>
  <c r="P163" i="21" s="1"/>
  <c r="R163" i="21" s="1"/>
  <c r="H162" i="21"/>
  <c r="P162" i="21" s="1"/>
  <c r="R162" i="21" s="1"/>
  <c r="P161" i="21"/>
  <c r="R161" i="21" s="1"/>
  <c r="P160" i="21"/>
  <c r="R160" i="21" s="1"/>
  <c r="P159" i="21"/>
  <c r="R159" i="21" s="1"/>
  <c r="H158" i="21"/>
  <c r="P158" i="21" s="1"/>
  <c r="R158" i="21" s="1"/>
  <c r="P157" i="21"/>
  <c r="R157" i="21" s="1"/>
  <c r="P155" i="21"/>
  <c r="R155" i="21" s="1"/>
  <c r="P154" i="21"/>
  <c r="R154" i="21" s="1"/>
  <c r="P152" i="21"/>
  <c r="R152" i="21" s="1"/>
  <c r="P151" i="21"/>
  <c r="R151" i="21" s="1"/>
  <c r="P150" i="21"/>
  <c r="R150" i="21" s="1"/>
  <c r="P149" i="21"/>
  <c r="R149" i="21" s="1"/>
  <c r="P148" i="21"/>
  <c r="R148" i="21" s="1"/>
  <c r="P147" i="21"/>
  <c r="R147" i="21" s="1"/>
  <c r="P146" i="21"/>
  <c r="R146" i="21" s="1"/>
  <c r="H145" i="21"/>
  <c r="P145" i="21" s="1"/>
  <c r="R145" i="21" s="1"/>
  <c r="P144" i="21"/>
  <c r="R144" i="21" s="1"/>
  <c r="P143" i="21"/>
  <c r="R143" i="21" s="1"/>
  <c r="L139" i="21"/>
  <c r="N139" i="21" s="1"/>
  <c r="P138" i="21"/>
  <c r="R138" i="21" s="1"/>
  <c r="P137" i="21"/>
  <c r="R137" i="21" s="1"/>
  <c r="L136" i="21"/>
  <c r="P136" i="21" s="1"/>
  <c r="R136" i="21" s="1"/>
  <c r="P135" i="21"/>
  <c r="R135" i="21" s="1"/>
  <c r="P134" i="21"/>
  <c r="R134" i="21" s="1"/>
  <c r="P132" i="21"/>
  <c r="R132" i="21" s="1"/>
  <c r="P131" i="21"/>
  <c r="R131" i="21" s="1"/>
  <c r="P130" i="21"/>
  <c r="R130" i="21" s="1"/>
  <c r="L129" i="21"/>
  <c r="H129" i="21"/>
  <c r="L128" i="21"/>
  <c r="N128" i="21" s="1"/>
  <c r="P127" i="21"/>
  <c r="R127" i="21" s="1"/>
  <c r="P126" i="21"/>
  <c r="R126" i="21" s="1"/>
  <c r="H125" i="21"/>
  <c r="P124" i="21"/>
  <c r="R124" i="21" s="1"/>
  <c r="P123" i="21"/>
  <c r="R123" i="21" s="1"/>
  <c r="P122" i="21"/>
  <c r="R122" i="21" s="1"/>
  <c r="L121" i="21"/>
  <c r="H121" i="21"/>
  <c r="P120" i="21"/>
  <c r="R120" i="21" s="1"/>
  <c r="H119" i="21"/>
  <c r="P119" i="21" s="1"/>
  <c r="R119" i="21" s="1"/>
  <c r="H117" i="21"/>
  <c r="P117" i="21" s="1"/>
  <c r="R117" i="21" s="1"/>
  <c r="P116" i="21"/>
  <c r="R116" i="21" s="1"/>
  <c r="P115" i="21"/>
  <c r="R115" i="21" s="1"/>
  <c r="L114" i="21"/>
  <c r="B114" i="2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P88" i="21"/>
  <c r="R88" i="21" s="1"/>
  <c r="P87" i="21"/>
  <c r="R87" i="21" s="1"/>
  <c r="H86" i="21"/>
  <c r="P86" i="21" s="1"/>
  <c r="P85" i="21"/>
  <c r="R85" i="21" s="1"/>
  <c r="H84" i="21"/>
  <c r="J84" i="21" s="1"/>
  <c r="P83" i="21"/>
  <c r="R83" i="21" s="1"/>
  <c r="P82" i="21"/>
  <c r="R82" i="21" s="1"/>
  <c r="B81" i="21"/>
  <c r="B82" i="21" s="1"/>
  <c r="B83" i="21" s="1"/>
  <c r="B84" i="21" s="1"/>
  <c r="B85" i="21" s="1"/>
  <c r="B86" i="21" s="1"/>
  <c r="B87" i="21" s="1"/>
  <c r="B88" i="21" s="1"/>
  <c r="L80" i="21"/>
  <c r="G7" i="15" s="1"/>
  <c r="J281" i="7"/>
  <c r="J283" i="7"/>
  <c r="J284" i="7"/>
  <c r="J254" i="7"/>
  <c r="J255" i="7"/>
  <c r="J257" i="7"/>
  <c r="J258" i="7"/>
  <c r="J259" i="7"/>
  <c r="J260" i="7"/>
  <c r="J261" i="7"/>
  <c r="J262" i="7"/>
  <c r="J263" i="7"/>
  <c r="J264" i="7"/>
  <c r="J265" i="7"/>
  <c r="J266" i="7"/>
  <c r="J250" i="7"/>
  <c r="J219" i="7"/>
  <c r="J220" i="7"/>
  <c r="J218" i="7"/>
  <c r="J180" i="7"/>
  <c r="J181" i="7"/>
  <c r="J182" i="7"/>
  <c r="J183" i="7"/>
  <c r="J184" i="7"/>
  <c r="J185" i="7"/>
  <c r="J186" i="7"/>
  <c r="J187" i="7"/>
  <c r="J191" i="7"/>
  <c r="J192" i="7"/>
  <c r="J193" i="7"/>
  <c r="J194" i="7"/>
  <c r="J195" i="7"/>
  <c r="J196" i="7"/>
  <c r="J197" i="7"/>
  <c r="J198" i="7"/>
  <c r="J199" i="7"/>
  <c r="J202" i="7"/>
  <c r="J203" i="7"/>
  <c r="J204" i="7"/>
  <c r="J205" i="7"/>
  <c r="J206" i="7"/>
  <c r="J207" i="7"/>
  <c r="J208" i="7"/>
  <c r="J211" i="7"/>
  <c r="J212" i="7"/>
  <c r="J214" i="7"/>
  <c r="J216" i="7"/>
  <c r="J169" i="7"/>
  <c r="J170" i="7"/>
  <c r="J171" i="7"/>
  <c r="J172" i="7"/>
  <c r="J173" i="7"/>
  <c r="J174" i="7"/>
  <c r="J175" i="7"/>
  <c r="J176" i="7"/>
  <c r="J133" i="7"/>
  <c r="J135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01" i="7"/>
  <c r="J102" i="7"/>
  <c r="J103" i="7"/>
  <c r="J104" i="7"/>
  <c r="J107" i="7"/>
  <c r="J108" i="7"/>
  <c r="J109" i="7"/>
  <c r="J111" i="7"/>
  <c r="J112" i="7"/>
  <c r="J115" i="7"/>
  <c r="J116" i="7"/>
  <c r="J117" i="7"/>
  <c r="J118" i="7"/>
  <c r="J121" i="7"/>
  <c r="J122" i="7"/>
  <c r="J85" i="7"/>
  <c r="J86" i="7"/>
  <c r="J87" i="7"/>
  <c r="J88" i="7"/>
  <c r="J89" i="7"/>
  <c r="J90" i="7"/>
  <c r="J91" i="7"/>
  <c r="J92" i="7"/>
  <c r="J93" i="7"/>
  <c r="J55" i="7"/>
  <c r="J53" i="7"/>
  <c r="J28" i="7"/>
  <c r="J30" i="7"/>
  <c r="J31" i="7"/>
  <c r="J32" i="7"/>
  <c r="J33" i="7"/>
  <c r="J34" i="7"/>
  <c r="J38" i="7"/>
  <c r="J39" i="7"/>
  <c r="J40" i="7"/>
  <c r="J41" i="7"/>
  <c r="J42" i="7"/>
  <c r="J44" i="7"/>
  <c r="J47" i="7"/>
  <c r="J48" i="7"/>
  <c r="J14" i="7"/>
  <c r="J15" i="7"/>
  <c r="J16" i="7"/>
  <c r="J19" i="7"/>
  <c r="J20" i="7"/>
  <c r="J21" i="7"/>
  <c r="J22" i="7"/>
  <c r="I9" i="7"/>
  <c r="I12" i="7"/>
  <c r="I18" i="7"/>
  <c r="I29" i="7"/>
  <c r="I27" i="7" s="1"/>
  <c r="I26" i="7" s="1"/>
  <c r="I37" i="7"/>
  <c r="I36" i="7" s="1"/>
  <c r="I46" i="7"/>
  <c r="I52" i="7"/>
  <c r="I84" i="7"/>
  <c r="I83" i="7" s="1"/>
  <c r="I100" i="7"/>
  <c r="I106" i="7"/>
  <c r="I114" i="7"/>
  <c r="I120" i="7"/>
  <c r="I132" i="7"/>
  <c r="I134" i="7"/>
  <c r="I137" i="7"/>
  <c r="I136" i="7" s="1"/>
  <c r="I168" i="7"/>
  <c r="I167" i="7" s="1"/>
  <c r="I179" i="7"/>
  <c r="I178" i="7" s="1"/>
  <c r="I190" i="7"/>
  <c r="I189" i="7" s="1"/>
  <c r="I201" i="7"/>
  <c r="I210" i="7"/>
  <c r="I213" i="7"/>
  <c r="I249" i="7"/>
  <c r="I252" i="7"/>
  <c r="I251" i="7" s="1"/>
  <c r="I279" i="7"/>
  <c r="I282" i="7"/>
  <c r="R644" i="21" l="1"/>
  <c r="Q1076" i="21"/>
  <c r="R593" i="21"/>
  <c r="I1329" i="21"/>
  <c r="R340" i="21"/>
  <c r="R344" i="21"/>
  <c r="R356" i="21"/>
  <c r="I1115" i="21"/>
  <c r="Q1115" i="21" s="1"/>
  <c r="R404" i="21"/>
  <c r="Q25" i="21"/>
  <c r="I61" i="21"/>
  <c r="Q61" i="21" s="1"/>
  <c r="Q62" i="21"/>
  <c r="Q506" i="21"/>
  <c r="R601" i="21"/>
  <c r="H1690" i="21"/>
  <c r="H1689" i="21" s="1"/>
  <c r="P1689" i="21" s="1"/>
  <c r="I239" i="21"/>
  <c r="Q239" i="21" s="1"/>
  <c r="H239" i="21"/>
  <c r="P239" i="21" s="1"/>
  <c r="I768" i="21"/>
  <c r="Q768" i="21" s="1"/>
  <c r="I1196" i="21"/>
  <c r="I1137" i="21"/>
  <c r="Q1137" i="21" s="1"/>
  <c r="P360" i="21"/>
  <c r="R360" i="21" s="1"/>
  <c r="L347" i="21"/>
  <c r="L334" i="21" s="1"/>
  <c r="G10" i="15" s="1"/>
  <c r="P848" i="21"/>
  <c r="R848" i="21" s="1"/>
  <c r="P1037" i="21"/>
  <c r="R1037" i="21" s="1"/>
  <c r="P1141" i="21"/>
  <c r="R1141" i="21" s="1"/>
  <c r="P1179" i="21"/>
  <c r="R1179" i="21" s="1"/>
  <c r="H1247" i="21"/>
  <c r="P1247" i="21" s="1"/>
  <c r="R1247" i="21" s="1"/>
  <c r="P1250" i="21"/>
  <c r="R1250" i="21" s="1"/>
  <c r="H1413" i="21"/>
  <c r="J1413" i="21" s="1"/>
  <c r="I98" i="7"/>
  <c r="I728" i="21"/>
  <c r="R542" i="21"/>
  <c r="R553" i="21"/>
  <c r="R336" i="21"/>
  <c r="R411" i="21"/>
  <c r="R419" i="21"/>
  <c r="R435" i="21"/>
  <c r="R619" i="21"/>
  <c r="R639" i="21"/>
  <c r="B358" i="2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R392" i="21"/>
  <c r="R611" i="21"/>
  <c r="R413" i="21"/>
  <c r="R417" i="21"/>
  <c r="R421" i="21"/>
  <c r="R425" i="21"/>
  <c r="R429" i="21"/>
  <c r="R433" i="21"/>
  <c r="R437" i="21"/>
  <c r="R441" i="21"/>
  <c r="R446" i="21"/>
  <c r="R450" i="21"/>
  <c r="R454" i="21"/>
  <c r="R534" i="21"/>
  <c r="R581" i="21"/>
  <c r="R585" i="21"/>
  <c r="R617" i="21"/>
  <c r="R637" i="21"/>
  <c r="R545" i="21"/>
  <c r="R551" i="21"/>
  <c r="R647" i="21"/>
  <c r="R653" i="21"/>
  <c r="B1510" i="21"/>
  <c r="B1511" i="21" s="1"/>
  <c r="B1512" i="21" s="1"/>
  <c r="B1406" i="21"/>
  <c r="B1407" i="21" s="1"/>
  <c r="B1408" i="21" s="1"/>
  <c r="B1409" i="21" s="1"/>
  <c r="B1410" i="21" s="1"/>
  <c r="B1411" i="21" s="1"/>
  <c r="B1412" i="21" s="1"/>
  <c r="B1413" i="21" s="1"/>
  <c r="B1414" i="21" s="1"/>
  <c r="B1415" i="21" s="1"/>
  <c r="B1416" i="21" s="1"/>
  <c r="B1417" i="21" s="1"/>
  <c r="B1418" i="21" s="1"/>
  <c r="B1419" i="21" s="1"/>
  <c r="B1420" i="21" s="1"/>
  <c r="B1421" i="21" s="1"/>
  <c r="B1422" i="21" s="1"/>
  <c r="B1423" i="21" s="1"/>
  <c r="B1424" i="21" s="1"/>
  <c r="B1425" i="21" s="1"/>
  <c r="B515" i="2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R636" i="21"/>
  <c r="R646" i="21"/>
  <c r="R366" i="21"/>
  <c r="R402" i="21"/>
  <c r="R559" i="21"/>
  <c r="R563" i="21"/>
  <c r="P598" i="21"/>
  <c r="R598" i="21" s="1"/>
  <c r="R649" i="21"/>
  <c r="R655" i="21"/>
  <c r="N279" i="21"/>
  <c r="R526" i="21"/>
  <c r="H840" i="21"/>
  <c r="P840" i="21" s="1"/>
  <c r="B1337" i="21"/>
  <c r="B1338" i="21" s="1"/>
  <c r="B1339" i="21" s="1"/>
  <c r="B1340" i="21" s="1"/>
  <c r="B1341" i="21" s="1"/>
  <c r="B1342" i="21" s="1"/>
  <c r="B1343" i="21" s="1"/>
  <c r="B1344" i="21" s="1"/>
  <c r="B1345" i="21" s="1"/>
  <c r="B1346" i="21" s="1"/>
  <c r="B1347" i="21" s="1"/>
  <c r="B1348" i="21" s="1"/>
  <c r="B1349" i="21" s="1"/>
  <c r="B1350" i="21" s="1"/>
  <c r="B1351" i="21" s="1"/>
  <c r="B1352" i="21" s="1"/>
  <c r="B1353" i="21" s="1"/>
  <c r="B1354" i="21" s="1"/>
  <c r="B1355" i="21" s="1"/>
  <c r="B1356" i="21" s="1"/>
  <c r="B1357" i="21" s="1"/>
  <c r="B1358" i="21" s="1"/>
  <c r="B1359" i="21" s="1"/>
  <c r="B1360" i="21" s="1"/>
  <c r="B1361" i="21" s="1"/>
  <c r="B1362" i="21" s="1"/>
  <c r="B1363" i="21" s="1"/>
  <c r="B1364" i="21" s="1"/>
  <c r="B1365" i="21" s="1"/>
  <c r="B1366" i="21" s="1"/>
  <c r="B1367" i="21" s="1"/>
  <c r="B1368" i="21" s="1"/>
  <c r="B1369" i="21" s="1"/>
  <c r="B1370" i="21" s="1"/>
  <c r="B1371" i="21" s="1"/>
  <c r="B1372" i="21" s="1"/>
  <c r="B1373" i="21" s="1"/>
  <c r="B1374" i="21" s="1"/>
  <c r="B1375" i="21" s="1"/>
  <c r="R517" i="21"/>
  <c r="I1230" i="21"/>
  <c r="Q1230" i="21" s="1"/>
  <c r="R396" i="21"/>
  <c r="I537" i="21"/>
  <c r="Q537" i="21" s="1"/>
  <c r="R546" i="21"/>
  <c r="R645" i="21"/>
  <c r="P1413" i="21"/>
  <c r="R1413" i="21" s="1"/>
  <c r="P1416" i="21"/>
  <c r="R1416" i="21" s="1"/>
  <c r="H1574" i="21"/>
  <c r="P1574" i="21" s="1"/>
  <c r="P1577" i="21"/>
  <c r="R1577" i="21" s="1"/>
  <c r="P1693" i="21"/>
  <c r="R1693" i="21" s="1"/>
  <c r="M118" i="21"/>
  <c r="M113" i="21" s="1"/>
  <c r="H8" i="15" s="1"/>
  <c r="I250" i="21"/>
  <c r="N129" i="21"/>
  <c r="R509" i="21"/>
  <c r="N576" i="21"/>
  <c r="R597" i="21"/>
  <c r="R638" i="21"/>
  <c r="P642" i="21"/>
  <c r="R642" i="21" s="1"/>
  <c r="P695" i="21"/>
  <c r="R695" i="21" s="1"/>
  <c r="P803" i="21"/>
  <c r="R803" i="21" s="1"/>
  <c r="P876" i="21"/>
  <c r="R876" i="21" s="1"/>
  <c r="I335" i="21"/>
  <c r="Q1347" i="21"/>
  <c r="I1345" i="2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R394" i="21"/>
  <c r="Q270" i="21"/>
  <c r="I521" i="21"/>
  <c r="Q521" i="21" s="1"/>
  <c r="Q576" i="21"/>
  <c r="R591" i="21"/>
  <c r="I792" i="21"/>
  <c r="Q792" i="21" s="1"/>
  <c r="I825" i="21"/>
  <c r="Q825" i="21" s="1"/>
  <c r="Q1462" i="21"/>
  <c r="I50" i="7"/>
  <c r="J365" i="21"/>
  <c r="Q365" i="21"/>
  <c r="R625" i="21"/>
  <c r="H81" i="21"/>
  <c r="P81" i="21" s="1"/>
  <c r="N121" i="21"/>
  <c r="P173" i="21"/>
  <c r="R173" i="21" s="1"/>
  <c r="R536" i="21"/>
  <c r="R571" i="21"/>
  <c r="R648" i="21"/>
  <c r="R654" i="21"/>
  <c r="P691" i="21"/>
  <c r="R691" i="21" s="1"/>
  <c r="H706" i="21"/>
  <c r="P706" i="21" s="1"/>
  <c r="P718" i="21"/>
  <c r="R718" i="21" s="1"/>
  <c r="P757" i="21"/>
  <c r="R757" i="21" s="1"/>
  <c r="P830" i="21"/>
  <c r="R830" i="21" s="1"/>
  <c r="P833" i="21"/>
  <c r="R833" i="21" s="1"/>
  <c r="P838" i="21"/>
  <c r="R838" i="21" s="1"/>
  <c r="P900" i="21"/>
  <c r="R900" i="21" s="1"/>
  <c r="P908" i="21"/>
  <c r="R908" i="21" s="1"/>
  <c r="P916" i="21"/>
  <c r="R916" i="21" s="1"/>
  <c r="P994" i="21"/>
  <c r="R994" i="21" s="1"/>
  <c r="H1320" i="21"/>
  <c r="J1320" i="21" s="1"/>
  <c r="P1326" i="21"/>
  <c r="R1326" i="21" s="1"/>
  <c r="N362" i="21"/>
  <c r="R400" i="21"/>
  <c r="I511" i="21"/>
  <c r="Q511" i="21" s="1"/>
  <c r="R577" i="21"/>
  <c r="N778" i="21"/>
  <c r="R629" i="21"/>
  <c r="R370" i="21"/>
  <c r="R374" i="21"/>
  <c r="N173" i="21"/>
  <c r="N259" i="21"/>
  <c r="R243" i="21"/>
  <c r="R247" i="21"/>
  <c r="R265" i="21"/>
  <c r="R269" i="21"/>
  <c r="R273" i="21"/>
  <c r="R283" i="21"/>
  <c r="R350" i="21"/>
  <c r="J390" i="21"/>
  <c r="R428" i="21"/>
  <c r="I596" i="21"/>
  <c r="Q596" i="21" s="1"/>
  <c r="J704" i="21"/>
  <c r="I802" i="21"/>
  <c r="Q802" i="21" s="1"/>
  <c r="J827" i="21"/>
  <c r="H640" i="21"/>
  <c r="P640" i="21" s="1"/>
  <c r="R352" i="21"/>
  <c r="I547" i="21"/>
  <c r="Q547" i="21" s="1"/>
  <c r="J577" i="21"/>
  <c r="J597" i="21"/>
  <c r="I631" i="21"/>
  <c r="I778" i="21"/>
  <c r="Q778" i="21" s="1"/>
  <c r="I815" i="21"/>
  <c r="I961" i="21"/>
  <c r="Q961" i="21" s="1"/>
  <c r="J1520" i="21"/>
  <c r="J1347" i="21"/>
  <c r="R401" i="21"/>
  <c r="R227" i="21"/>
  <c r="R233" i="21"/>
  <c r="R237" i="21"/>
  <c r="R254" i="21"/>
  <c r="R258" i="21"/>
  <c r="R288" i="21"/>
  <c r="R367" i="21"/>
  <c r="R253" i="21"/>
  <c r="R263" i="21"/>
  <c r="R285" i="21"/>
  <c r="R228" i="21"/>
  <c r="R238" i="21"/>
  <c r="R244" i="21"/>
  <c r="R248" i="21"/>
  <c r="R255" i="21"/>
  <c r="R261" i="21"/>
  <c r="R266" i="21"/>
  <c r="R274" i="21"/>
  <c r="R278" i="21"/>
  <c r="R284" i="21"/>
  <c r="R289" i="21"/>
  <c r="R342" i="21"/>
  <c r="R368" i="21"/>
  <c r="R225" i="21"/>
  <c r="R230" i="21"/>
  <c r="R240" i="21"/>
  <c r="R245" i="21"/>
  <c r="R251" i="21"/>
  <c r="R256" i="21"/>
  <c r="R262" i="21"/>
  <c r="R267" i="21"/>
  <c r="R271" i="21"/>
  <c r="R275" i="21"/>
  <c r="R279" i="21"/>
  <c r="R286" i="21"/>
  <c r="R290" i="21"/>
  <c r="R346" i="21"/>
  <c r="R364" i="21"/>
  <c r="R372" i="21"/>
  <c r="R242" i="21"/>
  <c r="R226" i="21"/>
  <c r="R231" i="21"/>
  <c r="R236" i="21"/>
  <c r="R241" i="21"/>
  <c r="R246" i="21"/>
  <c r="R252" i="21"/>
  <c r="R257" i="21"/>
  <c r="R264" i="21"/>
  <c r="R268" i="21"/>
  <c r="R272" i="21"/>
  <c r="R276" i="21"/>
  <c r="R280" i="21"/>
  <c r="R287" i="21"/>
  <c r="R291" i="21"/>
  <c r="R338" i="21"/>
  <c r="R358" i="21"/>
  <c r="R373" i="21"/>
  <c r="I347" i="21"/>
  <c r="Q232" i="21"/>
  <c r="R651" i="21"/>
  <c r="R513" i="21"/>
  <c r="J506" i="21"/>
  <c r="I503" i="21"/>
  <c r="Q503" i="21" s="1"/>
  <c r="P514" i="21"/>
  <c r="R514" i="21" s="1"/>
  <c r="J514" i="21"/>
  <c r="P538" i="21"/>
  <c r="R538" i="21" s="1"/>
  <c r="J538" i="21"/>
  <c r="P714" i="21"/>
  <c r="R714" i="21" s="1"/>
  <c r="J714" i="21"/>
  <c r="P808" i="21"/>
  <c r="R808" i="21" s="1"/>
  <c r="J808" i="21"/>
  <c r="P860" i="21"/>
  <c r="R860" i="21" s="1"/>
  <c r="J860" i="21"/>
  <c r="P869" i="21"/>
  <c r="R869" i="21" s="1"/>
  <c r="J869" i="21"/>
  <c r="P979" i="21"/>
  <c r="R979" i="21" s="1"/>
  <c r="J979" i="21"/>
  <c r="P1010" i="21"/>
  <c r="R1010" i="21" s="1"/>
  <c r="J1010" i="21"/>
  <c r="P1043" i="21"/>
  <c r="R1043" i="21" s="1"/>
  <c r="J1043" i="21"/>
  <c r="P1052" i="21"/>
  <c r="R1052" i="21" s="1"/>
  <c r="J1052" i="21"/>
  <c r="P1061" i="21"/>
  <c r="R1061" i="21" s="1"/>
  <c r="J1061" i="21"/>
  <c r="P1099" i="21"/>
  <c r="R1099" i="21" s="1"/>
  <c r="J1099" i="21"/>
  <c r="P1117" i="21"/>
  <c r="R1117" i="21" s="1"/>
  <c r="J1117" i="21"/>
  <c r="P1140" i="21"/>
  <c r="R1140" i="21" s="1"/>
  <c r="J1140" i="21"/>
  <c r="P1160" i="21"/>
  <c r="R1160" i="21" s="1"/>
  <c r="J1160" i="21"/>
  <c r="P1169" i="21"/>
  <c r="R1169" i="21" s="1"/>
  <c r="J1169" i="21"/>
  <c r="P1210" i="21"/>
  <c r="R1210" i="21" s="1"/>
  <c r="J1210" i="21"/>
  <c r="P1218" i="21"/>
  <c r="R1218" i="21" s="1"/>
  <c r="J1218" i="21"/>
  <c r="P1401" i="21"/>
  <c r="R1401" i="21" s="1"/>
  <c r="J1401" i="21"/>
  <c r="P1526" i="21"/>
  <c r="R1526" i="21" s="1"/>
  <c r="J1526" i="21"/>
  <c r="P1534" i="21"/>
  <c r="R1534" i="21" s="1"/>
  <c r="J1534" i="21"/>
  <c r="P1583" i="21"/>
  <c r="R1583" i="21" s="1"/>
  <c r="J1583" i="21"/>
  <c r="J349" i="21"/>
  <c r="J394" i="21"/>
  <c r="Q409" i="21"/>
  <c r="P506" i="21"/>
  <c r="P530" i="21"/>
  <c r="R530" i="21" s="1"/>
  <c r="J530" i="21"/>
  <c r="P539" i="21"/>
  <c r="R539" i="21" s="1"/>
  <c r="J539" i="21"/>
  <c r="P567" i="21"/>
  <c r="R567" i="21" s="1"/>
  <c r="J567" i="21"/>
  <c r="P587" i="21"/>
  <c r="R587" i="21" s="1"/>
  <c r="J587" i="21"/>
  <c r="P608" i="21"/>
  <c r="R608" i="21" s="1"/>
  <c r="J608" i="21"/>
  <c r="P641" i="21"/>
  <c r="R641" i="21" s="1"/>
  <c r="J641" i="21"/>
  <c r="P663" i="21"/>
  <c r="R663" i="21" s="1"/>
  <c r="J663" i="21"/>
  <c r="H672" i="21"/>
  <c r="P672" i="21" s="1"/>
  <c r="P702" i="21"/>
  <c r="R702" i="21" s="1"/>
  <c r="J702" i="21"/>
  <c r="H731" i="21"/>
  <c r="J731" i="21" s="1"/>
  <c r="P734" i="21"/>
  <c r="R734" i="21" s="1"/>
  <c r="P754" i="21"/>
  <c r="R754" i="21" s="1"/>
  <c r="J754" i="21"/>
  <c r="P780" i="21"/>
  <c r="R780" i="21" s="1"/>
  <c r="P804" i="21"/>
  <c r="R804" i="21" s="1"/>
  <c r="J804" i="21"/>
  <c r="P809" i="21"/>
  <c r="R809" i="21" s="1"/>
  <c r="J809" i="21"/>
  <c r="H882" i="21"/>
  <c r="P882" i="21" s="1"/>
  <c r="J883" i="21"/>
  <c r="P899" i="21"/>
  <c r="R899" i="21" s="1"/>
  <c r="J899" i="21"/>
  <c r="P907" i="21"/>
  <c r="R907" i="21" s="1"/>
  <c r="J907" i="21"/>
  <c r="P938" i="21"/>
  <c r="R938" i="21" s="1"/>
  <c r="J938" i="21"/>
  <c r="P947" i="21"/>
  <c r="R947" i="21" s="1"/>
  <c r="J947" i="21"/>
  <c r="P963" i="21"/>
  <c r="R963" i="21" s="1"/>
  <c r="J963" i="21"/>
  <c r="P971" i="21"/>
  <c r="R971" i="21" s="1"/>
  <c r="J971" i="21"/>
  <c r="P980" i="21"/>
  <c r="R980" i="21" s="1"/>
  <c r="J980" i="21"/>
  <c r="P988" i="21"/>
  <c r="P995" i="21"/>
  <c r="R995" i="21" s="1"/>
  <c r="J995" i="21"/>
  <c r="P999" i="21"/>
  <c r="R999" i="21" s="1"/>
  <c r="J999" i="21"/>
  <c r="P1003" i="21"/>
  <c r="R1003" i="21" s="1"/>
  <c r="J1003" i="21"/>
  <c r="P1011" i="21"/>
  <c r="R1011" i="21" s="1"/>
  <c r="J1011" i="21"/>
  <c r="P1019" i="21"/>
  <c r="R1019" i="21" s="1"/>
  <c r="J1019" i="21"/>
  <c r="P1027" i="21"/>
  <c r="R1027" i="21" s="1"/>
  <c r="J1027" i="21"/>
  <c r="P1044" i="21"/>
  <c r="R1044" i="21" s="1"/>
  <c r="J1044" i="21"/>
  <c r="P1053" i="21"/>
  <c r="R1053" i="21" s="1"/>
  <c r="J1053" i="21"/>
  <c r="P1057" i="21"/>
  <c r="R1057" i="21" s="1"/>
  <c r="N1057" i="21"/>
  <c r="P1100" i="21"/>
  <c r="R1100" i="21" s="1"/>
  <c r="J1100" i="21"/>
  <c r="P1109" i="21"/>
  <c r="R1109" i="21" s="1"/>
  <c r="J1109" i="21"/>
  <c r="P1118" i="21"/>
  <c r="R1118" i="21" s="1"/>
  <c r="J1118" i="21"/>
  <c r="P1150" i="21"/>
  <c r="R1150" i="21" s="1"/>
  <c r="J1150" i="21"/>
  <c r="P1198" i="21"/>
  <c r="R1198" i="21" s="1"/>
  <c r="P1306" i="21"/>
  <c r="R1306" i="21" s="1"/>
  <c r="J1306" i="21"/>
  <c r="P1402" i="21"/>
  <c r="R1402" i="21" s="1"/>
  <c r="J1402" i="21"/>
  <c r="P1483" i="21"/>
  <c r="R1483" i="21" s="1"/>
  <c r="J1483" i="21"/>
  <c r="P1488" i="21"/>
  <c r="R1488" i="21" s="1"/>
  <c r="J1488" i="21"/>
  <c r="P1499" i="21"/>
  <c r="R1499" i="21" s="1"/>
  <c r="J1499" i="21"/>
  <c r="P1527" i="21"/>
  <c r="R1527" i="21" s="1"/>
  <c r="J1527" i="21"/>
  <c r="P1532" i="21"/>
  <c r="R1532" i="21" s="1"/>
  <c r="J1532" i="21"/>
  <c r="P1535" i="21"/>
  <c r="R1535" i="21" s="1"/>
  <c r="J1535" i="21"/>
  <c r="P1619" i="21"/>
  <c r="R1619" i="21" s="1"/>
  <c r="J1619" i="21"/>
  <c r="P1630" i="21"/>
  <c r="R1630" i="21" s="1"/>
  <c r="J1630" i="21"/>
  <c r="P1731" i="21"/>
  <c r="J1731" i="21"/>
  <c r="R1731" i="21" s="1"/>
  <c r="R1735" i="21"/>
  <c r="J242" i="21"/>
  <c r="I260" i="21"/>
  <c r="J338" i="21"/>
  <c r="J350" i="21"/>
  <c r="J356" i="21"/>
  <c r="N360" i="21"/>
  <c r="R337" i="21"/>
  <c r="R345" i="21"/>
  <c r="Q348" i="21"/>
  <c r="R353" i="21"/>
  <c r="R363" i="21"/>
  <c r="R371" i="21"/>
  <c r="J391" i="21"/>
  <c r="J401" i="21"/>
  <c r="R390" i="21"/>
  <c r="R436" i="21"/>
  <c r="R448" i="21"/>
  <c r="J552" i="21"/>
  <c r="J556" i="21"/>
  <c r="Q568" i="21"/>
  <c r="I565" i="21"/>
  <c r="J616" i="21"/>
  <c r="Q616" i="21"/>
  <c r="R616" i="21" s="1"/>
  <c r="R515" i="21"/>
  <c r="R532" i="21"/>
  <c r="R561" i="21"/>
  <c r="R574" i="21"/>
  <c r="R583" i="21"/>
  <c r="R599" i="21"/>
  <c r="R620" i="21"/>
  <c r="J681" i="21"/>
  <c r="Q743" i="21"/>
  <c r="J775" i="21"/>
  <c r="J817" i="21"/>
  <c r="J849" i="21"/>
  <c r="Q1670" i="21"/>
  <c r="J1674" i="21"/>
  <c r="Q905" i="21"/>
  <c r="I858" i="21"/>
  <c r="Q1096" i="21"/>
  <c r="P570" i="21"/>
  <c r="R570" i="21" s="1"/>
  <c r="J570" i="21"/>
  <c r="P578" i="21"/>
  <c r="R578" i="21" s="1"/>
  <c r="J578" i="21"/>
  <c r="P626" i="21"/>
  <c r="R626" i="21" s="1"/>
  <c r="J626" i="21"/>
  <c r="P679" i="21"/>
  <c r="R679" i="21" s="1"/>
  <c r="J679" i="21"/>
  <c r="P722" i="21"/>
  <c r="R722" i="21" s="1"/>
  <c r="J722" i="21"/>
  <c r="P744" i="21"/>
  <c r="R744" i="21" s="1"/>
  <c r="J744" i="21"/>
  <c r="P766" i="21"/>
  <c r="R766" i="21" s="1"/>
  <c r="J766" i="21"/>
  <c r="P794" i="21"/>
  <c r="R794" i="21" s="1"/>
  <c r="J794" i="21"/>
  <c r="P885" i="21"/>
  <c r="R885" i="21" s="1"/>
  <c r="J885" i="21"/>
  <c r="P901" i="21"/>
  <c r="R901" i="21" s="1"/>
  <c r="J901" i="21"/>
  <c r="P922" i="21"/>
  <c r="R922" i="21" s="1"/>
  <c r="J922" i="21"/>
  <c r="P937" i="21"/>
  <c r="R937" i="21" s="1"/>
  <c r="J937" i="21"/>
  <c r="P1002" i="21"/>
  <c r="R1002" i="21" s="1"/>
  <c r="J1002" i="21"/>
  <c r="P1036" i="21"/>
  <c r="R1036" i="21" s="1"/>
  <c r="J1036" i="21"/>
  <c r="P1069" i="21"/>
  <c r="R1069" i="21" s="1"/>
  <c r="J1069" i="21"/>
  <c r="P1089" i="21"/>
  <c r="R1089" i="21" s="1"/>
  <c r="J1089" i="21"/>
  <c r="P1130" i="21"/>
  <c r="R1130" i="21" s="1"/>
  <c r="J1130" i="21"/>
  <c r="P1149" i="21"/>
  <c r="R1149" i="21" s="1"/>
  <c r="J1149" i="21"/>
  <c r="P1178" i="21"/>
  <c r="R1178" i="21" s="1"/>
  <c r="J1178" i="21"/>
  <c r="J1247" i="21"/>
  <c r="P1405" i="21"/>
  <c r="R1405" i="21" s="1"/>
  <c r="J1405" i="21"/>
  <c r="P1409" i="21"/>
  <c r="R1409" i="21" s="1"/>
  <c r="J1409" i="21"/>
  <c r="P1472" i="21"/>
  <c r="R1472" i="21" s="1"/>
  <c r="J1472" i="21"/>
  <c r="P1481" i="21"/>
  <c r="R1481" i="21" s="1"/>
  <c r="J1481" i="21"/>
  <c r="P1487" i="21"/>
  <c r="R1487" i="21" s="1"/>
  <c r="J1487" i="21"/>
  <c r="P1498" i="21"/>
  <c r="R1498" i="21" s="1"/>
  <c r="J1498" i="21"/>
  <c r="P1531" i="21"/>
  <c r="R1531" i="21" s="1"/>
  <c r="J1531" i="21"/>
  <c r="P1609" i="21"/>
  <c r="R1609" i="21" s="1"/>
  <c r="J1609" i="21"/>
  <c r="Q80" i="21"/>
  <c r="E7" i="15"/>
  <c r="J355" i="21"/>
  <c r="R355" i="21"/>
  <c r="N417" i="21"/>
  <c r="Q613" i="21"/>
  <c r="Q669" i="21"/>
  <c r="P277" i="21"/>
  <c r="R277" i="21" s="1"/>
  <c r="P410" i="21"/>
  <c r="R410" i="21" s="1"/>
  <c r="N410" i="21"/>
  <c r="P430" i="21"/>
  <c r="R430" i="21" s="1"/>
  <c r="N430" i="21"/>
  <c r="P434" i="21"/>
  <c r="R434" i="21" s="1"/>
  <c r="N434" i="21"/>
  <c r="P84" i="21"/>
  <c r="R84" i="21" s="1"/>
  <c r="P121" i="21"/>
  <c r="R121" i="21" s="1"/>
  <c r="P139" i="21"/>
  <c r="R139" i="21" s="1"/>
  <c r="P362" i="21"/>
  <c r="R362" i="21" s="1"/>
  <c r="P365" i="21"/>
  <c r="P415" i="21"/>
  <c r="R415" i="21" s="1"/>
  <c r="N415" i="21"/>
  <c r="P423" i="21"/>
  <c r="R423" i="21" s="1"/>
  <c r="N423" i="21"/>
  <c r="P427" i="21"/>
  <c r="R427" i="21" s="1"/>
  <c r="N427" i="21"/>
  <c r="P439" i="21"/>
  <c r="R439" i="21" s="1"/>
  <c r="N439" i="21"/>
  <c r="P444" i="21"/>
  <c r="R444" i="21" s="1"/>
  <c r="N444" i="21"/>
  <c r="P452" i="21"/>
  <c r="R452" i="21" s="1"/>
  <c r="N452" i="21"/>
  <c r="P522" i="21"/>
  <c r="R522" i="21" s="1"/>
  <c r="J522" i="21"/>
  <c r="H568" i="21"/>
  <c r="P568" i="21" s="1"/>
  <c r="P614" i="21"/>
  <c r="R614" i="21" s="1"/>
  <c r="J614" i="21"/>
  <c r="P623" i="21"/>
  <c r="R623" i="21" s="1"/>
  <c r="J623" i="21"/>
  <c r="P633" i="21"/>
  <c r="R633" i="21" s="1"/>
  <c r="J633" i="21"/>
  <c r="P682" i="21"/>
  <c r="R682" i="21" s="1"/>
  <c r="J682" i="21"/>
  <c r="P717" i="21"/>
  <c r="R717" i="21" s="1"/>
  <c r="J717" i="21"/>
  <c r="P756" i="21"/>
  <c r="R756" i="21" s="1"/>
  <c r="J756" i="21"/>
  <c r="P769" i="21"/>
  <c r="R769" i="21" s="1"/>
  <c r="J769" i="21"/>
  <c r="P826" i="21"/>
  <c r="R826" i="21" s="1"/>
  <c r="J826" i="21"/>
  <c r="P842" i="21"/>
  <c r="R842" i="21" s="1"/>
  <c r="J842" i="21"/>
  <c r="P846" i="21"/>
  <c r="R846" i="21" s="1"/>
  <c r="J846" i="21"/>
  <c r="P862" i="21"/>
  <c r="R862" i="21" s="1"/>
  <c r="J862" i="21"/>
  <c r="P867" i="21"/>
  <c r="R867" i="21" s="1"/>
  <c r="J867" i="21"/>
  <c r="P892" i="21"/>
  <c r="R892" i="21" s="1"/>
  <c r="J892" i="21"/>
  <c r="P924" i="21"/>
  <c r="R924" i="21" s="1"/>
  <c r="J924" i="21"/>
  <c r="P948" i="21"/>
  <c r="R948" i="21" s="1"/>
  <c r="J948" i="21"/>
  <c r="P972" i="21"/>
  <c r="R972" i="21" s="1"/>
  <c r="J972" i="21"/>
  <c r="P981" i="21"/>
  <c r="R981" i="21" s="1"/>
  <c r="J981" i="21"/>
  <c r="P993" i="21"/>
  <c r="R993" i="21" s="1"/>
  <c r="J993" i="21"/>
  <c r="P1004" i="21"/>
  <c r="R1004" i="21" s="1"/>
  <c r="J1004" i="21"/>
  <c r="P1012" i="21"/>
  <c r="R1012" i="21" s="1"/>
  <c r="J1012" i="21"/>
  <c r="P1020" i="21"/>
  <c r="R1020" i="21" s="1"/>
  <c r="J1020" i="21"/>
  <c r="P1033" i="21"/>
  <c r="R1033" i="21" s="1"/>
  <c r="N1033" i="21"/>
  <c r="L1034" i="21"/>
  <c r="N1034" i="21" s="1"/>
  <c r="N1041" i="21"/>
  <c r="P1067" i="21"/>
  <c r="R1067" i="21" s="1"/>
  <c r="J1067" i="21"/>
  <c r="P1078" i="21"/>
  <c r="R1078" i="21" s="1"/>
  <c r="J1078" i="21"/>
  <c r="P1119" i="21"/>
  <c r="R1119" i="21" s="1"/>
  <c r="J1119" i="21"/>
  <c r="P1128" i="21"/>
  <c r="R1128" i="21" s="1"/>
  <c r="J1128" i="21"/>
  <c r="P1158" i="21"/>
  <c r="R1158" i="21" s="1"/>
  <c r="J1158" i="21"/>
  <c r="P1167" i="21"/>
  <c r="R1167" i="21" s="1"/>
  <c r="J1167" i="21"/>
  <c r="P1187" i="21"/>
  <c r="R1187" i="21" s="1"/>
  <c r="J1187" i="21"/>
  <c r="P1199" i="21"/>
  <c r="R1199" i="21" s="1"/>
  <c r="J1199" i="21"/>
  <c r="P1208" i="21"/>
  <c r="R1208" i="21" s="1"/>
  <c r="J1208" i="21"/>
  <c r="H1217" i="21"/>
  <c r="P1323" i="21"/>
  <c r="R1323" i="21" s="1"/>
  <c r="J1323" i="21"/>
  <c r="P1350" i="21"/>
  <c r="R1350" i="21" s="1"/>
  <c r="J1350" i="21"/>
  <c r="P1359" i="21"/>
  <c r="R1359" i="21" s="1"/>
  <c r="N1359" i="21"/>
  <c r="P1411" i="21"/>
  <c r="R1411" i="21" s="1"/>
  <c r="J1411" i="21"/>
  <c r="P1484" i="21"/>
  <c r="R1484" i="21" s="1"/>
  <c r="J1484" i="21"/>
  <c r="P1529" i="21"/>
  <c r="R1529" i="21" s="1"/>
  <c r="J1529" i="21"/>
  <c r="P1585" i="21"/>
  <c r="R1585" i="21" s="1"/>
  <c r="J1585" i="21"/>
  <c r="P1589" i="21"/>
  <c r="R1589" i="21" s="1"/>
  <c r="J1589" i="21"/>
  <c r="P1641" i="21"/>
  <c r="R1641" i="21" s="1"/>
  <c r="J1641" i="21"/>
  <c r="P1655" i="21"/>
  <c r="R1655" i="21" s="1"/>
  <c r="J1655" i="21"/>
  <c r="P1681" i="21"/>
  <c r="R1681" i="21" s="1"/>
  <c r="J1681" i="21"/>
  <c r="N281" i="21"/>
  <c r="J367" i="21"/>
  <c r="N365" i="21"/>
  <c r="Q335" i="21"/>
  <c r="R343" i="21"/>
  <c r="Q351" i="21"/>
  <c r="Q354" i="21"/>
  <c r="R369" i="21"/>
  <c r="J392" i="21"/>
  <c r="R395" i="21"/>
  <c r="R403" i="21"/>
  <c r="R445" i="21"/>
  <c r="J513" i="21"/>
  <c r="J549" i="21"/>
  <c r="Q624" i="21"/>
  <c r="I621" i="21"/>
  <c r="N575" i="21"/>
  <c r="R507" i="21"/>
  <c r="R519" i="21"/>
  <c r="R524" i="21"/>
  <c r="R540" i="21"/>
  <c r="R549" i="21"/>
  <c r="R562" i="21"/>
  <c r="R580" i="21"/>
  <c r="R603" i="21"/>
  <c r="R612" i="21"/>
  <c r="R627" i="21"/>
  <c r="J661" i="21"/>
  <c r="J677" i="21"/>
  <c r="Q696" i="21"/>
  <c r="I693" i="21"/>
  <c r="J719" i="21"/>
  <c r="Q719" i="21"/>
  <c r="R719" i="21" s="1"/>
  <c r="I716" i="21"/>
  <c r="Q755" i="21"/>
  <c r="N728" i="21"/>
  <c r="P566" i="21"/>
  <c r="R566" i="21" s="1"/>
  <c r="J566" i="21"/>
  <c r="P607" i="21"/>
  <c r="R607" i="21" s="1"/>
  <c r="J607" i="21"/>
  <c r="P671" i="21"/>
  <c r="R671" i="21" s="1"/>
  <c r="J671" i="21"/>
  <c r="P694" i="21"/>
  <c r="R694" i="21" s="1"/>
  <c r="J694" i="21"/>
  <c r="H696" i="21"/>
  <c r="P696" i="21" s="1"/>
  <c r="J698" i="21"/>
  <c r="P823" i="21"/>
  <c r="R823" i="21" s="1"/>
  <c r="J823" i="21"/>
  <c r="P877" i="21"/>
  <c r="R877" i="21" s="1"/>
  <c r="J877" i="21"/>
  <c r="H898" i="21"/>
  <c r="P906" i="21"/>
  <c r="R906" i="21" s="1"/>
  <c r="J906" i="21"/>
  <c r="P914" i="21"/>
  <c r="R914" i="21" s="1"/>
  <c r="J914" i="21"/>
  <c r="R339" i="21"/>
  <c r="Q347" i="21"/>
  <c r="I398" i="21"/>
  <c r="I393" i="21" s="1"/>
  <c r="Q393" i="21" s="1"/>
  <c r="N433" i="21"/>
  <c r="J589" i="21"/>
  <c r="Q589" i="21"/>
  <c r="R589" i="21" s="1"/>
  <c r="I586" i="21"/>
  <c r="J609" i="21"/>
  <c r="Q609" i="21"/>
  <c r="R609" i="21" s="1"/>
  <c r="I606" i="21"/>
  <c r="Q643" i="21"/>
  <c r="R643" i="21" s="1"/>
  <c r="J643" i="21"/>
  <c r="J1683" i="21"/>
  <c r="I247" i="7"/>
  <c r="P407" i="21"/>
  <c r="R407" i="21" s="1"/>
  <c r="N407" i="21"/>
  <c r="P412" i="21"/>
  <c r="R412" i="21" s="1"/>
  <c r="N412" i="21"/>
  <c r="P416" i="21"/>
  <c r="R416" i="21" s="1"/>
  <c r="N416" i="21"/>
  <c r="P420" i="21"/>
  <c r="R420" i="21" s="1"/>
  <c r="N420" i="21"/>
  <c r="P505" i="21"/>
  <c r="R505" i="21" s="1"/>
  <c r="J505" i="21"/>
  <c r="P523" i="21"/>
  <c r="R523" i="21" s="1"/>
  <c r="J523" i="21"/>
  <c r="P550" i="21"/>
  <c r="R550" i="21" s="1"/>
  <c r="J550" i="21"/>
  <c r="P557" i="21"/>
  <c r="R557" i="21" s="1"/>
  <c r="J557" i="21"/>
  <c r="P573" i="21"/>
  <c r="R573" i="21" s="1"/>
  <c r="N573" i="21"/>
  <c r="P605" i="21"/>
  <c r="R605" i="21" s="1"/>
  <c r="N605" i="21"/>
  <c r="P615" i="21"/>
  <c r="R615" i="21" s="1"/>
  <c r="J615" i="21"/>
  <c r="P635" i="21"/>
  <c r="R635" i="21" s="1"/>
  <c r="J635" i="21"/>
  <c r="P670" i="21"/>
  <c r="R670" i="21" s="1"/>
  <c r="J670" i="21"/>
  <c r="P688" i="21"/>
  <c r="R688" i="21" s="1"/>
  <c r="J688" i="21"/>
  <c r="P705" i="21"/>
  <c r="R705" i="21" s="1"/>
  <c r="J705" i="21"/>
  <c r="P729" i="21"/>
  <c r="R729" i="21" s="1"/>
  <c r="J729" i="21"/>
  <c r="P740" i="21"/>
  <c r="R740" i="21" s="1"/>
  <c r="N740" i="21"/>
  <c r="P798" i="21"/>
  <c r="R798" i="21" s="1"/>
  <c r="J798" i="21"/>
  <c r="P811" i="21"/>
  <c r="R811" i="21" s="1"/>
  <c r="J811" i="21"/>
  <c r="P822" i="21"/>
  <c r="R822" i="21" s="1"/>
  <c r="J822" i="21"/>
  <c r="P839" i="21"/>
  <c r="R839" i="21" s="1"/>
  <c r="J839" i="21"/>
  <c r="P843" i="21"/>
  <c r="R843" i="21" s="1"/>
  <c r="J843" i="21"/>
  <c r="P852" i="21"/>
  <c r="R852" i="21" s="1"/>
  <c r="J852" i="21"/>
  <c r="P856" i="21"/>
  <c r="R856" i="21" s="1"/>
  <c r="J856" i="21"/>
  <c r="P868" i="21"/>
  <c r="R868" i="21" s="1"/>
  <c r="J868" i="21"/>
  <c r="P884" i="21"/>
  <c r="R884" i="21" s="1"/>
  <c r="J884" i="21"/>
  <c r="P893" i="21"/>
  <c r="R893" i="21" s="1"/>
  <c r="J893" i="21"/>
  <c r="H949" i="21"/>
  <c r="H946" i="21" s="1"/>
  <c r="J954" i="21"/>
  <c r="P965" i="21"/>
  <c r="R965" i="21" s="1"/>
  <c r="J965" i="21"/>
  <c r="P987" i="21"/>
  <c r="R987" i="21" s="1"/>
  <c r="J987" i="21"/>
  <c r="P1021" i="21"/>
  <c r="R1021" i="21" s="1"/>
  <c r="J1021" i="21"/>
  <c r="P1025" i="21"/>
  <c r="R1025" i="21" s="1"/>
  <c r="N1025" i="21"/>
  <c r="P1030" i="21"/>
  <c r="R1030" i="21" s="1"/>
  <c r="J1030" i="21"/>
  <c r="P1035" i="21"/>
  <c r="R1035" i="21" s="1"/>
  <c r="J1035" i="21"/>
  <c r="P1051" i="21"/>
  <c r="R1051" i="21" s="1"/>
  <c r="J1051" i="21"/>
  <c r="P1060" i="21"/>
  <c r="R1060" i="21" s="1"/>
  <c r="J1060" i="21"/>
  <c r="P1079" i="21"/>
  <c r="R1079" i="21" s="1"/>
  <c r="J1079" i="21"/>
  <c r="P1088" i="21"/>
  <c r="R1088" i="21" s="1"/>
  <c r="J1088" i="21"/>
  <c r="P1098" i="21"/>
  <c r="R1098" i="21" s="1"/>
  <c r="J1098" i="21"/>
  <c r="P1107" i="21"/>
  <c r="R1107" i="21" s="1"/>
  <c r="J1107" i="21"/>
  <c r="P1159" i="21"/>
  <c r="R1159" i="21" s="1"/>
  <c r="J1159" i="21"/>
  <c r="P1177" i="21"/>
  <c r="R1177" i="21" s="1"/>
  <c r="J1177" i="21"/>
  <c r="P1188" i="21"/>
  <c r="R1188" i="21" s="1"/>
  <c r="J1188" i="21"/>
  <c r="L1196" i="21"/>
  <c r="N1196" i="21" s="1"/>
  <c r="N1197" i="21"/>
  <c r="P1200" i="21"/>
  <c r="R1200" i="21" s="1"/>
  <c r="J1200" i="21"/>
  <c r="P1209" i="21"/>
  <c r="R1209" i="21" s="1"/>
  <c r="J1209" i="21"/>
  <c r="L1216" i="21"/>
  <c r="N1216" i="21" s="1"/>
  <c r="N1217" i="21"/>
  <c r="P1222" i="21"/>
  <c r="R1222" i="21" s="1"/>
  <c r="J1222" i="21"/>
  <c r="P1242" i="21"/>
  <c r="R1242" i="21" s="1"/>
  <c r="J1242" i="21"/>
  <c r="P1317" i="21"/>
  <c r="R1317" i="21" s="1"/>
  <c r="J1317" i="21"/>
  <c r="P1333" i="21"/>
  <c r="R1333" i="21" s="1"/>
  <c r="J1333" i="21"/>
  <c r="P1367" i="21"/>
  <c r="R1367" i="21" s="1"/>
  <c r="J1367" i="21"/>
  <c r="P1387" i="21"/>
  <c r="R1387" i="21" s="1"/>
  <c r="J1387" i="21"/>
  <c r="P1400" i="21"/>
  <c r="R1400" i="21" s="1"/>
  <c r="H1476" i="21"/>
  <c r="P1480" i="21"/>
  <c r="R1480" i="21" s="1"/>
  <c r="J1480" i="21"/>
  <c r="H1485" i="21"/>
  <c r="H1482" i="21" s="1"/>
  <c r="J1486" i="21"/>
  <c r="P1490" i="21"/>
  <c r="R1490" i="21" s="1"/>
  <c r="J1490" i="21"/>
  <c r="L1496" i="21"/>
  <c r="P1514" i="21"/>
  <c r="R1514" i="21" s="1"/>
  <c r="J1514" i="21"/>
  <c r="L1524" i="21"/>
  <c r="N1524" i="21" s="1"/>
  <c r="P1530" i="21"/>
  <c r="R1530" i="21" s="1"/>
  <c r="J1530" i="21"/>
  <c r="P1533" i="21"/>
  <c r="R1533" i="21" s="1"/>
  <c r="H1599" i="21"/>
  <c r="H1598" i="21" s="1"/>
  <c r="J1598" i="21" s="1"/>
  <c r="P1602" i="21"/>
  <c r="R1602" i="21" s="1"/>
  <c r="P1686" i="21"/>
  <c r="R1686" i="21" s="1"/>
  <c r="J1686" i="21"/>
  <c r="P1702" i="21"/>
  <c r="R1702" i="21" s="1"/>
  <c r="J1702" i="21"/>
  <c r="P1735" i="21"/>
  <c r="R1739" i="21"/>
  <c r="I7" i="15"/>
  <c r="J225" i="21"/>
  <c r="M224" i="21"/>
  <c r="J358" i="21"/>
  <c r="J362" i="21"/>
  <c r="R341" i="21"/>
  <c r="R349" i="21"/>
  <c r="R357" i="21"/>
  <c r="Q389" i="21"/>
  <c r="J397" i="21"/>
  <c r="N437" i="21"/>
  <c r="R431" i="21"/>
  <c r="R453" i="21"/>
  <c r="I640" i="21"/>
  <c r="J651" i="21"/>
  <c r="M502" i="21"/>
  <c r="N604" i="21"/>
  <c r="R554" i="21"/>
  <c r="R569" i="21"/>
  <c r="R604" i="21"/>
  <c r="R628" i="21"/>
  <c r="J708" i="21"/>
  <c r="J730" i="21"/>
  <c r="J751" i="21"/>
  <c r="Q758" i="21"/>
  <c r="J781" i="21"/>
  <c r="J785" i="21"/>
  <c r="Q837" i="21"/>
  <c r="I836" i="21"/>
  <c r="M715" i="21"/>
  <c r="N767" i="21"/>
  <c r="Q1626" i="21"/>
  <c r="R988" i="21"/>
  <c r="R418" i="21"/>
  <c r="R426" i="21"/>
  <c r="R442" i="21"/>
  <c r="R451" i="21"/>
  <c r="R510" i="21"/>
  <c r="R518" i="21"/>
  <c r="R527" i="21"/>
  <c r="R535" i="21"/>
  <c r="R544" i="21"/>
  <c r="R560" i="21"/>
  <c r="R572" i="21"/>
  <c r="R575" i="21"/>
  <c r="R594" i="21"/>
  <c r="R602" i="21"/>
  <c r="R610" i="21"/>
  <c r="R618" i="21"/>
  <c r="I658" i="21"/>
  <c r="Q658" i="21" s="1"/>
  <c r="Q662" i="21"/>
  <c r="Q728" i="21"/>
  <c r="Q850" i="21"/>
  <c r="Q1496" i="21"/>
  <c r="Q985" i="21"/>
  <c r="R391" i="21"/>
  <c r="R399" i="21"/>
  <c r="R408" i="21"/>
  <c r="R424" i="21"/>
  <c r="R432" i="21"/>
  <c r="R440" i="21"/>
  <c r="R449" i="21"/>
  <c r="J531" i="21"/>
  <c r="J558" i="21"/>
  <c r="J579" i="21"/>
  <c r="J599" i="21"/>
  <c r="R508" i="21"/>
  <c r="R516" i="21"/>
  <c r="R525" i="21"/>
  <c r="R533" i="21"/>
  <c r="R541" i="21"/>
  <c r="Q558" i="21"/>
  <c r="R558" i="21" s="1"/>
  <c r="Q579" i="21"/>
  <c r="R579" i="21" s="1"/>
  <c r="R584" i="21"/>
  <c r="R592" i="21"/>
  <c r="R600" i="21"/>
  <c r="R630" i="21"/>
  <c r="Q683" i="21"/>
  <c r="Q706" i="21"/>
  <c r="Q847" i="21"/>
  <c r="H15" i="15"/>
  <c r="Q1651" i="21"/>
  <c r="H17" i="15"/>
  <c r="Q1221" i="21"/>
  <c r="R397" i="21"/>
  <c r="R405" i="21"/>
  <c r="R414" i="21"/>
  <c r="R422" i="21"/>
  <c r="R438" i="21"/>
  <c r="R447" i="21"/>
  <c r="J524" i="21"/>
  <c r="J540" i="21"/>
  <c r="Q531" i="21"/>
  <c r="R531" i="21" s="1"/>
  <c r="R556" i="21"/>
  <c r="R564" i="21"/>
  <c r="R582" i="21"/>
  <c r="R590" i="21"/>
  <c r="Q631" i="21"/>
  <c r="Q672" i="21"/>
  <c r="Q680" i="21"/>
  <c r="Q703" i="21"/>
  <c r="J746" i="21"/>
  <c r="Q746" i="21"/>
  <c r="R746" i="21" s="1"/>
  <c r="R781" i="21"/>
  <c r="Q840" i="21"/>
  <c r="Q1216" i="21"/>
  <c r="Q1329" i="21"/>
  <c r="Q1474" i="21"/>
  <c r="Q1640" i="21"/>
  <c r="H14" i="15"/>
  <c r="I1689" i="21"/>
  <c r="Q1690" i="21"/>
  <c r="Q1116" i="21"/>
  <c r="I1156" i="21"/>
  <c r="Q1166" i="21"/>
  <c r="Q935" i="21"/>
  <c r="Q882" i="21"/>
  <c r="J882" i="21"/>
  <c r="I1382" i="21"/>
  <c r="Q1383" i="21"/>
  <c r="Q913" i="21"/>
  <c r="Q1196" i="21"/>
  <c r="I1516" i="21"/>
  <c r="Q1517" i="21"/>
  <c r="Q1412" i="21"/>
  <c r="I1175" i="21"/>
  <c r="Q1185" i="21"/>
  <c r="Q921" i="21"/>
  <c r="R1520" i="21"/>
  <c r="Q1574" i="21"/>
  <c r="R1574" i="21" s="1"/>
  <c r="I1573" i="21"/>
  <c r="Q866" i="21"/>
  <c r="I1728" i="21"/>
  <c r="I1607" i="21"/>
  <c r="Q1607" i="21" s="1"/>
  <c r="I1524" i="21"/>
  <c r="I1363" i="21"/>
  <c r="M1074" i="21"/>
  <c r="M657" i="21"/>
  <c r="I668" i="21"/>
  <c r="I742" i="21"/>
  <c r="M388" i="21"/>
  <c r="M334" i="21"/>
  <c r="J121" i="21"/>
  <c r="L715" i="21"/>
  <c r="L657" i="21" s="1"/>
  <c r="P1739" i="21"/>
  <c r="H662" i="21"/>
  <c r="H659" i="21" s="1"/>
  <c r="H828" i="21"/>
  <c r="H866" i="21"/>
  <c r="P866" i="21" s="1"/>
  <c r="L1175" i="21"/>
  <c r="N1175" i="21" s="1"/>
  <c r="H1221" i="21"/>
  <c r="P1221" i="21" s="1"/>
  <c r="H1330" i="21"/>
  <c r="P1507" i="21"/>
  <c r="R1507" i="21" s="1"/>
  <c r="J237" i="21"/>
  <c r="J263" i="21"/>
  <c r="J285" i="21"/>
  <c r="J233" i="21"/>
  <c r="J129" i="21"/>
  <c r="P552" i="21"/>
  <c r="R552" i="21" s="1"/>
  <c r="L1050" i="21"/>
  <c r="N1050" i="21" s="1"/>
  <c r="L1345" i="21"/>
  <c r="N1345" i="21" s="1"/>
  <c r="H1385" i="21"/>
  <c r="H1383" i="21" s="1"/>
  <c r="J1383" i="21" s="1"/>
  <c r="L1382" i="21"/>
  <c r="G14" i="15" s="1"/>
  <c r="H1652" i="21"/>
  <c r="H1651" i="21" s="1"/>
  <c r="P1651" i="21" s="1"/>
  <c r="M5" i="21"/>
  <c r="H6" i="15" s="1"/>
  <c r="Q81" i="21"/>
  <c r="J253" i="21"/>
  <c r="J270" i="21"/>
  <c r="J168" i="21"/>
  <c r="J230" i="21"/>
  <c r="H114" i="21"/>
  <c r="P114" i="21" s="1"/>
  <c r="R114" i="21" s="1"/>
  <c r="L125" i="21"/>
  <c r="L118" i="21" s="1"/>
  <c r="P128" i="21"/>
  <c r="R128" i="21" s="1"/>
  <c r="P169" i="21"/>
  <c r="R169" i="21" s="1"/>
  <c r="P235" i="21"/>
  <c r="R235" i="21" s="1"/>
  <c r="H398" i="21"/>
  <c r="P398" i="21" s="1"/>
  <c r="L409" i="21"/>
  <c r="P409" i="21" s="1"/>
  <c r="H537" i="21"/>
  <c r="P537" i="21" s="1"/>
  <c r="L565" i="21"/>
  <c r="N565" i="21" s="1"/>
  <c r="H576" i="21"/>
  <c r="P576" i="21" s="1"/>
  <c r="H613" i="21"/>
  <c r="P613" i="21" s="1"/>
  <c r="P622" i="21"/>
  <c r="R622" i="21" s="1"/>
  <c r="P751" i="21"/>
  <c r="R751" i="21" s="1"/>
  <c r="H771" i="21"/>
  <c r="H1029" i="21"/>
  <c r="P1041" i="21"/>
  <c r="R1041" i="21" s="1"/>
  <c r="H1207" i="21"/>
  <c r="P1347" i="21"/>
  <c r="P1486" i="21"/>
  <c r="R1486" i="21" s="1"/>
  <c r="P1503" i="21"/>
  <c r="R1503" i="21" s="1"/>
  <c r="H1640" i="21"/>
  <c r="L1572" i="21"/>
  <c r="H1699" i="21"/>
  <c r="L1730" i="21"/>
  <c r="J86" i="21"/>
  <c r="N114" i="21"/>
  <c r="N136" i="21"/>
  <c r="N166" i="21"/>
  <c r="P129" i="21"/>
  <c r="R129" i="21" s="1"/>
  <c r="H156" i="21"/>
  <c r="P156" i="21" s="1"/>
  <c r="R156" i="21" s="1"/>
  <c r="L270" i="21"/>
  <c r="L224" i="21" s="1"/>
  <c r="G9" i="15" s="1"/>
  <c r="H624" i="21"/>
  <c r="P624" i="21" s="1"/>
  <c r="H992" i="21"/>
  <c r="J992" i="21" s="1"/>
  <c r="H1001" i="21"/>
  <c r="H1097" i="21"/>
  <c r="H1116" i="21"/>
  <c r="P1116" i="21" s="1"/>
  <c r="H1157" i="21"/>
  <c r="J1157" i="21" s="1"/>
  <c r="H1466" i="21"/>
  <c r="J1466" i="21" s="1"/>
  <c r="H1730" i="21"/>
  <c r="H1728" i="21" s="1"/>
  <c r="J119" i="21"/>
  <c r="J162" i="21"/>
  <c r="J158" i="21"/>
  <c r="J145" i="21"/>
  <c r="J173" i="21"/>
  <c r="H118" i="21"/>
  <c r="H166" i="21"/>
  <c r="P166" i="21" s="1"/>
  <c r="R166" i="21" s="1"/>
  <c r="P234" i="21"/>
  <c r="R234" i="21" s="1"/>
  <c r="H335" i="21"/>
  <c r="P335" i="21" s="1"/>
  <c r="L393" i="21"/>
  <c r="N393" i="21" s="1"/>
  <c r="H596" i="21"/>
  <c r="H978" i="21"/>
  <c r="H1009" i="21"/>
  <c r="H1018" i="21"/>
  <c r="J1018" i="21" s="1"/>
  <c r="H1034" i="21"/>
  <c r="H1050" i="21"/>
  <c r="J1050" i="21" s="1"/>
  <c r="R86" i="21"/>
  <c r="J117" i="21"/>
  <c r="J125" i="21"/>
  <c r="J167" i="21"/>
  <c r="J163" i="21"/>
  <c r="J231" i="21"/>
  <c r="I282" i="21"/>
  <c r="Q282" i="21" s="1"/>
  <c r="I142" i="21"/>
  <c r="I153" i="21"/>
  <c r="I118" i="21"/>
  <c r="I6" i="21"/>
  <c r="Q6" i="21" s="1"/>
  <c r="H1608" i="21"/>
  <c r="J1608" i="21" s="1"/>
  <c r="H1627" i="21"/>
  <c r="J1627" i="21" s="1"/>
  <c r="H1671" i="21"/>
  <c r="J1671" i="21" s="1"/>
  <c r="H1528" i="21"/>
  <c r="H1517" i="21"/>
  <c r="H1497" i="21"/>
  <c r="J1497" i="21" s="1"/>
  <c r="H1398" i="21"/>
  <c r="J1398" i="21" s="1"/>
  <c r="H1345" i="21"/>
  <c r="N1329" i="21"/>
  <c r="H1364" i="21"/>
  <c r="J1364" i="21" s="1"/>
  <c r="P512" i="21"/>
  <c r="R512" i="21" s="1"/>
  <c r="H511" i="21"/>
  <c r="P861" i="21"/>
  <c r="R861" i="21" s="1"/>
  <c r="H859" i="21"/>
  <c r="J859" i="21" s="1"/>
  <c r="P1186" i="21"/>
  <c r="R1186" i="21" s="1"/>
  <c r="H1185" i="21"/>
  <c r="P504" i="21"/>
  <c r="R504" i="21" s="1"/>
  <c r="H503" i="21"/>
  <c r="P529" i="21"/>
  <c r="R529" i="21" s="1"/>
  <c r="H528" i="21"/>
  <c r="P528" i="21" s="1"/>
  <c r="R528" i="21" s="1"/>
  <c r="P660" i="21"/>
  <c r="R660" i="21" s="1"/>
  <c r="P1028" i="21"/>
  <c r="R1028" i="21" s="1"/>
  <c r="P1045" i="21"/>
  <c r="R1045" i="21" s="1"/>
  <c r="H1042" i="21"/>
  <c r="P1059" i="21"/>
  <c r="R1059" i="21" s="1"/>
  <c r="H1058" i="21"/>
  <c r="P1077" i="21"/>
  <c r="R1077" i="21" s="1"/>
  <c r="H1076" i="21"/>
  <c r="J1076" i="21" s="1"/>
  <c r="P1108" i="21"/>
  <c r="R1108" i="21" s="1"/>
  <c r="H1106" i="21"/>
  <c r="P1139" i="21"/>
  <c r="R1139" i="21" s="1"/>
  <c r="H1138" i="21"/>
  <c r="J1138" i="21" s="1"/>
  <c r="L596" i="21"/>
  <c r="N596" i="21" s="1"/>
  <c r="P588" i="21"/>
  <c r="R588" i="21" s="1"/>
  <c r="H586" i="21"/>
  <c r="H818" i="21"/>
  <c r="H815" i="21" s="1"/>
  <c r="P820" i="21"/>
  <c r="R820" i="21" s="1"/>
  <c r="P853" i="21"/>
  <c r="R853" i="21" s="1"/>
  <c r="H850" i="21"/>
  <c r="J850" i="21" s="1"/>
  <c r="P891" i="21"/>
  <c r="R891" i="21" s="1"/>
  <c r="H890" i="21"/>
  <c r="P964" i="21"/>
  <c r="R964" i="21" s="1"/>
  <c r="H962" i="21"/>
  <c r="J962" i="21" s="1"/>
  <c r="P1087" i="21"/>
  <c r="R1087" i="21" s="1"/>
  <c r="H1086" i="21"/>
  <c r="P548" i="21"/>
  <c r="R548" i="21" s="1"/>
  <c r="H547" i="21"/>
  <c r="P595" i="21"/>
  <c r="R595" i="21" s="1"/>
  <c r="L586" i="21"/>
  <c r="P632" i="21"/>
  <c r="R632" i="21" s="1"/>
  <c r="P745" i="21"/>
  <c r="R745" i="21" s="1"/>
  <c r="H743" i="21"/>
  <c r="J743" i="21" s="1"/>
  <c r="P779" i="21"/>
  <c r="R779" i="21" s="1"/>
  <c r="H778" i="21"/>
  <c r="P875" i="21"/>
  <c r="R875" i="21" s="1"/>
  <c r="H874" i="21"/>
  <c r="P936" i="21"/>
  <c r="R936" i="21" s="1"/>
  <c r="H935" i="21"/>
  <c r="P935" i="21" s="1"/>
  <c r="P973" i="21"/>
  <c r="R973" i="21" s="1"/>
  <c r="H970" i="21"/>
  <c r="H521" i="21"/>
  <c r="P521" i="21" s="1"/>
  <c r="H805" i="21"/>
  <c r="J805" i="21" s="1"/>
  <c r="P793" i="21"/>
  <c r="R793" i="21" s="1"/>
  <c r="P923" i="21"/>
  <c r="R923" i="21" s="1"/>
  <c r="H921" i="21"/>
  <c r="P921" i="21" s="1"/>
  <c r="P763" i="21"/>
  <c r="R763" i="21" s="1"/>
  <c r="H758" i="21"/>
  <c r="J758" i="21" s="1"/>
  <c r="P770" i="21"/>
  <c r="R770" i="21" s="1"/>
  <c r="P816" i="21"/>
  <c r="R816" i="21" s="1"/>
  <c r="P915" i="21"/>
  <c r="R915" i="21" s="1"/>
  <c r="H913" i="21"/>
  <c r="P913" i="21" s="1"/>
  <c r="P1068" i="21"/>
  <c r="R1068" i="21" s="1"/>
  <c r="H1066" i="21"/>
  <c r="P1234" i="21"/>
  <c r="R1234" i="21" s="1"/>
  <c r="H1231" i="21"/>
  <c r="J1231" i="21" s="1"/>
  <c r="H555" i="21"/>
  <c r="P555" i="21" s="1"/>
  <c r="R555" i="21" s="1"/>
  <c r="H606" i="21"/>
  <c r="P606" i="21" s="1"/>
  <c r="H634" i="21"/>
  <c r="P634" i="21" s="1"/>
  <c r="R634" i="21" s="1"/>
  <c r="H683" i="21"/>
  <c r="J683" i="21" s="1"/>
  <c r="H716" i="21"/>
  <c r="P832" i="21"/>
  <c r="R832" i="21" s="1"/>
  <c r="H1176" i="21"/>
  <c r="J1176" i="21" s="1"/>
  <c r="P799" i="21"/>
  <c r="R799" i="21" s="1"/>
  <c r="H795" i="21"/>
  <c r="P795" i="21" s="1"/>
  <c r="R795" i="21" s="1"/>
  <c r="P986" i="21"/>
  <c r="R986" i="21" s="1"/>
  <c r="H985" i="21"/>
  <c r="P985" i="21" s="1"/>
  <c r="P1129" i="21"/>
  <c r="R1129" i="21" s="1"/>
  <c r="H1127" i="21"/>
  <c r="P1148" i="21"/>
  <c r="R1148" i="21" s="1"/>
  <c r="H1147" i="21"/>
  <c r="P1168" i="21"/>
  <c r="R1168" i="21" s="1"/>
  <c r="H1166" i="21"/>
  <c r="H905" i="21"/>
  <c r="P905" i="21" s="1"/>
  <c r="H1197" i="21"/>
  <c r="J1197" i="21" s="1"/>
  <c r="H389" i="21"/>
  <c r="J389" i="21" s="1"/>
  <c r="H348" i="21"/>
  <c r="J348" i="21" s="1"/>
  <c r="H354" i="21"/>
  <c r="J354" i="21" s="1"/>
  <c r="H232" i="21"/>
  <c r="J232" i="21" s="1"/>
  <c r="H250" i="21"/>
  <c r="H260" i="21"/>
  <c r="H282" i="21"/>
  <c r="L133" i="21"/>
  <c r="H142" i="21"/>
  <c r="I278" i="7"/>
  <c r="I276" i="7" s="1"/>
  <c r="I286" i="7" s="1"/>
  <c r="I296" i="7" s="1"/>
  <c r="H3" i="15" s="1"/>
  <c r="I200" i="7"/>
  <c r="I166" i="7" s="1"/>
  <c r="I130" i="7"/>
  <c r="I7" i="7"/>
  <c r="B1513" i="21" l="1"/>
  <c r="B1514" i="21" s="1"/>
  <c r="B1515" i="21" s="1"/>
  <c r="B1516" i="21" s="1"/>
  <c r="B1517" i="21" s="1"/>
  <c r="B1518" i="21" s="1"/>
  <c r="B1519" i="21" s="1"/>
  <c r="B1520" i="21" s="1"/>
  <c r="B1521" i="21" s="1"/>
  <c r="B1522" i="21" s="1"/>
  <c r="B1523" i="21" s="1"/>
  <c r="B1524" i="21" s="1"/>
  <c r="B1525" i="21" s="1"/>
  <c r="B1526" i="21" s="1"/>
  <c r="B1527" i="21" s="1"/>
  <c r="B1528" i="21" s="1"/>
  <c r="B1529" i="21" s="1"/>
  <c r="B1530" i="21" s="1"/>
  <c r="B1531" i="21" s="1"/>
  <c r="B1532" i="21" s="1"/>
  <c r="B1533" i="21" s="1"/>
  <c r="B1534" i="21" s="1"/>
  <c r="B1535" i="21" s="1"/>
  <c r="I1316" i="21"/>
  <c r="N118" i="21"/>
  <c r="H1573" i="21"/>
  <c r="P1573" i="21" s="1"/>
  <c r="J1574" i="21"/>
  <c r="J1690" i="21"/>
  <c r="P1690" i="21"/>
  <c r="J815" i="21"/>
  <c r="R506" i="21"/>
  <c r="R239" i="21"/>
  <c r="R840" i="21"/>
  <c r="H1412" i="21"/>
  <c r="P1412" i="21" s="1"/>
  <c r="R1412" i="21" s="1"/>
  <c r="I388" i="21"/>
  <c r="Q388" i="21" s="1"/>
  <c r="J239" i="21"/>
  <c r="P1320" i="21"/>
  <c r="R1320" i="21" s="1"/>
  <c r="I791" i="21"/>
  <c r="Q791" i="21" s="1"/>
  <c r="I334" i="21"/>
  <c r="E10" i="15" s="1"/>
  <c r="J1482" i="21"/>
  <c r="I1461" i="21"/>
  <c r="E15" i="15" s="1"/>
  <c r="I1304" i="21"/>
  <c r="Q250" i="21"/>
  <c r="P1640" i="21"/>
  <c r="R1640" i="21" s="1"/>
  <c r="Q260" i="21"/>
  <c r="J1517" i="21"/>
  <c r="B534" i="2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B551" i="21" s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571" i="21" s="1"/>
  <c r="B572" i="21" s="1"/>
  <c r="B573" i="21" s="1"/>
  <c r="B574" i="21" s="1"/>
  <c r="B575" i="21" s="1"/>
  <c r="B576" i="21" s="1"/>
  <c r="B577" i="21" s="1"/>
  <c r="B578" i="21" s="1"/>
  <c r="B579" i="21" s="1"/>
  <c r="B580" i="21" s="1"/>
  <c r="B581" i="21" s="1"/>
  <c r="B582" i="21" s="1"/>
  <c r="B583" i="21" s="1"/>
  <c r="B584" i="21" s="1"/>
  <c r="B585" i="21" s="1"/>
  <c r="B586" i="21" s="1"/>
  <c r="B587" i="21" s="1"/>
  <c r="B588" i="21" s="1"/>
  <c r="B589" i="21" s="1"/>
  <c r="B590" i="21" s="1"/>
  <c r="B591" i="21" s="1"/>
  <c r="B592" i="21" s="1"/>
  <c r="B593" i="21" s="1"/>
  <c r="B594" i="21" s="1"/>
  <c r="B595" i="21" s="1"/>
  <c r="B596" i="21" s="1"/>
  <c r="B597" i="21" s="1"/>
  <c r="B598" i="21" s="1"/>
  <c r="B599" i="21" s="1"/>
  <c r="B600" i="21" s="1"/>
  <c r="B601" i="21" s="1"/>
  <c r="B602" i="21" s="1"/>
  <c r="B603" i="21" s="1"/>
  <c r="B604" i="21" s="1"/>
  <c r="B605" i="21" s="1"/>
  <c r="B606" i="21" s="1"/>
  <c r="B607" i="21" s="1"/>
  <c r="B608" i="21" s="1"/>
  <c r="B609" i="21" s="1"/>
  <c r="B610" i="21" s="1"/>
  <c r="B611" i="21" s="1"/>
  <c r="B612" i="21" s="1"/>
  <c r="B613" i="21" s="1"/>
  <c r="B614" i="21" s="1"/>
  <c r="B615" i="21" s="1"/>
  <c r="B616" i="21" s="1"/>
  <c r="B617" i="21" s="1"/>
  <c r="B618" i="21" s="1"/>
  <c r="B619" i="21" s="1"/>
  <c r="B620" i="21" s="1"/>
  <c r="B621" i="21" s="1"/>
  <c r="B622" i="21" s="1"/>
  <c r="B623" i="21" s="1"/>
  <c r="B624" i="21" s="1"/>
  <c r="B625" i="21" s="1"/>
  <c r="B626" i="21" s="1"/>
  <c r="B627" i="21" s="1"/>
  <c r="B628" i="21" s="1"/>
  <c r="B629" i="21" s="1"/>
  <c r="B630" i="21" s="1"/>
  <c r="B631" i="21" s="1"/>
  <c r="B632" i="21" s="1"/>
  <c r="B633" i="21" s="1"/>
  <c r="B634" i="21" s="1"/>
  <c r="B635" i="21" s="1"/>
  <c r="B636" i="21" s="1"/>
  <c r="B637" i="21" s="1"/>
  <c r="B638" i="21" s="1"/>
  <c r="B639" i="21" s="1"/>
  <c r="B640" i="21" s="1"/>
  <c r="B641" i="21" s="1"/>
  <c r="B642" i="21" s="1"/>
  <c r="B643" i="21" s="1"/>
  <c r="B644" i="21" s="1"/>
  <c r="B645" i="21" s="1"/>
  <c r="B646" i="21" s="1"/>
  <c r="B647" i="21" s="1"/>
  <c r="B648" i="21" s="1"/>
  <c r="B649" i="21" s="1"/>
  <c r="B650" i="21" s="1"/>
  <c r="B651" i="21" s="1"/>
  <c r="B652" i="21" s="1"/>
  <c r="B653" i="21" s="1"/>
  <c r="B654" i="21" s="1"/>
  <c r="B655" i="21" s="1"/>
  <c r="B656" i="21" s="1"/>
  <c r="B657" i="21" s="1"/>
  <c r="B658" i="21" s="1"/>
  <c r="B659" i="21" s="1"/>
  <c r="B660" i="21" s="1"/>
  <c r="B661" i="21" s="1"/>
  <c r="B662" i="21" s="1"/>
  <c r="B663" i="21" s="1"/>
  <c r="B664" i="21" s="1"/>
  <c r="B665" i="21" s="1"/>
  <c r="B666" i="21" s="1"/>
  <c r="B667" i="21" s="1"/>
  <c r="B668" i="21" s="1"/>
  <c r="B669" i="21" s="1"/>
  <c r="B670" i="21" s="1"/>
  <c r="B671" i="21" s="1"/>
  <c r="B672" i="21" s="1"/>
  <c r="B673" i="21" s="1"/>
  <c r="B674" i="21" s="1"/>
  <c r="B675" i="21" s="1"/>
  <c r="B676" i="21" s="1"/>
  <c r="B677" i="21" s="1"/>
  <c r="B678" i="21" s="1"/>
  <c r="B679" i="21" s="1"/>
  <c r="B680" i="21" s="1"/>
  <c r="B681" i="21" s="1"/>
  <c r="B682" i="21" s="1"/>
  <c r="B683" i="21" s="1"/>
  <c r="B684" i="21" s="1"/>
  <c r="B685" i="21" s="1"/>
  <c r="B686" i="21" s="1"/>
  <c r="B687" i="21" s="1"/>
  <c r="B688" i="21" s="1"/>
  <c r="B689" i="21" s="1"/>
  <c r="B690" i="21" s="1"/>
  <c r="B691" i="21" s="1"/>
  <c r="B692" i="21" s="1"/>
  <c r="B693" i="21" s="1"/>
  <c r="B694" i="21" s="1"/>
  <c r="B695" i="21" s="1"/>
  <c r="B696" i="21" s="1"/>
  <c r="B697" i="21" s="1"/>
  <c r="B698" i="21" s="1"/>
  <c r="B699" i="21" s="1"/>
  <c r="B700" i="21" s="1"/>
  <c r="B701" i="21" s="1"/>
  <c r="B702" i="21" s="1"/>
  <c r="B703" i="21" s="1"/>
  <c r="B704" i="21" s="1"/>
  <c r="B705" i="21" s="1"/>
  <c r="B706" i="21" s="1"/>
  <c r="B707" i="21" s="1"/>
  <c r="B708" i="21" s="1"/>
  <c r="B709" i="21" s="1"/>
  <c r="B710" i="21" s="1"/>
  <c r="B711" i="21" s="1"/>
  <c r="B712" i="21" s="1"/>
  <c r="B713" i="21" s="1"/>
  <c r="B714" i="21" s="1"/>
  <c r="B715" i="21" s="1"/>
  <c r="B716" i="21" s="1"/>
  <c r="B717" i="21" s="1"/>
  <c r="B718" i="21" s="1"/>
  <c r="B719" i="21" s="1"/>
  <c r="B720" i="21" s="1"/>
  <c r="B721" i="21" s="1"/>
  <c r="B722" i="21" s="1"/>
  <c r="B723" i="21" s="1"/>
  <c r="B724" i="21" s="1"/>
  <c r="B725" i="21" s="1"/>
  <c r="B726" i="21" s="1"/>
  <c r="B727" i="21" s="1"/>
  <c r="B728" i="21" s="1"/>
  <c r="B729" i="21" s="1"/>
  <c r="B730" i="21" s="1"/>
  <c r="B731" i="21" s="1"/>
  <c r="B732" i="21" s="1"/>
  <c r="B733" i="21" s="1"/>
  <c r="B734" i="21" s="1"/>
  <c r="B735" i="21" s="1"/>
  <c r="B736" i="21" s="1"/>
  <c r="B737" i="21" s="1"/>
  <c r="B738" i="21" s="1"/>
  <c r="B739" i="21" s="1"/>
  <c r="B740" i="21" s="1"/>
  <c r="B741" i="21" s="1"/>
  <c r="B742" i="21" s="1"/>
  <c r="B743" i="21" s="1"/>
  <c r="B744" i="21" s="1"/>
  <c r="B745" i="21" s="1"/>
  <c r="B746" i="21" s="1"/>
  <c r="B747" i="21" s="1"/>
  <c r="B748" i="21" s="1"/>
  <c r="B749" i="21" s="1"/>
  <c r="B750" i="21" s="1"/>
  <c r="B751" i="21" s="1"/>
  <c r="B752" i="21" s="1"/>
  <c r="B753" i="21" s="1"/>
  <c r="B754" i="21" s="1"/>
  <c r="B755" i="21" s="1"/>
  <c r="B756" i="21" s="1"/>
  <c r="B757" i="21" s="1"/>
  <c r="B758" i="21" s="1"/>
  <c r="B759" i="21" s="1"/>
  <c r="B760" i="21" s="1"/>
  <c r="B761" i="21" s="1"/>
  <c r="B762" i="21" s="1"/>
  <c r="B763" i="21" s="1"/>
  <c r="B764" i="21" s="1"/>
  <c r="B765" i="21" s="1"/>
  <c r="B766" i="21" s="1"/>
  <c r="B767" i="21" s="1"/>
  <c r="B768" i="21" s="1"/>
  <c r="B769" i="21" s="1"/>
  <c r="B770" i="21" s="1"/>
  <c r="B771" i="21" s="1"/>
  <c r="B772" i="21" s="1"/>
  <c r="B773" i="21" s="1"/>
  <c r="B774" i="21" s="1"/>
  <c r="B775" i="21" s="1"/>
  <c r="B776" i="21" s="1"/>
  <c r="B777" i="21" s="1"/>
  <c r="B778" i="21" s="1"/>
  <c r="B779" i="21" s="1"/>
  <c r="B780" i="21" s="1"/>
  <c r="B781" i="21" s="1"/>
  <c r="B782" i="21" s="1"/>
  <c r="B783" i="21" s="1"/>
  <c r="B784" i="21" s="1"/>
  <c r="B785" i="21" s="1"/>
  <c r="B786" i="21" s="1"/>
  <c r="B787" i="21" s="1"/>
  <c r="B788" i="21" s="1"/>
  <c r="B789" i="21" s="1"/>
  <c r="B790" i="21" s="1"/>
  <c r="B791" i="21" s="1"/>
  <c r="B792" i="21" s="1"/>
  <c r="B793" i="21" s="1"/>
  <c r="B794" i="21" s="1"/>
  <c r="B795" i="21" s="1"/>
  <c r="B796" i="21" s="1"/>
  <c r="B797" i="21" s="1"/>
  <c r="B798" i="21" s="1"/>
  <c r="B799" i="21" s="1"/>
  <c r="B800" i="21" s="1"/>
  <c r="B801" i="21" s="1"/>
  <c r="B802" i="21" s="1"/>
  <c r="B803" i="21" s="1"/>
  <c r="B804" i="21" s="1"/>
  <c r="B805" i="21" s="1"/>
  <c r="B806" i="21" s="1"/>
  <c r="B807" i="21" s="1"/>
  <c r="B808" i="21" s="1"/>
  <c r="B809" i="21" s="1"/>
  <c r="B810" i="21" s="1"/>
  <c r="B811" i="21" s="1"/>
  <c r="B812" i="21" s="1"/>
  <c r="B813" i="21" s="1"/>
  <c r="B814" i="21" s="1"/>
  <c r="B815" i="21" s="1"/>
  <c r="B816" i="21" s="1"/>
  <c r="B817" i="21" s="1"/>
  <c r="B818" i="21" s="1"/>
  <c r="B819" i="21" s="1"/>
  <c r="B820" i="21" s="1"/>
  <c r="B821" i="21" s="1"/>
  <c r="B822" i="21" s="1"/>
  <c r="B823" i="21" s="1"/>
  <c r="B824" i="21" s="1"/>
  <c r="B825" i="21" s="1"/>
  <c r="B826" i="21" s="1"/>
  <c r="B827" i="21" s="1"/>
  <c r="B828" i="21" s="1"/>
  <c r="B829" i="21" s="1"/>
  <c r="B830" i="21" s="1"/>
  <c r="B831" i="21" s="1"/>
  <c r="B832" i="21" s="1"/>
  <c r="B833" i="21" s="1"/>
  <c r="B834" i="21" s="1"/>
  <c r="B835" i="21" s="1"/>
  <c r="B836" i="21" s="1"/>
  <c r="B837" i="21" s="1"/>
  <c r="B838" i="21" s="1"/>
  <c r="B839" i="21" s="1"/>
  <c r="B840" i="21" s="1"/>
  <c r="B841" i="21" s="1"/>
  <c r="B842" i="21" s="1"/>
  <c r="B843" i="21" s="1"/>
  <c r="B844" i="21" s="1"/>
  <c r="B845" i="21" s="1"/>
  <c r="B846" i="21" s="1"/>
  <c r="B847" i="21" s="1"/>
  <c r="B848" i="21" s="1"/>
  <c r="B849" i="21" s="1"/>
  <c r="B850" i="21" s="1"/>
  <c r="B851" i="21" s="1"/>
  <c r="B852" i="21" s="1"/>
  <c r="B853" i="21" s="1"/>
  <c r="B854" i="21" s="1"/>
  <c r="B855" i="21" s="1"/>
  <c r="B856" i="21" s="1"/>
  <c r="B857" i="21" s="1"/>
  <c r="B858" i="21" s="1"/>
  <c r="B859" i="21" s="1"/>
  <c r="B860" i="21" s="1"/>
  <c r="B861" i="21" s="1"/>
  <c r="B862" i="21" s="1"/>
  <c r="B863" i="21" s="1"/>
  <c r="B864" i="21" s="1"/>
  <c r="B865" i="21" s="1"/>
  <c r="B866" i="21" s="1"/>
  <c r="B867" i="21" s="1"/>
  <c r="B868" i="21" s="1"/>
  <c r="B869" i="21" s="1"/>
  <c r="B870" i="21" s="1"/>
  <c r="B871" i="21" s="1"/>
  <c r="B872" i="21" s="1"/>
  <c r="B873" i="21" s="1"/>
  <c r="B874" i="21" s="1"/>
  <c r="B875" i="21" s="1"/>
  <c r="B876" i="21" s="1"/>
  <c r="B877" i="21" s="1"/>
  <c r="B878" i="21" s="1"/>
  <c r="B879" i="21" s="1"/>
  <c r="B880" i="21" s="1"/>
  <c r="B881" i="21" s="1"/>
  <c r="B882" i="21" s="1"/>
  <c r="B883" i="21" s="1"/>
  <c r="B884" i="21" s="1"/>
  <c r="B885" i="21" s="1"/>
  <c r="B886" i="21" s="1"/>
  <c r="B887" i="21" s="1"/>
  <c r="B888" i="21" s="1"/>
  <c r="B889" i="21" s="1"/>
  <c r="B890" i="21" s="1"/>
  <c r="B891" i="21" s="1"/>
  <c r="B892" i="21" s="1"/>
  <c r="B893" i="21" s="1"/>
  <c r="B894" i="21" s="1"/>
  <c r="B895" i="21" s="1"/>
  <c r="B896" i="21" s="1"/>
  <c r="B897" i="21" s="1"/>
  <c r="B898" i="21" s="1"/>
  <c r="B899" i="21" s="1"/>
  <c r="B900" i="21" s="1"/>
  <c r="B901" i="21" s="1"/>
  <c r="B902" i="21" s="1"/>
  <c r="B903" i="21" s="1"/>
  <c r="B904" i="21" s="1"/>
  <c r="B905" i="21" s="1"/>
  <c r="B906" i="21" s="1"/>
  <c r="B907" i="21" s="1"/>
  <c r="B908" i="21" s="1"/>
  <c r="B909" i="21" s="1"/>
  <c r="B910" i="21" s="1"/>
  <c r="B911" i="21" s="1"/>
  <c r="B912" i="21" s="1"/>
  <c r="B913" i="21" s="1"/>
  <c r="B914" i="21" s="1"/>
  <c r="B915" i="21" s="1"/>
  <c r="B916" i="21" s="1"/>
  <c r="B917" i="21" s="1"/>
  <c r="B918" i="21" s="1"/>
  <c r="B919" i="21" s="1"/>
  <c r="B920" i="21" s="1"/>
  <c r="B921" i="21" s="1"/>
  <c r="B922" i="21" s="1"/>
  <c r="B923" i="21" s="1"/>
  <c r="B924" i="21" s="1"/>
  <c r="B925" i="21" s="1"/>
  <c r="B926" i="21" s="1"/>
  <c r="B927" i="21" s="1"/>
  <c r="B928" i="21" s="1"/>
  <c r="B929" i="21" s="1"/>
  <c r="B930" i="21" s="1"/>
  <c r="B931" i="21" s="1"/>
  <c r="B932" i="21" s="1"/>
  <c r="B933" i="21" s="1"/>
  <c r="B934" i="21" s="1"/>
  <c r="B935" i="21" s="1"/>
  <c r="B936" i="21" s="1"/>
  <c r="B937" i="21" s="1"/>
  <c r="B938" i="21" s="1"/>
  <c r="B939" i="21" s="1"/>
  <c r="B940" i="21" s="1"/>
  <c r="B941" i="21" s="1"/>
  <c r="B942" i="21" s="1"/>
  <c r="B943" i="21" s="1"/>
  <c r="B944" i="21" s="1"/>
  <c r="B945" i="21" s="1"/>
  <c r="B946" i="21" s="1"/>
  <c r="B947" i="21" s="1"/>
  <c r="B948" i="21" s="1"/>
  <c r="B949" i="21" s="1"/>
  <c r="B950" i="21" s="1"/>
  <c r="B951" i="21" s="1"/>
  <c r="B952" i="21" s="1"/>
  <c r="B953" i="21" s="1"/>
  <c r="B954" i="21" s="1"/>
  <c r="B955" i="21" s="1"/>
  <c r="B956" i="21" s="1"/>
  <c r="B957" i="21" s="1"/>
  <c r="B958" i="21" s="1"/>
  <c r="B959" i="21" s="1"/>
  <c r="B960" i="21" s="1"/>
  <c r="B961" i="21" s="1"/>
  <c r="B962" i="21" s="1"/>
  <c r="B963" i="21" s="1"/>
  <c r="B964" i="21" s="1"/>
  <c r="B965" i="21" s="1"/>
  <c r="B966" i="21" s="1"/>
  <c r="B967" i="21" s="1"/>
  <c r="B968" i="21" s="1"/>
  <c r="B969" i="21" s="1"/>
  <c r="B970" i="21" s="1"/>
  <c r="B971" i="21" s="1"/>
  <c r="B972" i="21" s="1"/>
  <c r="B973" i="21" s="1"/>
  <c r="B974" i="21" s="1"/>
  <c r="B975" i="21" s="1"/>
  <c r="B976" i="21" s="1"/>
  <c r="B977" i="21" s="1"/>
  <c r="B978" i="21" s="1"/>
  <c r="B979" i="21" s="1"/>
  <c r="B980" i="21" s="1"/>
  <c r="B981" i="21" s="1"/>
  <c r="B982" i="21" s="1"/>
  <c r="B983" i="21" s="1"/>
  <c r="B984" i="21" s="1"/>
  <c r="B985" i="21" s="1"/>
  <c r="B986" i="21" s="1"/>
  <c r="B987" i="21" s="1"/>
  <c r="B988" i="21" s="1"/>
  <c r="B989" i="21" s="1"/>
  <c r="B990" i="21" s="1"/>
  <c r="B991" i="21" s="1"/>
  <c r="B992" i="21" s="1"/>
  <c r="B993" i="21" s="1"/>
  <c r="B994" i="21" s="1"/>
  <c r="B995" i="21" s="1"/>
  <c r="B996" i="21" s="1"/>
  <c r="B997" i="21" s="1"/>
  <c r="B998" i="21" s="1"/>
  <c r="B999" i="21" s="1"/>
  <c r="B1000" i="21" s="1"/>
  <c r="B1001" i="21" s="1"/>
  <c r="B1002" i="21" s="1"/>
  <c r="B1003" i="21" s="1"/>
  <c r="B1004" i="21" s="1"/>
  <c r="B1005" i="21" s="1"/>
  <c r="B1006" i="21" s="1"/>
  <c r="B1007" i="21" s="1"/>
  <c r="B1008" i="21" s="1"/>
  <c r="B1009" i="21" s="1"/>
  <c r="B1010" i="21" s="1"/>
  <c r="B1011" i="21" s="1"/>
  <c r="B1012" i="21" s="1"/>
  <c r="B1013" i="21" s="1"/>
  <c r="B1014" i="21" s="1"/>
  <c r="B1015" i="21" s="1"/>
  <c r="B1016" i="21" s="1"/>
  <c r="B1017" i="21" s="1"/>
  <c r="B1018" i="21" s="1"/>
  <c r="B1019" i="21" s="1"/>
  <c r="B1020" i="21" s="1"/>
  <c r="B1021" i="21" s="1"/>
  <c r="B1022" i="21" s="1"/>
  <c r="B1023" i="21" s="1"/>
  <c r="B1024" i="21" s="1"/>
  <c r="B1025" i="21" s="1"/>
  <c r="B1026" i="21" s="1"/>
  <c r="B1027" i="21" s="1"/>
  <c r="B1028" i="21" s="1"/>
  <c r="B1029" i="21" s="1"/>
  <c r="B1030" i="21" s="1"/>
  <c r="B1031" i="21" s="1"/>
  <c r="B1032" i="21" s="1"/>
  <c r="B1033" i="21" s="1"/>
  <c r="B1034" i="21" s="1"/>
  <c r="B1035" i="21" s="1"/>
  <c r="B1036" i="21" s="1"/>
  <c r="B1037" i="21" s="1"/>
  <c r="B1038" i="21" s="1"/>
  <c r="B1039" i="21" s="1"/>
  <c r="B1040" i="21" s="1"/>
  <c r="B1041" i="21" s="1"/>
  <c r="B1042" i="21" s="1"/>
  <c r="B1043" i="21" s="1"/>
  <c r="B1044" i="21" s="1"/>
  <c r="B1045" i="21" s="1"/>
  <c r="B1046" i="21" s="1"/>
  <c r="B1047" i="21" s="1"/>
  <c r="B1048" i="21" s="1"/>
  <c r="B1049" i="21" s="1"/>
  <c r="B1050" i="21" s="1"/>
  <c r="B1051" i="21" s="1"/>
  <c r="B1052" i="21" s="1"/>
  <c r="B1053" i="21" s="1"/>
  <c r="B1054" i="21" s="1"/>
  <c r="B1055" i="21" s="1"/>
  <c r="B1056" i="21" s="1"/>
  <c r="B1057" i="21" s="1"/>
  <c r="B1058" i="21" s="1"/>
  <c r="B1059" i="21" s="1"/>
  <c r="B1060" i="21" s="1"/>
  <c r="B1061" i="21" s="1"/>
  <c r="B1062" i="21" s="1"/>
  <c r="B1063" i="21" s="1"/>
  <c r="B1064" i="21" s="1"/>
  <c r="B1065" i="21" s="1"/>
  <c r="B1066" i="21" s="1"/>
  <c r="B1067" i="21" s="1"/>
  <c r="B1068" i="21" s="1"/>
  <c r="B1069" i="21" s="1"/>
  <c r="B1070" i="21" s="1"/>
  <c r="B1071" i="21" s="1"/>
  <c r="B1072" i="21" s="1"/>
  <c r="B1073" i="21" s="1"/>
  <c r="B1074" i="21" s="1"/>
  <c r="B1075" i="21" s="1"/>
  <c r="B1076" i="21" s="1"/>
  <c r="B1077" i="21" s="1"/>
  <c r="B1078" i="21" s="1"/>
  <c r="B1079" i="21" s="1"/>
  <c r="B1080" i="21" s="1"/>
  <c r="B1081" i="21" s="1"/>
  <c r="B1082" i="21" s="1"/>
  <c r="B1083" i="21" s="1"/>
  <c r="B1084" i="21" s="1"/>
  <c r="B1085" i="21" s="1"/>
  <c r="B1086" i="21" s="1"/>
  <c r="B1087" i="21" s="1"/>
  <c r="B1088" i="21" s="1"/>
  <c r="B1089" i="21" s="1"/>
  <c r="B1090" i="21" s="1"/>
  <c r="B1091" i="21" s="1"/>
  <c r="B1092" i="21" s="1"/>
  <c r="B1093" i="21" s="1"/>
  <c r="B1094" i="21" s="1"/>
  <c r="B1095" i="21" s="1"/>
  <c r="B1096" i="21" s="1"/>
  <c r="B1097" i="21" s="1"/>
  <c r="B1098" i="21" s="1"/>
  <c r="B1099" i="21" s="1"/>
  <c r="B1100" i="21" s="1"/>
  <c r="B1101" i="21" s="1"/>
  <c r="B1102" i="21" s="1"/>
  <c r="B1103" i="21" s="1"/>
  <c r="B1104" i="21" s="1"/>
  <c r="B1105" i="21" s="1"/>
  <c r="B1106" i="21" s="1"/>
  <c r="B1107" i="21" s="1"/>
  <c r="B1108" i="21" s="1"/>
  <c r="B1109" i="21" s="1"/>
  <c r="B1110" i="21" s="1"/>
  <c r="B1111" i="21" s="1"/>
  <c r="B1112" i="21" s="1"/>
  <c r="B1113" i="21" s="1"/>
  <c r="B1114" i="21" s="1"/>
  <c r="B1115" i="21" s="1"/>
  <c r="B1116" i="21" s="1"/>
  <c r="B1117" i="21" s="1"/>
  <c r="B1118" i="21" s="1"/>
  <c r="B1119" i="21" s="1"/>
  <c r="B1120" i="21" s="1"/>
  <c r="B1121" i="21" s="1"/>
  <c r="B1122" i="21" s="1"/>
  <c r="B1123" i="21" s="1"/>
  <c r="B1124" i="21" s="1"/>
  <c r="B1125" i="21" s="1"/>
  <c r="B1126" i="21" s="1"/>
  <c r="B1127" i="21" s="1"/>
  <c r="B1128" i="21" s="1"/>
  <c r="B1129" i="21" s="1"/>
  <c r="B1130" i="21" s="1"/>
  <c r="B1131" i="21" s="1"/>
  <c r="B1132" i="21" s="1"/>
  <c r="B1133" i="21" s="1"/>
  <c r="B1134" i="21" s="1"/>
  <c r="B1135" i="21" s="1"/>
  <c r="B1136" i="21" s="1"/>
  <c r="B1137" i="21" s="1"/>
  <c r="B1138" i="21" s="1"/>
  <c r="B436" i="2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J250" i="21"/>
  <c r="H565" i="21"/>
  <c r="P565" i="21" s="1"/>
  <c r="H658" i="21"/>
  <c r="J658" i="21" s="1"/>
  <c r="J503" i="21"/>
  <c r="I249" i="21"/>
  <c r="Q249" i="21" s="1"/>
  <c r="J840" i="21"/>
  <c r="H837" i="21"/>
  <c r="P837" i="21" s="1"/>
  <c r="R837" i="21" s="1"/>
  <c r="I767" i="21"/>
  <c r="Q767" i="21" s="1"/>
  <c r="J624" i="21"/>
  <c r="R568" i="21"/>
  <c r="L388" i="21"/>
  <c r="G11" i="15" s="1"/>
  <c r="H1216" i="21"/>
  <c r="P1216" i="21" s="1"/>
  <c r="R1216" i="21" s="1"/>
  <c r="R365" i="21"/>
  <c r="J568" i="21"/>
  <c r="L113" i="21"/>
  <c r="G8" i="15" s="1"/>
  <c r="I8" i="15" s="1"/>
  <c r="P1345" i="21"/>
  <c r="I5" i="21"/>
  <c r="Q5" i="21" s="1"/>
  <c r="J596" i="21"/>
  <c r="P1730" i="21"/>
  <c r="P125" i="21"/>
  <c r="R125" i="21" s="1"/>
  <c r="R81" i="21"/>
  <c r="R1690" i="21"/>
  <c r="J1221" i="21"/>
  <c r="Q1345" i="21"/>
  <c r="J613" i="21"/>
  <c r="H703" i="21"/>
  <c r="P703" i="21" s="1"/>
  <c r="R703" i="21" s="1"/>
  <c r="H693" i="21"/>
  <c r="P693" i="21" s="1"/>
  <c r="N125" i="21"/>
  <c r="P118" i="21"/>
  <c r="R118" i="21" s="1"/>
  <c r="R1347" i="21"/>
  <c r="R576" i="21"/>
  <c r="R409" i="21"/>
  <c r="H621" i="21"/>
  <c r="P621" i="21" s="1"/>
  <c r="J1730" i="21"/>
  <c r="R882" i="21"/>
  <c r="J1116" i="21"/>
  <c r="J1640" i="21"/>
  <c r="R672" i="21"/>
  <c r="R706" i="21"/>
  <c r="Q815" i="21"/>
  <c r="I814" i="21"/>
  <c r="Q814" i="21" s="1"/>
  <c r="J260" i="21"/>
  <c r="I259" i="21"/>
  <c r="Q259" i="21" s="1"/>
  <c r="J81" i="21"/>
  <c r="I1572" i="21"/>
  <c r="R921" i="21"/>
  <c r="J672" i="21"/>
  <c r="J706" i="21"/>
  <c r="R696" i="21"/>
  <c r="H80" i="21"/>
  <c r="J80" i="21" s="1"/>
  <c r="J576" i="21"/>
  <c r="H669" i="21"/>
  <c r="P1157" i="21"/>
  <c r="R1157" i="21" s="1"/>
  <c r="N1382" i="21"/>
  <c r="J696" i="21"/>
  <c r="R335" i="21"/>
  <c r="Q1573" i="21"/>
  <c r="Q1516" i="21"/>
  <c r="J1689" i="21"/>
  <c r="Q1689" i="21"/>
  <c r="R1689" i="21" s="1"/>
  <c r="J1651" i="21"/>
  <c r="R537" i="21"/>
  <c r="P1050" i="21"/>
  <c r="R1050" i="21" s="1"/>
  <c r="L502" i="21"/>
  <c r="L501" i="21" s="1"/>
  <c r="P828" i="21"/>
  <c r="R828" i="21" s="1"/>
  <c r="J828" i="21"/>
  <c r="P778" i="21"/>
  <c r="R778" i="21" s="1"/>
  <c r="J778" i="21"/>
  <c r="P1106" i="21"/>
  <c r="R1106" i="21" s="1"/>
  <c r="J1106" i="21"/>
  <c r="P1185" i="21"/>
  <c r="R1185" i="21" s="1"/>
  <c r="J1185" i="21"/>
  <c r="P1699" i="21"/>
  <c r="R1699" i="21" s="1"/>
  <c r="J1699" i="21"/>
  <c r="P1476" i="21"/>
  <c r="R1476" i="21" s="1"/>
  <c r="J1476" i="21"/>
  <c r="J606" i="21"/>
  <c r="Q606" i="21"/>
  <c r="R606" i="21" s="1"/>
  <c r="P1147" i="21"/>
  <c r="R1147" i="21" s="1"/>
  <c r="J1147" i="21"/>
  <c r="P511" i="21"/>
  <c r="R511" i="21" s="1"/>
  <c r="J511" i="21"/>
  <c r="H1474" i="21"/>
  <c r="P1009" i="21"/>
  <c r="R1009" i="21" s="1"/>
  <c r="J1009" i="21"/>
  <c r="P1001" i="21"/>
  <c r="R1001" i="21" s="1"/>
  <c r="J1001" i="21"/>
  <c r="G16" i="15"/>
  <c r="I16" i="15" s="1"/>
  <c r="N1572" i="21"/>
  <c r="P1029" i="21"/>
  <c r="R1029" i="21" s="1"/>
  <c r="J1029" i="21"/>
  <c r="N657" i="21"/>
  <c r="Q1363" i="21"/>
  <c r="E14" i="15"/>
  <c r="Q1382" i="21"/>
  <c r="L1461" i="21"/>
  <c r="N1496" i="21"/>
  <c r="R613" i="21"/>
  <c r="Q858" i="21"/>
  <c r="N586" i="21"/>
  <c r="P1018" i="21"/>
  <c r="R1018" i="21" s="1"/>
  <c r="P970" i="21"/>
  <c r="R970" i="21" s="1"/>
  <c r="J970" i="21"/>
  <c r="D17" i="15"/>
  <c r="P662" i="21"/>
  <c r="R662" i="21" s="1"/>
  <c r="J662" i="21"/>
  <c r="N270" i="21"/>
  <c r="Q1175" i="21"/>
  <c r="J913" i="21"/>
  <c r="Q1156" i="21"/>
  <c r="J634" i="21"/>
  <c r="J985" i="21"/>
  <c r="J1345" i="21"/>
  <c r="Q565" i="21"/>
  <c r="N715" i="21"/>
  <c r="R521" i="21"/>
  <c r="Q621" i="21"/>
  <c r="J537" i="21"/>
  <c r="P1217" i="21"/>
  <c r="R1217" i="21" s="1"/>
  <c r="J1217" i="21"/>
  <c r="I1074" i="21"/>
  <c r="R905" i="21"/>
  <c r="J521" i="21"/>
  <c r="J335" i="21"/>
  <c r="P818" i="21"/>
  <c r="R818" i="21" s="1"/>
  <c r="J818" i="21"/>
  <c r="P1058" i="21"/>
  <c r="R1058" i="21" s="1"/>
  <c r="J1058" i="21"/>
  <c r="H1096" i="21"/>
  <c r="J1097" i="21"/>
  <c r="R935" i="21"/>
  <c r="P898" i="21"/>
  <c r="R898" i="21" s="1"/>
  <c r="J898" i="21"/>
  <c r="J716" i="21"/>
  <c r="Q716" i="21"/>
  <c r="I715" i="21"/>
  <c r="K7" i="15"/>
  <c r="H1329" i="21"/>
  <c r="J1329" i="21" s="1"/>
  <c r="J1330" i="21"/>
  <c r="H11" i="15"/>
  <c r="M960" i="21"/>
  <c r="Q1524" i="21"/>
  <c r="R913" i="21"/>
  <c r="J935" i="21"/>
  <c r="J555" i="21"/>
  <c r="R985" i="21"/>
  <c r="P1599" i="21"/>
  <c r="R1599" i="21" s="1"/>
  <c r="J1599" i="21"/>
  <c r="P1485" i="21"/>
  <c r="R1485" i="21" s="1"/>
  <c r="J1485" i="21"/>
  <c r="N409" i="21"/>
  <c r="L961" i="21"/>
  <c r="N961" i="21" s="1"/>
  <c r="P1066" i="21"/>
  <c r="R1066" i="21" s="1"/>
  <c r="J1066" i="21"/>
  <c r="H728" i="21"/>
  <c r="H715" i="21" s="1"/>
  <c r="P715" i="21" s="1"/>
  <c r="P874" i="21"/>
  <c r="R874" i="21" s="1"/>
  <c r="J874" i="21"/>
  <c r="P1042" i="21"/>
  <c r="R1042" i="21" s="1"/>
  <c r="J1042" i="21"/>
  <c r="P659" i="21"/>
  <c r="R659" i="21" s="1"/>
  <c r="J659" i="21"/>
  <c r="P978" i="21"/>
  <c r="R978" i="21" s="1"/>
  <c r="J978" i="21"/>
  <c r="J114" i="21"/>
  <c r="P771" i="21"/>
  <c r="R771" i="21" s="1"/>
  <c r="J771" i="21"/>
  <c r="P1385" i="21"/>
  <c r="R1385" i="21" s="1"/>
  <c r="J1385" i="21"/>
  <c r="I502" i="21"/>
  <c r="Q502" i="21" s="1"/>
  <c r="Q742" i="21"/>
  <c r="J866" i="21"/>
  <c r="H153" i="21"/>
  <c r="P153" i="21" s="1"/>
  <c r="R153" i="21" s="1"/>
  <c r="P946" i="21"/>
  <c r="R946" i="21" s="1"/>
  <c r="J946" i="21"/>
  <c r="P1166" i="21"/>
  <c r="R1166" i="21" s="1"/>
  <c r="J1166" i="21"/>
  <c r="P1127" i="21"/>
  <c r="R1127" i="21" s="1"/>
  <c r="J1127" i="21"/>
  <c r="P992" i="21"/>
  <c r="R992" i="21" s="1"/>
  <c r="P731" i="21"/>
  <c r="R731" i="21" s="1"/>
  <c r="P547" i="21"/>
  <c r="R547" i="21" s="1"/>
  <c r="J547" i="21"/>
  <c r="P1086" i="21"/>
  <c r="R1086" i="21" s="1"/>
  <c r="J1086" i="21"/>
  <c r="P890" i="21"/>
  <c r="R890" i="21" s="1"/>
  <c r="J890" i="21"/>
  <c r="P1528" i="21"/>
  <c r="R1528" i="21" s="1"/>
  <c r="J1528" i="21"/>
  <c r="P1034" i="21"/>
  <c r="R1034" i="21" s="1"/>
  <c r="J1034" i="21"/>
  <c r="L1728" i="21"/>
  <c r="N1730" i="21"/>
  <c r="P1207" i="21"/>
  <c r="R1207" i="21" s="1"/>
  <c r="J1207" i="21"/>
  <c r="P1652" i="21"/>
  <c r="R1652" i="21" s="1"/>
  <c r="J1652" i="21"/>
  <c r="L1074" i="21"/>
  <c r="N1074" i="21" s="1"/>
  <c r="N334" i="21"/>
  <c r="H10" i="15"/>
  <c r="I10" i="15" s="1"/>
  <c r="M501" i="21"/>
  <c r="Q668" i="21"/>
  <c r="Q1316" i="21"/>
  <c r="J1728" i="21"/>
  <c r="E17" i="15"/>
  <c r="Q1728" i="21"/>
  <c r="R866" i="21"/>
  <c r="J921" i="21"/>
  <c r="R1116" i="21"/>
  <c r="I14" i="15"/>
  <c r="J795" i="21"/>
  <c r="J528" i="21"/>
  <c r="R1221" i="21"/>
  <c r="R1651" i="21"/>
  <c r="Q836" i="21"/>
  <c r="Q640" i="21"/>
  <c r="R640" i="21" s="1"/>
  <c r="J640" i="21"/>
  <c r="N224" i="21"/>
  <c r="H9" i="15"/>
  <c r="I9" i="15" s="1"/>
  <c r="P949" i="21"/>
  <c r="R949" i="21" s="1"/>
  <c r="J949" i="21"/>
  <c r="J586" i="21"/>
  <c r="Q586" i="21"/>
  <c r="Q398" i="21"/>
  <c r="R398" i="21" s="1"/>
  <c r="J398" i="21"/>
  <c r="N347" i="21"/>
  <c r="Q693" i="21"/>
  <c r="I692" i="21"/>
  <c r="R624" i="21"/>
  <c r="J905" i="21"/>
  <c r="P596" i="21"/>
  <c r="R596" i="21" s="1"/>
  <c r="H1026" i="21"/>
  <c r="H961" i="21" s="1"/>
  <c r="J961" i="21" s="1"/>
  <c r="H1115" i="21"/>
  <c r="N133" i="21"/>
  <c r="P270" i="21"/>
  <c r="R270" i="21" s="1"/>
  <c r="P1330" i="21"/>
  <c r="R1330" i="21" s="1"/>
  <c r="H825" i="21"/>
  <c r="H768" i="21"/>
  <c r="P768" i="21" s="1"/>
  <c r="R768" i="21" s="1"/>
  <c r="P1097" i="21"/>
  <c r="R1097" i="21" s="1"/>
  <c r="H1698" i="21"/>
  <c r="J118" i="21"/>
  <c r="J166" i="21"/>
  <c r="P1466" i="21"/>
  <c r="R1466" i="21" s="1"/>
  <c r="H1463" i="21"/>
  <c r="H393" i="21"/>
  <c r="H388" i="21" s="1"/>
  <c r="H1525" i="21"/>
  <c r="J156" i="21"/>
  <c r="J282" i="21"/>
  <c r="I281" i="21"/>
  <c r="Q281" i="21" s="1"/>
  <c r="J142" i="21"/>
  <c r="P1598" i="21"/>
  <c r="R1598" i="21" s="1"/>
  <c r="P1608" i="21"/>
  <c r="R1608" i="21" s="1"/>
  <c r="P1627" i="21"/>
  <c r="R1627" i="21" s="1"/>
  <c r="H1626" i="21"/>
  <c r="P1671" i="21"/>
  <c r="R1671" i="21" s="1"/>
  <c r="H1670" i="21"/>
  <c r="P1517" i="21"/>
  <c r="R1517" i="21" s="1"/>
  <c r="H1516" i="21"/>
  <c r="P1516" i="21" s="1"/>
  <c r="H1496" i="21"/>
  <c r="P1497" i="21"/>
  <c r="R1497" i="21" s="1"/>
  <c r="P1482" i="21"/>
  <c r="R1482" i="21" s="1"/>
  <c r="P1383" i="21"/>
  <c r="R1383" i="21" s="1"/>
  <c r="P1398" i="21"/>
  <c r="R1398" i="21" s="1"/>
  <c r="H1397" i="21"/>
  <c r="L1316" i="21"/>
  <c r="H1363" i="21"/>
  <c r="P1363" i="21" s="1"/>
  <c r="P1364" i="21"/>
  <c r="R1364" i="21" s="1"/>
  <c r="P1176" i="21"/>
  <c r="R1176" i="21" s="1"/>
  <c r="H1175" i="21"/>
  <c r="P1175" i="21" s="1"/>
  <c r="P1076" i="21"/>
  <c r="R1076" i="21" s="1"/>
  <c r="H1075" i="21"/>
  <c r="J1075" i="21" s="1"/>
  <c r="P683" i="21"/>
  <c r="R683" i="21" s="1"/>
  <c r="H680" i="21"/>
  <c r="J680" i="21" s="1"/>
  <c r="P1231" i="21"/>
  <c r="R1231" i="21" s="1"/>
  <c r="H1230" i="21"/>
  <c r="P962" i="21"/>
  <c r="R962" i="21" s="1"/>
  <c r="P716" i="21"/>
  <c r="H1156" i="21"/>
  <c r="P1156" i="21" s="1"/>
  <c r="P1138" i="21"/>
  <c r="R1138" i="21" s="1"/>
  <c r="H1137" i="21"/>
  <c r="P850" i="21"/>
  <c r="R850" i="21" s="1"/>
  <c r="H847" i="21"/>
  <c r="J847" i="21" s="1"/>
  <c r="P503" i="21"/>
  <c r="R503" i="21" s="1"/>
  <c r="H1196" i="21"/>
  <c r="P1197" i="21"/>
  <c r="R1197" i="21" s="1"/>
  <c r="P815" i="21"/>
  <c r="P758" i="21"/>
  <c r="R758" i="21" s="1"/>
  <c r="H755" i="21"/>
  <c r="H742" i="21" s="1"/>
  <c r="P742" i="21" s="1"/>
  <c r="P805" i="21"/>
  <c r="R805" i="21" s="1"/>
  <c r="H802" i="21"/>
  <c r="P743" i="21"/>
  <c r="R743" i="21" s="1"/>
  <c r="H858" i="21"/>
  <c r="P858" i="21" s="1"/>
  <c r="P859" i="21"/>
  <c r="R859" i="21" s="1"/>
  <c r="H792" i="21"/>
  <c r="J792" i="21" s="1"/>
  <c r="H631" i="21"/>
  <c r="P586" i="21"/>
  <c r="P389" i="21"/>
  <c r="R389" i="21" s="1"/>
  <c r="P348" i="21"/>
  <c r="R348" i="21" s="1"/>
  <c r="P354" i="21"/>
  <c r="R354" i="21" s="1"/>
  <c r="H351" i="21"/>
  <c r="H229" i="21"/>
  <c r="J229" i="21" s="1"/>
  <c r="P232" i="21"/>
  <c r="R232" i="21" s="1"/>
  <c r="P250" i="21"/>
  <c r="H249" i="21"/>
  <c r="P249" i="21" s="1"/>
  <c r="H259" i="21"/>
  <c r="P259" i="21" s="1"/>
  <c r="P260" i="21"/>
  <c r="H281" i="21"/>
  <c r="P281" i="21" s="1"/>
  <c r="P282" i="21"/>
  <c r="R282" i="21" s="1"/>
  <c r="H133" i="21"/>
  <c r="P142" i="21"/>
  <c r="R142" i="21" s="1"/>
  <c r="I24" i="7"/>
  <c r="R1573" i="21" l="1"/>
  <c r="J1412" i="21"/>
  <c r="J1573" i="21"/>
  <c r="E6" i="15"/>
  <c r="K6" i="15" s="1"/>
  <c r="E11" i="15"/>
  <c r="K11" i="15" s="1"/>
  <c r="J565" i="21"/>
  <c r="J388" i="21"/>
  <c r="D7" i="15"/>
  <c r="F7" i="15" s="1"/>
  <c r="R250" i="21"/>
  <c r="J837" i="21"/>
  <c r="N113" i="21"/>
  <c r="R260" i="21"/>
  <c r="Q334" i="21"/>
  <c r="N501" i="21"/>
  <c r="J693" i="21"/>
  <c r="P80" i="21"/>
  <c r="R80" i="21" s="1"/>
  <c r="P658" i="21"/>
  <c r="R658" i="21" s="1"/>
  <c r="M500" i="21"/>
  <c r="H12" i="15" s="1"/>
  <c r="H4" i="15" s="1"/>
  <c r="H20" i="15" s="1"/>
  <c r="J703" i="21"/>
  <c r="Q1461" i="21"/>
  <c r="B1139" i="21"/>
  <c r="B1140" i="21" s="1"/>
  <c r="B1141" i="21" s="1"/>
  <c r="R621" i="21"/>
  <c r="N388" i="21"/>
  <c r="R249" i="21"/>
  <c r="R1345" i="21"/>
  <c r="N502" i="21"/>
  <c r="I11" i="15"/>
  <c r="H502" i="21"/>
  <c r="J502" i="21" s="1"/>
  <c r="J621" i="21"/>
  <c r="J1216" i="21"/>
  <c r="R565" i="21"/>
  <c r="R815" i="21"/>
  <c r="H692" i="21"/>
  <c r="P692" i="21" s="1"/>
  <c r="P1329" i="21"/>
  <c r="R1329" i="21" s="1"/>
  <c r="R1730" i="21"/>
  <c r="I224" i="21"/>
  <c r="H1316" i="21"/>
  <c r="J1316" i="21" s="1"/>
  <c r="L960" i="21"/>
  <c r="L500" i="21" s="1"/>
  <c r="G12" i="15" s="1"/>
  <c r="R693" i="21"/>
  <c r="R1363" i="21"/>
  <c r="J669" i="21"/>
  <c r="P669" i="21"/>
  <c r="R669" i="21" s="1"/>
  <c r="R259" i="21"/>
  <c r="I501" i="21"/>
  <c r="Q501" i="21" s="1"/>
  <c r="L1304" i="21"/>
  <c r="N1316" i="21"/>
  <c r="P1626" i="21"/>
  <c r="R1626" i="21" s="1"/>
  <c r="J1626" i="21"/>
  <c r="E16" i="15"/>
  <c r="Q1572" i="21"/>
  <c r="G17" i="15"/>
  <c r="I17" i="15" s="1"/>
  <c r="N1728" i="21"/>
  <c r="R1728" i="21" s="1"/>
  <c r="J742" i="21"/>
  <c r="J153" i="21"/>
  <c r="P825" i="21"/>
  <c r="R825" i="21" s="1"/>
  <c r="J825" i="21"/>
  <c r="K17" i="15"/>
  <c r="F17" i="15"/>
  <c r="R716" i="21"/>
  <c r="R1156" i="21"/>
  <c r="J1175" i="21"/>
  <c r="R858" i="21"/>
  <c r="K14" i="15"/>
  <c r="J1363" i="21"/>
  <c r="J1516" i="21"/>
  <c r="P388" i="21"/>
  <c r="R388" i="21" s="1"/>
  <c r="D11" i="15"/>
  <c r="H767" i="21"/>
  <c r="J768" i="21"/>
  <c r="Q715" i="21"/>
  <c r="R715" i="21" s="1"/>
  <c r="J715" i="21"/>
  <c r="R1516" i="21"/>
  <c r="P351" i="21"/>
  <c r="R351" i="21" s="1"/>
  <c r="J351" i="21"/>
  <c r="P802" i="21"/>
  <c r="R802" i="21" s="1"/>
  <c r="J802" i="21"/>
  <c r="P1230" i="21"/>
  <c r="R1230" i="21" s="1"/>
  <c r="J1230" i="21"/>
  <c r="P1397" i="21"/>
  <c r="R1397" i="21" s="1"/>
  <c r="J1397" i="21"/>
  <c r="P1670" i="21"/>
  <c r="R1670" i="21" s="1"/>
  <c r="J1670" i="21"/>
  <c r="R281" i="21"/>
  <c r="H1524" i="21"/>
  <c r="J1525" i="21"/>
  <c r="P1463" i="21"/>
  <c r="R1463" i="21" s="1"/>
  <c r="J1463" i="21"/>
  <c r="P1698" i="21"/>
  <c r="R1698" i="21" s="1"/>
  <c r="J1698" i="21"/>
  <c r="P1115" i="21"/>
  <c r="R1115" i="21" s="1"/>
  <c r="J1115" i="21"/>
  <c r="I657" i="21"/>
  <c r="Q692" i="21"/>
  <c r="R586" i="21"/>
  <c r="P1096" i="21"/>
  <c r="R1096" i="21" s="1"/>
  <c r="J1096" i="21"/>
  <c r="Q1074" i="21"/>
  <c r="I960" i="21"/>
  <c r="J1156" i="21"/>
  <c r="J858" i="21"/>
  <c r="G15" i="15"/>
  <c r="I15" i="15" s="1"/>
  <c r="N1461" i="21"/>
  <c r="P1137" i="21"/>
  <c r="R1137" i="21" s="1"/>
  <c r="J1137" i="21"/>
  <c r="P393" i="21"/>
  <c r="R393" i="21" s="1"/>
  <c r="J393" i="21"/>
  <c r="R1175" i="21"/>
  <c r="P631" i="21"/>
  <c r="R631" i="21" s="1"/>
  <c r="J631" i="21"/>
  <c r="P755" i="21"/>
  <c r="R755" i="21" s="1"/>
  <c r="J755" i="21"/>
  <c r="P1196" i="21"/>
  <c r="R1196" i="21" s="1"/>
  <c r="J1196" i="21"/>
  <c r="P1496" i="21"/>
  <c r="R1496" i="21" s="1"/>
  <c r="J1496" i="21"/>
  <c r="P1026" i="21"/>
  <c r="R1026" i="21" s="1"/>
  <c r="J1026" i="21"/>
  <c r="E13" i="15"/>
  <c r="Q1304" i="21"/>
  <c r="R742" i="21"/>
  <c r="P728" i="21"/>
  <c r="R728" i="21" s="1"/>
  <c r="J728" i="21"/>
  <c r="K10" i="15"/>
  <c r="K15" i="15"/>
  <c r="P1728" i="21"/>
  <c r="P1474" i="21"/>
  <c r="R1474" i="21" s="1"/>
  <c r="J1474" i="21"/>
  <c r="H814" i="21"/>
  <c r="J249" i="21"/>
  <c r="P1525" i="21"/>
  <c r="R1525" i="21" s="1"/>
  <c r="J259" i="21"/>
  <c r="H1462" i="21"/>
  <c r="J281" i="21"/>
  <c r="I133" i="21"/>
  <c r="I113" i="21" s="1"/>
  <c r="H1607" i="21"/>
  <c r="J1607" i="21" s="1"/>
  <c r="H1382" i="21"/>
  <c r="P792" i="21"/>
  <c r="R792" i="21" s="1"/>
  <c r="H791" i="21"/>
  <c r="P847" i="21"/>
  <c r="R847" i="21" s="1"/>
  <c r="H836" i="21"/>
  <c r="P680" i="21"/>
  <c r="R680" i="21" s="1"/>
  <c r="H668" i="21"/>
  <c r="J668" i="21" s="1"/>
  <c r="P961" i="21"/>
  <c r="R961" i="21" s="1"/>
  <c r="H1074" i="21"/>
  <c r="P1074" i="21" s="1"/>
  <c r="P1075" i="21"/>
  <c r="R1075" i="21" s="1"/>
  <c r="H347" i="21"/>
  <c r="J347" i="21" s="1"/>
  <c r="P229" i="21"/>
  <c r="R229" i="21" s="1"/>
  <c r="H224" i="21"/>
  <c r="P133" i="21"/>
  <c r="R133" i="21" s="1"/>
  <c r="H113" i="21"/>
  <c r="I269" i="7"/>
  <c r="I295" i="7" s="1"/>
  <c r="F11" i="15" l="1"/>
  <c r="N960" i="21"/>
  <c r="I12" i="15"/>
  <c r="J692" i="21"/>
  <c r="J1462" i="21"/>
  <c r="P502" i="21"/>
  <c r="R502" i="21" s="1"/>
  <c r="H501" i="21"/>
  <c r="J501" i="21" s="1"/>
  <c r="B1142" i="21"/>
  <c r="B1143" i="21" s="1"/>
  <c r="B1144" i="21" s="1"/>
  <c r="B1145" i="21" s="1"/>
  <c r="B1146" i="21" s="1"/>
  <c r="B1147" i="21" s="1"/>
  <c r="B1148" i="21" s="1"/>
  <c r="B1149" i="21" s="1"/>
  <c r="B1150" i="21" s="1"/>
  <c r="B1151" i="21" s="1"/>
  <c r="B1152" i="21" s="1"/>
  <c r="B1153" i="21" s="1"/>
  <c r="B1154" i="21" s="1"/>
  <c r="B1155" i="21" s="1"/>
  <c r="B1156" i="21" s="1"/>
  <c r="B1157" i="21" s="1"/>
  <c r="B1158" i="21" s="1"/>
  <c r="B1159" i="21" s="1"/>
  <c r="B1160" i="21" s="1"/>
  <c r="B1161" i="21" s="1"/>
  <c r="B1162" i="21" s="1"/>
  <c r="B1163" i="21" s="1"/>
  <c r="B1164" i="21" s="1"/>
  <c r="B1165" i="21" s="1"/>
  <c r="B1166" i="21" s="1"/>
  <c r="B1167" i="21" s="1"/>
  <c r="B1168" i="21" s="1"/>
  <c r="B1169" i="21" s="1"/>
  <c r="B1170" i="21" s="1"/>
  <c r="B1171" i="21" s="1"/>
  <c r="B1172" i="21" s="1"/>
  <c r="B1173" i="21" s="1"/>
  <c r="B1174" i="21" s="1"/>
  <c r="B1175" i="21" s="1"/>
  <c r="B1176" i="21" s="1"/>
  <c r="B1177" i="21" s="1"/>
  <c r="B1178" i="21" s="1"/>
  <c r="B1179" i="21" s="1"/>
  <c r="B1180" i="21" s="1"/>
  <c r="B1181" i="21" s="1"/>
  <c r="B1182" i="21" s="1"/>
  <c r="B1183" i="21" s="1"/>
  <c r="B1184" i="21" s="1"/>
  <c r="B1185" i="21" s="1"/>
  <c r="B1186" i="21" s="1"/>
  <c r="B1187" i="21" s="1"/>
  <c r="B1188" i="21" s="1"/>
  <c r="B1189" i="21" s="1"/>
  <c r="B1190" i="21" s="1"/>
  <c r="B1191" i="21" s="1"/>
  <c r="B1192" i="21" s="1"/>
  <c r="B1193" i="21" s="1"/>
  <c r="B1194" i="21" s="1"/>
  <c r="B1195" i="21" s="1"/>
  <c r="B1196" i="21" s="1"/>
  <c r="B1197" i="21" s="1"/>
  <c r="B1198" i="21" s="1"/>
  <c r="B1199" i="21" s="1"/>
  <c r="B1200" i="21" s="1"/>
  <c r="B1201" i="21" s="1"/>
  <c r="B1202" i="21" s="1"/>
  <c r="B1203" i="21" s="1"/>
  <c r="B1204" i="21" s="1"/>
  <c r="B1205" i="21" s="1"/>
  <c r="B1206" i="21" s="1"/>
  <c r="B1207" i="21" s="1"/>
  <c r="B1208" i="21" s="1"/>
  <c r="B1209" i="21" s="1"/>
  <c r="B1210" i="21" s="1"/>
  <c r="B1211" i="21" s="1"/>
  <c r="B1212" i="21" s="1"/>
  <c r="B1213" i="21" s="1"/>
  <c r="B1214" i="21" s="1"/>
  <c r="B1215" i="21" s="1"/>
  <c r="B1216" i="21" s="1"/>
  <c r="B1217" i="21" s="1"/>
  <c r="B1218" i="21" s="1"/>
  <c r="B1219" i="21" s="1"/>
  <c r="B1220" i="21" s="1"/>
  <c r="B1221" i="21" s="1"/>
  <c r="B1222" i="21" s="1"/>
  <c r="B1223" i="21" s="1"/>
  <c r="B1224" i="21" s="1"/>
  <c r="B1225" i="21" s="1"/>
  <c r="B1226" i="21" s="1"/>
  <c r="B1227" i="21" s="1"/>
  <c r="B1228" i="21" s="1"/>
  <c r="B1229" i="21" s="1"/>
  <c r="B1230" i="21" s="1"/>
  <c r="B1231" i="21" s="1"/>
  <c r="B1232" i="21" s="1"/>
  <c r="B1233" i="21" s="1"/>
  <c r="B1234" i="21" s="1"/>
  <c r="B1235" i="21" s="1"/>
  <c r="B1236" i="21" s="1"/>
  <c r="B1237" i="21" s="1"/>
  <c r="B1238" i="21" s="1"/>
  <c r="B1239" i="21" s="1"/>
  <c r="B1240" i="21" s="1"/>
  <c r="B1241" i="21" s="1"/>
  <c r="B1242" i="21" s="1"/>
  <c r="B1243" i="21" s="1"/>
  <c r="B1244" i="21" s="1"/>
  <c r="B1245" i="21" s="1"/>
  <c r="B1246" i="21" s="1"/>
  <c r="B1247" i="21" s="1"/>
  <c r="B1248" i="21" s="1"/>
  <c r="B1249" i="21" s="1"/>
  <c r="B1250" i="21" s="1"/>
  <c r="B1251" i="21" s="1"/>
  <c r="B1252" i="21" s="1"/>
  <c r="B1253" i="21" s="1"/>
  <c r="B1254" i="21" s="1"/>
  <c r="B1255" i="21" s="1"/>
  <c r="B1256" i="21" s="1"/>
  <c r="R692" i="21"/>
  <c r="N500" i="21"/>
  <c r="P1316" i="21"/>
  <c r="R1316" i="21" s="1"/>
  <c r="H1304" i="21"/>
  <c r="J1304" i="21" s="1"/>
  <c r="Q657" i="21"/>
  <c r="P1524" i="21"/>
  <c r="R1524" i="21" s="1"/>
  <c r="J1524" i="21"/>
  <c r="P1382" i="21"/>
  <c r="R1382" i="21" s="1"/>
  <c r="D14" i="15"/>
  <c r="F14" i="15" s="1"/>
  <c r="J1382" i="21"/>
  <c r="Q960" i="21"/>
  <c r="P224" i="21"/>
  <c r="D9" i="15"/>
  <c r="P791" i="21"/>
  <c r="R791" i="21" s="1"/>
  <c r="J791" i="21"/>
  <c r="P1462" i="21"/>
  <c r="R1462" i="21" s="1"/>
  <c r="I500" i="21"/>
  <c r="Q500" i="21" s="1"/>
  <c r="I297" i="7"/>
  <c r="E3" i="15"/>
  <c r="J1074" i="21"/>
  <c r="P767" i="21"/>
  <c r="R767" i="21" s="1"/>
  <c r="J767" i="21"/>
  <c r="K16" i="15"/>
  <c r="R1074" i="21"/>
  <c r="P113" i="21"/>
  <c r="D8" i="15"/>
  <c r="P836" i="21"/>
  <c r="R836" i="21" s="1"/>
  <c r="J836" i="21"/>
  <c r="E9" i="15"/>
  <c r="Q224" i="21"/>
  <c r="P814" i="21"/>
  <c r="R814" i="21" s="1"/>
  <c r="J814" i="21"/>
  <c r="K13" i="15"/>
  <c r="G13" i="15"/>
  <c r="I13" i="15" s="1"/>
  <c r="N1304" i="21"/>
  <c r="H1461" i="21"/>
  <c r="J224" i="21"/>
  <c r="J133" i="21"/>
  <c r="P1607" i="21"/>
  <c r="R1607" i="21" s="1"/>
  <c r="H1572" i="21"/>
  <c r="P668" i="21"/>
  <c r="R668" i="21" s="1"/>
  <c r="H657" i="21"/>
  <c r="P657" i="21" s="1"/>
  <c r="H960" i="21"/>
  <c r="P960" i="21" s="1"/>
  <c r="P501" i="21"/>
  <c r="R501" i="21" s="1"/>
  <c r="H334" i="21"/>
  <c r="P347" i="21"/>
  <c r="R347" i="21" s="1"/>
  <c r="R224" i="21" l="1"/>
  <c r="D13" i="15"/>
  <c r="F13" i="15" s="1"/>
  <c r="P1304" i="21"/>
  <c r="R1304" i="21" s="1"/>
  <c r="K3" i="15"/>
  <c r="J113" i="21"/>
  <c r="E8" i="15"/>
  <c r="K9" i="15"/>
  <c r="F9" i="15"/>
  <c r="R960" i="21"/>
  <c r="P334" i="21"/>
  <c r="R334" i="21" s="1"/>
  <c r="D10" i="15"/>
  <c r="F10" i="15" s="1"/>
  <c r="J334" i="21"/>
  <c r="E12" i="15"/>
  <c r="J960" i="21"/>
  <c r="R657" i="21"/>
  <c r="P1461" i="21"/>
  <c r="R1461" i="21" s="1"/>
  <c r="D15" i="15"/>
  <c r="F15" i="15" s="1"/>
  <c r="J1461" i="21"/>
  <c r="P1572" i="21"/>
  <c r="R1572" i="21" s="1"/>
  <c r="D16" i="15"/>
  <c r="F16" i="15" s="1"/>
  <c r="J1572" i="21"/>
  <c r="R113" i="21"/>
  <c r="J657" i="21"/>
  <c r="H500" i="21"/>
  <c r="J500" i="21" s="1"/>
  <c r="F8" i="15" l="1"/>
  <c r="K8" i="15"/>
  <c r="E4" i="15"/>
  <c r="P500" i="21"/>
  <c r="R500" i="21" s="1"/>
  <c r="D12" i="15"/>
  <c r="F12" i="15" s="1"/>
  <c r="K12" i="15"/>
  <c r="E18" i="15" l="1"/>
  <c r="K4" i="15"/>
  <c r="K22" i="15" s="1"/>
  <c r="K43" i="15" s="1"/>
  <c r="P47" i="21" l="1"/>
  <c r="R47" i="21" s="1"/>
  <c r="H38" i="21"/>
  <c r="J38" i="21" s="1"/>
  <c r="H249" i="7" l="1"/>
  <c r="J249" i="7" s="1"/>
  <c r="J27" i="15" l="1"/>
  <c r="L27" i="15" s="1"/>
  <c r="J26" i="15"/>
  <c r="L26" i="15" s="1"/>
  <c r="J25" i="15" l="1"/>
  <c r="P32" i="21"/>
  <c r="R32" i="21" s="1"/>
  <c r="H282" i="7"/>
  <c r="J282" i="7" s="1"/>
  <c r="H280" i="7"/>
  <c r="H279" i="7" l="1"/>
  <c r="J280" i="7"/>
  <c r="L25" i="15"/>
  <c r="H253" i="7"/>
  <c r="J253" i="7" s="1"/>
  <c r="H213" i="7"/>
  <c r="J213" i="7" s="1"/>
  <c r="H210" i="7"/>
  <c r="J210" i="7" s="1"/>
  <c r="J279" i="7" l="1"/>
  <c r="J278" i="7" s="1"/>
  <c r="H278" i="7"/>
  <c r="H276" i="7" s="1"/>
  <c r="J276" i="7" s="1"/>
  <c r="J37" i="15"/>
  <c r="L37" i="15" s="1"/>
  <c r="J36" i="15" l="1"/>
  <c r="L36" i="15" s="1"/>
  <c r="H256" i="7" l="1"/>
  <c r="H56" i="7"/>
  <c r="J56" i="7" s="1"/>
  <c r="H54" i="7"/>
  <c r="J54" i="7" s="1"/>
  <c r="H252" i="7" l="1"/>
  <c r="J252" i="7" s="1"/>
  <c r="J251" i="7" s="1"/>
  <c r="J256" i="7"/>
  <c r="H52" i="7"/>
  <c r="J52" i="7" s="1"/>
  <c r="P46" i="21"/>
  <c r="R46" i="21" s="1"/>
  <c r="H37" i="21"/>
  <c r="J37" i="21" s="1"/>
  <c r="P31" i="21"/>
  <c r="R31" i="21" s="1"/>
  <c r="H26" i="21"/>
  <c r="P72" i="21"/>
  <c r="R72" i="21" s="1"/>
  <c r="P71" i="21"/>
  <c r="R71" i="21" s="1"/>
  <c r="P70" i="21"/>
  <c r="R70" i="21" s="1"/>
  <c r="P69" i="21"/>
  <c r="R69" i="21" s="1"/>
  <c r="P68" i="21"/>
  <c r="R68" i="21" s="1"/>
  <c r="P67" i="21"/>
  <c r="R67" i="21" s="1"/>
  <c r="P66" i="21"/>
  <c r="R66" i="21" s="1"/>
  <c r="P65" i="21"/>
  <c r="R65" i="21" s="1"/>
  <c r="P64" i="21"/>
  <c r="R64" i="21" s="1"/>
  <c r="P63" i="21"/>
  <c r="R63" i="21" s="1"/>
  <c r="H62" i="21"/>
  <c r="P60" i="21"/>
  <c r="R60" i="21" s="1"/>
  <c r="P59" i="21"/>
  <c r="R59" i="21" s="1"/>
  <c r="P58" i="21"/>
  <c r="R58" i="21" s="1"/>
  <c r="P57" i="21"/>
  <c r="R57" i="21" s="1"/>
  <c r="P56" i="21"/>
  <c r="R56" i="21" s="1"/>
  <c r="P55" i="21"/>
  <c r="R55" i="21" s="1"/>
  <c r="H54" i="21"/>
  <c r="P53" i="21"/>
  <c r="R53" i="21" s="1"/>
  <c r="P52" i="21"/>
  <c r="R52" i="21" s="1"/>
  <c r="P51" i="21"/>
  <c r="R51" i="21" s="1"/>
  <c r="P50" i="21"/>
  <c r="R50" i="21" s="1"/>
  <c r="P49" i="21"/>
  <c r="R49" i="21" s="1"/>
  <c r="P48" i="21"/>
  <c r="R48" i="21" s="1"/>
  <c r="P45" i="21"/>
  <c r="R45" i="21" s="1"/>
  <c r="P44" i="21"/>
  <c r="R44" i="21" s="1"/>
  <c r="P43" i="21"/>
  <c r="R43" i="21" s="1"/>
  <c r="P42" i="21"/>
  <c r="R42" i="21" s="1"/>
  <c r="P41" i="21"/>
  <c r="R41" i="21" s="1"/>
  <c r="P40" i="21"/>
  <c r="R40" i="21" s="1"/>
  <c r="P39" i="21"/>
  <c r="R39" i="21" s="1"/>
  <c r="P38" i="21"/>
  <c r="R38" i="21" s="1"/>
  <c r="L36" i="21"/>
  <c r="P35" i="21"/>
  <c r="R35" i="21" s="1"/>
  <c r="P34" i="21"/>
  <c r="R34" i="21" s="1"/>
  <c r="P33" i="21"/>
  <c r="R33" i="21" s="1"/>
  <c r="P30" i="21"/>
  <c r="R30" i="21" s="1"/>
  <c r="P29" i="21"/>
  <c r="R29" i="21" s="1"/>
  <c r="P28" i="21"/>
  <c r="R28" i="21" s="1"/>
  <c r="P27" i="21"/>
  <c r="R27" i="21" s="1"/>
  <c r="L25" i="21"/>
  <c r="P24" i="21"/>
  <c r="R24" i="21" s="1"/>
  <c r="P23" i="21"/>
  <c r="R23" i="21" s="1"/>
  <c r="H22" i="21"/>
  <c r="P21" i="21"/>
  <c r="R21" i="21" s="1"/>
  <c r="P20" i="21"/>
  <c r="R20" i="21" s="1"/>
  <c r="P18" i="21"/>
  <c r="R18" i="21" s="1"/>
  <c r="H17" i="21"/>
  <c r="P16" i="21"/>
  <c r="R16" i="21" s="1"/>
  <c r="H15" i="21"/>
  <c r="P14" i="21"/>
  <c r="R14" i="21" s="1"/>
  <c r="H13" i="21"/>
  <c r="P12" i="21"/>
  <c r="R12" i="21" s="1"/>
  <c r="P11" i="21"/>
  <c r="R11" i="21" s="1"/>
  <c r="P10" i="21"/>
  <c r="R10" i="21" s="1"/>
  <c r="P9" i="21"/>
  <c r="R9" i="21" s="1"/>
  <c r="P8" i="21"/>
  <c r="R8" i="21" s="1"/>
  <c r="H7" i="21"/>
  <c r="J7" i="21" s="1"/>
  <c r="L6" i="21"/>
  <c r="N6" i="21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H10" i="7"/>
  <c r="J31" i="15"/>
  <c r="L31" i="15" s="1"/>
  <c r="H201" i="7"/>
  <c r="H251" i="7"/>
  <c r="H247" i="7" s="1"/>
  <c r="J247" i="7" s="1"/>
  <c r="H132" i="7"/>
  <c r="J132" i="7" s="1"/>
  <c r="H29" i="7"/>
  <c r="H13" i="7"/>
  <c r="H168" i="7"/>
  <c r="H179" i="7"/>
  <c r="H190" i="7"/>
  <c r="H134" i="7"/>
  <c r="J134" i="7" s="1"/>
  <c r="H137" i="7"/>
  <c r="H100" i="7"/>
  <c r="J100" i="7" s="1"/>
  <c r="H106" i="7"/>
  <c r="J106" i="7" s="1"/>
  <c r="H114" i="7"/>
  <c r="J114" i="7" s="1"/>
  <c r="H120" i="7"/>
  <c r="J120" i="7" s="1"/>
  <c r="H84" i="7"/>
  <c r="H37" i="7"/>
  <c r="H46" i="7"/>
  <c r="J46" i="7" s="1"/>
  <c r="H18" i="7"/>
  <c r="J18" i="7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5" i="15" s="1"/>
  <c r="B26" i="15" s="1"/>
  <c r="B27" i="15" s="1"/>
  <c r="B277" i="7"/>
  <c r="B296" i="7"/>
  <c r="B297" i="7" s="1"/>
  <c r="H136" i="7" l="1"/>
  <c r="J136" i="7" s="1"/>
  <c r="J137" i="7"/>
  <c r="H167" i="7"/>
  <c r="J167" i="7" s="1"/>
  <c r="J168" i="7"/>
  <c r="H12" i="7"/>
  <c r="J12" i="7" s="1"/>
  <c r="J13" i="7"/>
  <c r="H200" i="7"/>
  <c r="J200" i="7" s="1"/>
  <c r="J201" i="7"/>
  <c r="H36" i="7"/>
  <c r="J36" i="7" s="1"/>
  <c r="J37" i="7"/>
  <c r="H189" i="7"/>
  <c r="J189" i="7" s="1"/>
  <c r="J190" i="7"/>
  <c r="H27" i="7"/>
  <c r="J29" i="7"/>
  <c r="H83" i="7"/>
  <c r="J83" i="7" s="1"/>
  <c r="J84" i="7"/>
  <c r="H178" i="7"/>
  <c r="J178" i="7" s="1"/>
  <c r="J179" i="7"/>
  <c r="H9" i="7"/>
  <c r="J9" i="7" s="1"/>
  <c r="J10" i="7"/>
  <c r="H61" i="21"/>
  <c r="J62" i="21"/>
  <c r="H25" i="21"/>
  <c r="J25" i="21" s="1"/>
  <c r="J26" i="21"/>
  <c r="P15" i="21"/>
  <c r="R15" i="21" s="1"/>
  <c r="J15" i="21"/>
  <c r="P62" i="21"/>
  <c r="R62" i="21" s="1"/>
  <c r="N25" i="21"/>
  <c r="P13" i="21"/>
  <c r="R13" i="21" s="1"/>
  <c r="J13" i="21"/>
  <c r="P17" i="21"/>
  <c r="R17" i="21" s="1"/>
  <c r="J17" i="21"/>
  <c r="P22" i="21"/>
  <c r="R22" i="21" s="1"/>
  <c r="J22" i="21"/>
  <c r="N36" i="21"/>
  <c r="P54" i="21"/>
  <c r="R54" i="21" s="1"/>
  <c r="J54" i="21"/>
  <c r="P26" i="21"/>
  <c r="R26" i="21" s="1"/>
  <c r="P37" i="21"/>
  <c r="R37" i="21" s="1"/>
  <c r="H36" i="21"/>
  <c r="J36" i="21" s="1"/>
  <c r="B278" i="7"/>
  <c r="B279" i="7" s="1"/>
  <c r="B280" i="7" s="1"/>
  <c r="B281" i="7" s="1"/>
  <c r="B282" i="7" s="1"/>
  <c r="B283" i="7" s="1"/>
  <c r="B284" i="7" s="1"/>
  <c r="B285" i="7" s="1"/>
  <c r="B286" i="7" s="1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1" i="15"/>
  <c r="B32" i="15" s="1"/>
  <c r="B33" i="15" s="1"/>
  <c r="B28" i="15"/>
  <c r="B29" i="15" s="1"/>
  <c r="H7" i="7"/>
  <c r="J7" i="7" s="1"/>
  <c r="H19" i="21"/>
  <c r="P7" i="21"/>
  <c r="R7" i="21" s="1"/>
  <c r="J30" i="15"/>
  <c r="L30" i="15" s="1"/>
  <c r="H130" i="7"/>
  <c r="H50" i="7"/>
  <c r="L5" i="21"/>
  <c r="H166" i="7"/>
  <c r="H98" i="7"/>
  <c r="B52" i="21"/>
  <c r="B53" i="21" s="1"/>
  <c r="B54" i="21" s="1"/>
  <c r="B55" i="21" s="1"/>
  <c r="B56" i="21" s="1"/>
  <c r="B57" i="21" s="1"/>
  <c r="J98" i="7" l="1"/>
  <c r="J50" i="7"/>
  <c r="J166" i="7"/>
  <c r="J130" i="7"/>
  <c r="H26" i="7"/>
  <c r="J26" i="7" s="1"/>
  <c r="J27" i="7"/>
  <c r="P25" i="21"/>
  <c r="R25" i="21" s="1"/>
  <c r="G6" i="15"/>
  <c r="N5" i="21"/>
  <c r="P36" i="21"/>
  <c r="R36" i="21" s="1"/>
  <c r="P19" i="21"/>
  <c r="R19" i="21" s="1"/>
  <c r="J19" i="21"/>
  <c r="P61" i="21"/>
  <c r="R61" i="21" s="1"/>
  <c r="J61" i="21"/>
  <c r="B38" i="7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H286" i="7"/>
  <c r="B34" i="15"/>
  <c r="B35" i="15" s="1"/>
  <c r="B36" i="15" s="1"/>
  <c r="H6" i="21"/>
  <c r="H24" i="7"/>
  <c r="J7" i="15"/>
  <c r="L7" i="15" s="1"/>
  <c r="B58" i="2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116" i="7" l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6" i="7" s="1"/>
  <c r="B217" i="7" s="1"/>
  <c r="B218" i="7" s="1"/>
  <c r="B219" i="7" s="1"/>
  <c r="B220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H269" i="7"/>
  <c r="D3" i="15" s="1"/>
  <c r="F3" i="15" s="1"/>
  <c r="J24" i="7"/>
  <c r="J269" i="7" s="1"/>
  <c r="H296" i="7"/>
  <c r="J296" i="7" s="1"/>
  <c r="J286" i="7"/>
  <c r="I6" i="15"/>
  <c r="P6" i="21"/>
  <c r="R6" i="21" s="1"/>
  <c r="J6" i="21"/>
  <c r="G3" i="15"/>
  <c r="I3" i="15" s="1"/>
  <c r="H5" i="21"/>
  <c r="B43" i="15"/>
  <c r="B37" i="15"/>
  <c r="B38" i="15" s="1"/>
  <c r="B39" i="15" s="1"/>
  <c r="B40" i="15" s="1"/>
  <c r="B41" i="15" s="1"/>
  <c r="B42" i="15" s="1"/>
  <c r="J17" i="15"/>
  <c r="L17" i="15" s="1"/>
  <c r="H295" i="7" l="1"/>
  <c r="H297" i="7"/>
  <c r="J295" i="7"/>
  <c r="J297" i="7" s="1"/>
  <c r="P5" i="21"/>
  <c r="R5" i="21" s="1"/>
  <c r="J5" i="21"/>
  <c r="J9" i="15"/>
  <c r="L9" i="15" s="1"/>
  <c r="J3" i="15"/>
  <c r="L3" i="15" s="1"/>
  <c r="D6" i="15"/>
  <c r="G4" i="15"/>
  <c r="J8" i="15"/>
  <c r="L8" i="15" s="1"/>
  <c r="J14" i="15"/>
  <c r="L14" i="15" s="1"/>
  <c r="J6" i="15" l="1"/>
  <c r="L6" i="15" s="1"/>
  <c r="F6" i="15"/>
  <c r="G20" i="15"/>
  <c r="I20" i="15" s="1"/>
  <c r="I4" i="15"/>
  <c r="J13" i="15"/>
  <c r="L13" i="15" s="1"/>
  <c r="J11" i="15"/>
  <c r="L11" i="15" s="1"/>
  <c r="J16" i="15"/>
  <c r="L16" i="15" s="1"/>
  <c r="J10" i="15" l="1"/>
  <c r="L10" i="15" s="1"/>
  <c r="D4" i="15"/>
  <c r="F4" i="15" s="1"/>
  <c r="J15" i="15"/>
  <c r="L15" i="15" s="1"/>
  <c r="J12" i="15" l="1"/>
  <c r="L12" i="15" s="1"/>
  <c r="D18" i="15"/>
  <c r="F18" i="15" s="1"/>
  <c r="J4" i="15"/>
  <c r="J22" i="15" l="1"/>
  <c r="L4" i="15"/>
  <c r="J43" i="15" l="1"/>
  <c r="L43" i="15" s="1"/>
  <c r="L22" i="15"/>
</calcChain>
</file>

<file path=xl/sharedStrings.xml><?xml version="1.0" encoding="utf-8"?>
<sst xmlns="http://schemas.openxmlformats.org/spreadsheetml/2006/main" count="3093" uniqueCount="864">
  <si>
    <t>Verejná zeleň</t>
  </si>
  <si>
    <t>Hlásenie pobytu občanov a register obyvateľov</t>
  </si>
  <si>
    <t>Príspevky neštátnym subjektom</t>
  </si>
  <si>
    <t>ukazovateľ</t>
  </si>
  <si>
    <t>1</t>
  </si>
  <si>
    <t>2</t>
  </si>
  <si>
    <t>3</t>
  </si>
  <si>
    <t>4</t>
  </si>
  <si>
    <t>5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</si>
  <si>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</si>
  <si>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</si>
  <si>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</si>
  <si>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</si>
  <si>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</si>
  <si>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</si>
  <si>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</si>
  <si>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</si>
  <si>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</si>
  <si>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</si>
  <si>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</si>
  <si>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</si>
  <si>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</si>
  <si>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</si>
  <si>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</si>
  <si>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</si>
  <si>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</si>
  <si>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</si>
  <si>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</si>
  <si>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</si>
  <si>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</si>
  <si>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</si>
  <si>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</si>
  <si>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</si>
  <si>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</si>
  <si>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</si>
  <si>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</si>
  <si>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</si>
  <si>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</si>
  <si>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</si>
  <si>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</si>
  <si>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</si>
  <si>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</si>
  <si>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</si>
  <si>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</si>
  <si>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</si>
  <si>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</si>
  <si>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</si>
  <si>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</si>
  <si>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</si>
  <si>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</si>
  <si>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</si>
  <si>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</si>
  <si>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</si>
  <si>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</si>
  <si>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</si>
  <si>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</si>
  <si>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</si>
  <si>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</si>
  <si>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</si>
  <si>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</si>
  <si>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</si>
  <si>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</si>
  <si>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</si>
  <si>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</si>
  <si>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</si>
  <si>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</si>
  <si>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</si>
  <si>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</si>
  <si>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</si>
  <si>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</si>
  <si>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</si>
  <si>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</si>
  <si>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</si>
  <si>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  <charset val="238"/>
      </rPr>
      <t>.</t>
    </r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</si>
  <si>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</si>
  <si>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</si>
  <si>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</si>
  <si>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</si>
  <si>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</si>
  <si>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</si>
  <si>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</si>
  <si>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</si>
  <si>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</si>
  <si>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</si>
  <si>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</si>
  <si>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</si>
  <si>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</si>
  <si>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</si>
  <si>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</si>
  <si>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</si>
  <si>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</si>
  <si>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</si>
  <si>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</si>
  <si>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</si>
  <si>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</si>
  <si>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</si>
  <si>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</si>
  <si>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</si>
  <si>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</si>
  <si>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</si>
  <si>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</si>
  <si>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Pochovanie občana</t>
  </si>
  <si>
    <t>Organizácia občianskych obradov</t>
  </si>
  <si>
    <t>Činnosť matriky</t>
  </si>
  <si>
    <t>Verejné toalety</t>
  </si>
  <si>
    <t>Zneškodňovanie odpadu</t>
  </si>
  <si>
    <t>Materské školy</t>
  </si>
  <si>
    <t>Základné školy</t>
  </si>
  <si>
    <t>Školské jedálne</t>
  </si>
  <si>
    <t>Podpora kultúrnych stredísk</t>
  </si>
  <si>
    <t>Podpora športových podujatí</t>
  </si>
  <si>
    <t>Dotácie na šport</t>
  </si>
  <si>
    <t>Športová hala</t>
  </si>
  <si>
    <t>Futbalový štadión</t>
  </si>
  <si>
    <t>Plavárne</t>
  </si>
  <si>
    <t>Karanténna stanica</t>
  </si>
  <si>
    <t>Fontány</t>
  </si>
  <si>
    <t>Výkon funkcie prednostu</t>
  </si>
  <si>
    <t>243</t>
  </si>
  <si>
    <t>Základná umelecká škola m.r.o.</t>
  </si>
  <si>
    <t xml:space="preserve">ZÁKLADNÉ ŠKOLY, ZARIADENIA PRE ZÁUJMOVÉ </t>
  </si>
  <si>
    <t>VZDELÁVANIE A ŠKOLSKÉ JEDÁLNE s p.s.</t>
  </si>
  <si>
    <t>poplatky - cudzí stravníci</t>
  </si>
  <si>
    <t xml:space="preserve"> - ostatné</t>
  </si>
  <si>
    <t>daň za psa</t>
  </si>
  <si>
    <t>Prepravná služba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</si>
  <si>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</si>
  <si>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</si>
  <si>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</si>
  <si>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</si>
  <si>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</si>
  <si>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</si>
  <si>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</si>
  <si>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Prevádzka a údržba budov</t>
  </si>
  <si>
    <t>Mestský informačný systém</t>
  </si>
  <si>
    <t>Autodoprava</t>
  </si>
  <si>
    <t>Preventívna ochrana zamestnancov</t>
  </si>
  <si>
    <t>Klientské centrum</t>
  </si>
  <si>
    <t>Prevádzka mestských trhovísk</t>
  </si>
  <si>
    <t>PROGRAM 5:  BEZPEČNOSŤ</t>
  </si>
  <si>
    <t>Zabezpečovanie verejného poriadku</t>
  </si>
  <si>
    <t>Kamerový systém mesta</t>
  </si>
  <si>
    <t>Voľno časové vzdelávanie</t>
  </si>
  <si>
    <t>Športová infraštruktúra</t>
  </si>
  <si>
    <t>Ochrana prostredia pre život</t>
  </si>
  <si>
    <t>Podpora seniorov</t>
  </si>
  <si>
    <t>Terénna opatrovateľská služba</t>
  </si>
  <si>
    <t>Obnova rodinných pomerov</t>
  </si>
  <si>
    <t>poplatok za jasle</t>
  </si>
  <si>
    <t>stravovanie v detských jasliach</t>
  </si>
  <si>
    <t>stravovanie v materskej škole</t>
  </si>
  <si>
    <t>Poradenstvo - bytové problémy</t>
  </si>
  <si>
    <t>ubytovanie, zaopatrenie, stravovanie -  celoročný pobyt</t>
  </si>
  <si>
    <t>ubytovanie, zaopatrenie, stravovanie - denný a týžd.pobyt</t>
  </si>
  <si>
    <t>poplatok za opatrovateľskú službu - invalidita</t>
  </si>
  <si>
    <t>Dotácia - predškolský vek</t>
  </si>
  <si>
    <t>Cestovný ruch</t>
  </si>
  <si>
    <t>Bývanie</t>
  </si>
  <si>
    <t>Správa bytového fondu</t>
  </si>
  <si>
    <t>Štátny fond rozvoja bývania</t>
  </si>
  <si>
    <t>Výstavba RD v súvislosti s MŽT</t>
  </si>
  <si>
    <t>Autobusová doprava</t>
  </si>
  <si>
    <t>Zvoz a odvoz odpadu</t>
  </si>
  <si>
    <t>Cintorínske a pohrebné služby</t>
  </si>
  <si>
    <t>PROGRAM 9:  KULTÚRA</t>
  </si>
  <si>
    <t>PROGRAM 11:  SOCIÁLNE  SLUŽBY</t>
  </si>
  <si>
    <t>Manažérstvo kvality</t>
  </si>
  <si>
    <t>Odpadové a vodné hospodárstvo</t>
  </si>
  <si>
    <t>Rozvoj mesta</t>
  </si>
  <si>
    <t>6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</si>
  <si>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</si>
  <si>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</si>
  <si>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</si>
  <si>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</si>
  <si>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</si>
  <si>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</si>
  <si>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</si>
  <si>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>ubytovanie, zaopatrenie, stravovanie - 24 hod.starostlivosť</t>
  </si>
  <si>
    <t>poplatok za komunálne odpady a drobné stavebné odpady</t>
  </si>
  <si>
    <t>Kapitálové príjmy</t>
  </si>
  <si>
    <t>230</t>
  </si>
  <si>
    <t>príjem z predaja kapitálových aktív</t>
  </si>
  <si>
    <t>233</t>
  </si>
  <si>
    <t>Príjem z predaja pozemkov a nehmotných aktív</t>
  </si>
  <si>
    <t xml:space="preserve"> - pozemkov v priemyselnej zóne Zámostie</t>
  </si>
  <si>
    <t>KAPITÁLOVÉ PRÍJMY SPOLU:</t>
  </si>
  <si>
    <t>PRÍJMY SPOLU:</t>
  </si>
  <si>
    <t>Výsledok hospodárenia</t>
  </si>
  <si>
    <t>Zariadenie pre seniorov</t>
  </si>
  <si>
    <t xml:space="preserve">Bežný rozpočet, kapitálový rozpočet, finančné operácie - sumarizácia 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</si>
  <si>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</si>
  <si>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PRÍJMY spolu</t>
  </si>
  <si>
    <t>Prebytok bežného rozpočtu</t>
  </si>
  <si>
    <t>Slovenská sporiteľňa a.s. - istina z poskytnutých úverov</t>
  </si>
  <si>
    <t xml:space="preserve">821 005 - Splácanie istín z bankových úverov dlhodobých,    z toho: </t>
  </si>
  <si>
    <t>821 007 - Splácanie istín z ostatných úverov  dlhodobých - ŠFRB</t>
  </si>
  <si>
    <t>P r í j m y *</t>
  </si>
  <si>
    <t>V ý d a v k y *</t>
  </si>
  <si>
    <t>Tatra banka a.s. - istina z poskytnutých úverov</t>
  </si>
  <si>
    <t>632</t>
  </si>
  <si>
    <t>633</t>
  </si>
  <si>
    <t>634</t>
  </si>
  <si>
    <t>PROGRAM 2:  PROPAGÁCIA A CESTOVNÝ RUCH</t>
  </si>
  <si>
    <t>PROGRAM 2:    Propagácia a cestovný ruch</t>
  </si>
  <si>
    <t>PROGRAM 1: Manažment a plánovanie</t>
  </si>
  <si>
    <t>PROGRAM 3:  INTERNÉ  SLUŽBY</t>
  </si>
  <si>
    <t>PROGRAM 3:    Interné služby</t>
  </si>
  <si>
    <t>Činnosť a prevádzka mestského úradu</t>
  </si>
  <si>
    <t>PROGRAM 4:  SLUŽBY  OBČANOM</t>
  </si>
  <si>
    <t>PROGRAM 4:    Služby občanom</t>
  </si>
  <si>
    <t>PROGRAM 5:   Bezpečnosť</t>
  </si>
  <si>
    <t>610</t>
  </si>
  <si>
    <t>620</t>
  </si>
  <si>
    <t>631</t>
  </si>
  <si>
    <t>635</t>
  </si>
  <si>
    <t>636</t>
  </si>
  <si>
    <t>637</t>
  </si>
  <si>
    <t>640</t>
  </si>
  <si>
    <t>630</t>
  </si>
  <si>
    <t>Správa a údržba pozem.komunikácií</t>
  </si>
  <si>
    <t>Výstavba a rekonštrukcia pozem.kom.</t>
  </si>
  <si>
    <t>PROGRAM 6:  DOPRAVA</t>
  </si>
  <si>
    <t>PROGRAM 6:   Doprava</t>
  </si>
  <si>
    <t>Politika vzdelávania</t>
  </si>
  <si>
    <t>PROGRAM 9:   Kultúra</t>
  </si>
  <si>
    <t>Galéria Bazovského</t>
  </si>
  <si>
    <t>PROGRAM 10:  ŽIVOTNÉ  PROSTREDIE</t>
  </si>
  <si>
    <t>PROGRAM 10:   Životné prostredie</t>
  </si>
  <si>
    <t>PROGRAM 11:   Sociálne služby</t>
  </si>
  <si>
    <t>Jednorazová pomoc občanom v hm.núdzi</t>
  </si>
  <si>
    <t>PROGRAM 12:  ROZVOJ MESTA A BÝVANIE</t>
  </si>
  <si>
    <t>PROGRAM 12:   Rozvoj mesta a bývanie</t>
  </si>
  <si>
    <t>PROGRAM 7:  VZDELÁVANIE</t>
  </si>
  <si>
    <t>PROGRAM 7:   Vzdelávanie</t>
  </si>
  <si>
    <t xml:space="preserve"> - hrobové miesta</t>
  </si>
  <si>
    <t>04.5.1.</t>
  </si>
  <si>
    <t>Tovary a služby</t>
  </si>
  <si>
    <t>Vzdelávanie zamestnancov mesta</t>
  </si>
  <si>
    <t>Elektrická energia</t>
  </si>
  <si>
    <t>06.4.0.</t>
  </si>
  <si>
    <t>Poistné</t>
  </si>
  <si>
    <t>06.2.0.</t>
  </si>
  <si>
    <t>Územno plánovacie podklady a dokumentácie</t>
  </si>
  <si>
    <t>Aktualizácia softvéru</t>
  </si>
  <si>
    <t>04.4.3.</t>
  </si>
  <si>
    <t>ZŠ Potočná - ŠZMT m.r.o.</t>
  </si>
  <si>
    <t>Energie, voda a komunikácie</t>
  </si>
  <si>
    <t>Materiál</t>
  </si>
  <si>
    <t>Služby</t>
  </si>
  <si>
    <t>Tovary a služby, z toho:</t>
  </si>
  <si>
    <t>ŠKD Potočná - ŠZMT m.r.o.</t>
  </si>
  <si>
    <t xml:space="preserve"> - poplatky za školské kluby</t>
  </si>
  <si>
    <t>08.1.0</t>
  </si>
  <si>
    <t>09.8.0.</t>
  </si>
  <si>
    <t>ŠZMT m.r.o. - správa</t>
  </si>
  <si>
    <t>Cestovné - tuzemské</t>
  </si>
  <si>
    <t xml:space="preserve">Materiál </t>
  </si>
  <si>
    <t>Mzdy, platy a OOV</t>
  </si>
  <si>
    <t>06.6.0.</t>
  </si>
  <si>
    <t>Poistné a príspevok do poisťovní</t>
  </si>
  <si>
    <t>Dopravné</t>
  </si>
  <si>
    <t>Rutinná a štandardná údržba</t>
  </si>
  <si>
    <t>Nájomné za prenájom</t>
  </si>
  <si>
    <t>08.1.0.</t>
  </si>
  <si>
    <t>za vstupné: krytá plaváreň</t>
  </si>
  <si>
    <t>za vstupné: letná plaváreň</t>
  </si>
  <si>
    <t>za energie: krytá a letná plaváreň</t>
  </si>
  <si>
    <t>04.2.2.</t>
  </si>
  <si>
    <t>Transfery</t>
  </si>
  <si>
    <t>05.1.0.</t>
  </si>
  <si>
    <t>Skládka Zámoste - monitoring</t>
  </si>
  <si>
    <t>05.6.0.</t>
  </si>
  <si>
    <t>Deratizácia verejných plôch zelene</t>
  </si>
  <si>
    <t>01.3.3.</t>
  </si>
  <si>
    <t>03.2.0.</t>
  </si>
  <si>
    <t>Poštové a telekomunikačné služby</t>
  </si>
  <si>
    <t>Údržba budov Mestského úradu</t>
  </si>
  <si>
    <t>08.4.0.</t>
  </si>
  <si>
    <t>02.2.0.</t>
  </si>
  <si>
    <t>zákonné povinnosti na úseku CO</t>
  </si>
  <si>
    <t>daň za ubytovanie</t>
  </si>
  <si>
    <t>01.1.2.</t>
  </si>
  <si>
    <t>Poštovné (právnické osoby,predvolania, ...)</t>
  </si>
  <si>
    <t>Dávka sociálnej pomoci</t>
  </si>
  <si>
    <t>Grantový program</t>
  </si>
  <si>
    <t>Posudková činnosť</t>
  </si>
  <si>
    <t>Pohrebné služby</t>
  </si>
  <si>
    <t>Príspevky na dopravu do detského domova</t>
  </si>
  <si>
    <t>Príspevky na úpravu rodinných pomerov</t>
  </si>
  <si>
    <t>Tvorba úspor na dieťa</t>
  </si>
  <si>
    <t>09.1.1.1.</t>
  </si>
  <si>
    <t>SSMT m.r.o.</t>
  </si>
  <si>
    <t>Cestovné náhrady</t>
  </si>
  <si>
    <t xml:space="preserve"> - Združenie hlavných kontrolórov miest a obcí SR</t>
  </si>
  <si>
    <t xml:space="preserve"> - RZMOSP</t>
  </si>
  <si>
    <t xml:space="preserve"> - Euroregión Biele Karpaty</t>
  </si>
  <si>
    <t>za verejné WC</t>
  </si>
  <si>
    <t>Transfery - náhrada počas PN</t>
  </si>
  <si>
    <t>Energie, voda a komunikácie - telefón,poštovné</t>
  </si>
  <si>
    <t>Transfery - náhrada počas PN, odchodné</t>
  </si>
  <si>
    <t>poplatok za opatrovateľskú službu - seniori</t>
  </si>
  <si>
    <t>Členské príspevky, z toho:</t>
  </si>
  <si>
    <t>Transfery: odstupné, odchodné, PN</t>
  </si>
  <si>
    <t>Transfery - poplatky do fondu opráv</t>
  </si>
  <si>
    <t>Poistenie</t>
  </si>
  <si>
    <r>
      <t xml:space="preserve">Mobilná ľadová plocha </t>
    </r>
    <r>
      <rPr>
        <sz val="9"/>
        <rFont val="Arial CE"/>
        <charset val="238"/>
      </rPr>
      <t xml:space="preserve"> - poistenie</t>
    </r>
  </si>
  <si>
    <t>Poistné a prívpevky do poisťovní</t>
  </si>
  <si>
    <t>Cestovné výdavky</t>
  </si>
  <si>
    <t>03.1.0.</t>
  </si>
  <si>
    <t>Organizácia mestských podujatí</t>
  </si>
  <si>
    <t xml:space="preserve">  - Kultúrne leto</t>
  </si>
  <si>
    <t xml:space="preserve">  - Ora et Ars</t>
  </si>
  <si>
    <t xml:space="preserve">  - Pri Trenčianskej bráne</t>
  </si>
  <si>
    <t xml:space="preserve">  - príležitostné menšie podujatia</t>
  </si>
  <si>
    <t>Organizácia kultúrnych podujatí</t>
  </si>
  <si>
    <t>Podpora kultúrnych podujatí a činností</t>
  </si>
  <si>
    <t>Výkon funkcie zástupcu primátora</t>
  </si>
  <si>
    <t xml:space="preserve">poplatky za ubytovanie a starostlivosť </t>
  </si>
  <si>
    <t>poplatky za stravovanie</t>
  </si>
  <si>
    <t>Energia, voda a komunikácie</t>
  </si>
  <si>
    <t>Nocľaháreň</t>
  </si>
  <si>
    <t xml:space="preserve">Služby </t>
  </si>
  <si>
    <t>717</t>
  </si>
  <si>
    <t>Odmeňovanie učiteľov, žiakov, knihy</t>
  </si>
  <si>
    <t>Dotácia v oblasti školstva a výchovy</t>
  </si>
  <si>
    <t xml:space="preserve"> - MŠ Švermova</t>
  </si>
  <si>
    <t xml:space="preserve"> - MŠ Legionárska</t>
  </si>
  <si>
    <t xml:space="preserve"> - MŠ Považská</t>
  </si>
  <si>
    <t xml:space="preserve"> - MŠ Turkovej</t>
  </si>
  <si>
    <t xml:space="preserve"> - MŠ Soblahovská</t>
  </si>
  <si>
    <t xml:space="preserve"> - MŠ Šmidkeho</t>
  </si>
  <si>
    <t xml:space="preserve"> - MŠ Halašu</t>
  </si>
  <si>
    <t xml:space="preserve"> - MŠ Stromová</t>
  </si>
  <si>
    <t xml:space="preserve"> - MŠ Opatovská</t>
  </si>
  <si>
    <t xml:space="preserve"> - MŠ Kubranská</t>
  </si>
  <si>
    <t xml:space="preserve"> - MŠ Medňanského</t>
  </si>
  <si>
    <t xml:space="preserve"> - MŠ Pri parku</t>
  </si>
  <si>
    <t xml:space="preserve"> - MŠ Niva</t>
  </si>
  <si>
    <t xml:space="preserve"> - MŠ 28. októbra</t>
  </si>
  <si>
    <t xml:space="preserve"> - MŠ Na dolinách</t>
  </si>
  <si>
    <t>MŠ Švermova</t>
  </si>
  <si>
    <r>
      <t xml:space="preserve">Tovary a služby, </t>
    </r>
    <r>
      <rPr>
        <sz val="8"/>
        <rFont val="Arial CE"/>
        <charset val="238"/>
      </rPr>
      <t>z toho:</t>
    </r>
  </si>
  <si>
    <t>MŠ Legionárska</t>
  </si>
  <si>
    <t>MŠ Považská</t>
  </si>
  <si>
    <t>MŠ Turkovej</t>
  </si>
  <si>
    <t>MŠ Soblahovská</t>
  </si>
  <si>
    <t>MŠ Šmidkeho</t>
  </si>
  <si>
    <t>Nájomné</t>
  </si>
  <si>
    <t>8</t>
  </si>
  <si>
    <t>MŠ  J. Halašu</t>
  </si>
  <si>
    <t>9</t>
  </si>
  <si>
    <t>MŠ Stromová</t>
  </si>
  <si>
    <t>10</t>
  </si>
  <si>
    <t>MŠ Opatovská</t>
  </si>
  <si>
    <t>11</t>
  </si>
  <si>
    <t>MŠ Kubranská</t>
  </si>
  <si>
    <t>MŠ Medňanského</t>
  </si>
  <si>
    <t>12</t>
  </si>
  <si>
    <t>MŠ Pri parku</t>
  </si>
  <si>
    <t>13</t>
  </si>
  <si>
    <t>MŠ Niva</t>
  </si>
  <si>
    <t>14</t>
  </si>
  <si>
    <t>MŠ 28. októbra</t>
  </si>
  <si>
    <t>15</t>
  </si>
  <si>
    <t>MŠ Na dolinách</t>
  </si>
  <si>
    <t>16</t>
  </si>
  <si>
    <t>ZŠ Novomeského</t>
  </si>
  <si>
    <t xml:space="preserve">Dopravné </t>
  </si>
  <si>
    <t>ZŠ Hodžova</t>
  </si>
  <si>
    <t>ZŠ Dlhé Hony</t>
  </si>
  <si>
    <t>ZŠ Veľkomoravská</t>
  </si>
  <si>
    <t>Prenájom strojov</t>
  </si>
  <si>
    <t xml:space="preserve">Transfery </t>
  </si>
  <si>
    <t>ZŠ Kubranská</t>
  </si>
  <si>
    <t>ZŠ Na dolinách</t>
  </si>
  <si>
    <t>ZŠ Východná</t>
  </si>
  <si>
    <t xml:space="preserve">ŠJ pri Piaristické gymnázium J.Braneckého </t>
  </si>
  <si>
    <t>ŠJ pri ZŠ sv. Andrea Svorada a Benedikta</t>
  </si>
  <si>
    <t>ŠJ Novomeského</t>
  </si>
  <si>
    <t>ŠJ Dlhé Hony</t>
  </si>
  <si>
    <t>ŠJ Veľkomoravská</t>
  </si>
  <si>
    <t>ŠJ Kubranská</t>
  </si>
  <si>
    <t>ŠJ Bezručova</t>
  </si>
  <si>
    <t>ŠJ Východná</t>
  </si>
  <si>
    <t>ŠKD Novomeského</t>
  </si>
  <si>
    <t>Transfery - náhrada PN</t>
  </si>
  <si>
    <t>ŠKD Hodžova</t>
  </si>
  <si>
    <t>ŠKD Dlhé Hony</t>
  </si>
  <si>
    <t>ŠKD Veľkomoravská</t>
  </si>
  <si>
    <t>ŠKD Kubranská</t>
  </si>
  <si>
    <t>ŠKD Na dolinách</t>
  </si>
  <si>
    <t>ŠKD Bezručova</t>
  </si>
  <si>
    <t>ŠKD Východná</t>
  </si>
  <si>
    <t>ŠKD ZŠ sv. Svorada a Benedikta</t>
  </si>
  <si>
    <t>ŠKD ZŠ Futurum</t>
  </si>
  <si>
    <t>ZUŠ Trenčín</t>
  </si>
  <si>
    <t>CVČ Trenčín</t>
  </si>
  <si>
    <t>Súkromná ZUŠ Berecová - Gagarinova</t>
  </si>
  <si>
    <t>Súkromná ZUŠ Bebjak - Novomeského</t>
  </si>
  <si>
    <t>ŠJ pri MŠ Švermova</t>
  </si>
  <si>
    <t>ŠJ pri MŠ Legionárska</t>
  </si>
  <si>
    <t xml:space="preserve">ŠJ pri MŠ Považská </t>
  </si>
  <si>
    <t>ŠJ pri MŠ M. Turkovej</t>
  </si>
  <si>
    <t>ŠJ pri MŠ Soblahovská</t>
  </si>
  <si>
    <t>ŠJ pri MŠ Šmidkeho</t>
  </si>
  <si>
    <t>09.6.0.1.</t>
  </si>
  <si>
    <t>ŠJ pri MŠ Šafárikova</t>
  </si>
  <si>
    <t>ŠJ pri MŠ Halašu</t>
  </si>
  <si>
    <t>ŠJ pri MŠ Stromová</t>
  </si>
  <si>
    <t xml:space="preserve">ŠJ pri MŠ Opatovská </t>
  </si>
  <si>
    <t>ŠJ pri MŠ Kubranská</t>
  </si>
  <si>
    <t>ŠJ pri MŠ Medňanského</t>
  </si>
  <si>
    <t>ŠJ pri MŠ Pri Parku</t>
  </si>
  <si>
    <t>ŠJ pri MŠ Pri Niva</t>
  </si>
  <si>
    <t>ŠZMT m.r.o. - školské jedálne:</t>
  </si>
  <si>
    <t>ŠJ Na Dolinách</t>
  </si>
  <si>
    <t>ŠJ ZŠ Hodžova</t>
  </si>
  <si>
    <t xml:space="preserve">  - služby - stravovanie - HEES Gastroslužby s.r.o.</t>
  </si>
  <si>
    <t>Rovnošaty</t>
  </si>
  <si>
    <t>Strategické plánovanie mesta</t>
  </si>
  <si>
    <t xml:space="preserve"> - Asociácia prednostov</t>
  </si>
  <si>
    <t>ZŠ Bezručova</t>
  </si>
  <si>
    <t>Poistenie (stará + nová letná)</t>
  </si>
  <si>
    <t>Činnosti na úseku PO</t>
  </si>
  <si>
    <t>zimný štadión</t>
  </si>
  <si>
    <t>Bežné transfery</t>
  </si>
  <si>
    <t>04.7.3.</t>
  </si>
  <si>
    <t>08.3.0.</t>
  </si>
  <si>
    <t>09.5.0.</t>
  </si>
  <si>
    <t>09.1.2.1.</t>
  </si>
  <si>
    <t xml:space="preserve">09.1.2.1. </t>
  </si>
  <si>
    <t>06.1.0.</t>
  </si>
  <si>
    <t>Nová letná plaváreň - energie+stráženie</t>
  </si>
  <si>
    <t>716</t>
  </si>
  <si>
    <t>Rekultivácia skládky Zámostie - splátka</t>
  </si>
  <si>
    <t>Nákup pozemkov</t>
  </si>
  <si>
    <t xml:space="preserve">Kľúčové podujatia </t>
  </si>
  <si>
    <t xml:space="preserve">ZŠ Potočná </t>
  </si>
  <si>
    <t>Telefóny, internet</t>
  </si>
  <si>
    <t xml:space="preserve">Odmeny </t>
  </si>
  <si>
    <t>Medz.spolupráca a zahraničné vzťahy</t>
  </si>
  <si>
    <t xml:space="preserve"> - Asociácia komunálnych ekonómov</t>
  </si>
  <si>
    <t>Komunikácia s verej.inštitúciami v mene mesta</t>
  </si>
  <si>
    <r>
      <t>MHSL m.r.o. - prevádzka budov</t>
    </r>
    <r>
      <rPr>
        <sz val="8"/>
        <rFont val="Arial CE"/>
        <charset val="238"/>
      </rPr>
      <t>, z toho:</t>
    </r>
  </si>
  <si>
    <t>MHSL m.r.o. , z toho:</t>
  </si>
  <si>
    <t>MHSL m.r.o., z toho:</t>
  </si>
  <si>
    <r>
      <t>Tovary a služby,</t>
    </r>
    <r>
      <rPr>
        <sz val="9"/>
        <rFont val="Arial CE"/>
        <charset val="238"/>
      </rPr>
      <t xml:space="preserve"> z toho:</t>
    </r>
  </si>
  <si>
    <t>Oprava a doplnenie nových dopr.zariadení</t>
  </si>
  <si>
    <r>
      <t>Tovary a služby</t>
    </r>
    <r>
      <rPr>
        <sz val="8"/>
        <rFont val="Arial CE"/>
        <charset val="238"/>
      </rPr>
      <t>, z toho:</t>
    </r>
  </si>
  <si>
    <t>Artkino Metro</t>
  </si>
  <si>
    <r>
      <t>MHSL m.r.o. - údržba zelene</t>
    </r>
    <r>
      <rPr>
        <sz val="8"/>
        <rFont val="Arial CE"/>
        <charset val="238"/>
      </rPr>
      <t>, z toho:</t>
    </r>
  </si>
  <si>
    <t>SSMT m.r.o. z toho:</t>
  </si>
  <si>
    <t>SSMT m.r.o., z toho:</t>
  </si>
  <si>
    <r>
      <t>SSMT m.r.o.</t>
    </r>
    <r>
      <rPr>
        <sz val="9"/>
        <rFont val="Arial CE"/>
        <charset val="238"/>
      </rPr>
      <t>, z toho:</t>
    </r>
  </si>
  <si>
    <r>
      <t>SSMT m.r.o.</t>
    </r>
    <r>
      <rPr>
        <sz val="8"/>
        <rFont val="Arial CE"/>
        <charset val="238"/>
      </rPr>
      <t>, z toho:</t>
    </r>
  </si>
  <si>
    <t>Energie, voda a komunikácie: telefón,poštovné</t>
  </si>
  <si>
    <t xml:space="preserve"> - prenájom kultúrnych stredísk</t>
  </si>
  <si>
    <t>Denné centrá pre seniorov</t>
  </si>
  <si>
    <t xml:space="preserve">administratívne poplatky </t>
  </si>
  <si>
    <t xml:space="preserve">  - ZŠ Novomeského</t>
  </si>
  <si>
    <t xml:space="preserve">  - ZŠ Dlhé Hony</t>
  </si>
  <si>
    <t xml:space="preserve">  - ZŠ Veľkomoravská</t>
  </si>
  <si>
    <t xml:space="preserve">  - ZŠ Kubranská</t>
  </si>
  <si>
    <t xml:space="preserve">  - ZŠ Bezruča</t>
  </si>
  <si>
    <t xml:space="preserve">  - ZŠ Východná</t>
  </si>
  <si>
    <t xml:space="preserve">  - ZŠ Na dolinách</t>
  </si>
  <si>
    <t xml:space="preserve">  - ZŠ Hodžova</t>
  </si>
  <si>
    <t>Manažment SSMT m.r.o.</t>
  </si>
  <si>
    <t>Mobiliár mesta a detské ihriská</t>
  </si>
  <si>
    <t>17</t>
  </si>
  <si>
    <t>18</t>
  </si>
  <si>
    <t>19</t>
  </si>
  <si>
    <t xml:space="preserve">Poistné a príspevok do poisťovní </t>
  </si>
  <si>
    <t>MHSL m.r.o.</t>
  </si>
  <si>
    <t>Civilná ochrana</t>
  </si>
  <si>
    <t>FK</t>
  </si>
  <si>
    <t>EK</t>
  </si>
  <si>
    <t>P/P</t>
  </si>
  <si>
    <t>PP</t>
  </si>
  <si>
    <t xml:space="preserve"> - Združenie K8</t>
  </si>
  <si>
    <t>INFO</t>
  </si>
  <si>
    <t>Prezentácia mesta v médiách</t>
  </si>
  <si>
    <t>Internetové systémy, SEO, správa turistických</t>
  </si>
  <si>
    <t>Daňová a rozpočt.agenda mesta a účtovníctvo</t>
  </si>
  <si>
    <t>Členstvo v samospr.organizáciách a združ.</t>
  </si>
  <si>
    <t xml:space="preserve">Tuzemské pracovné cesty </t>
  </si>
  <si>
    <t>Školenia, semináre, zvyš.kvalifikácie a pod.</t>
  </si>
  <si>
    <t>Výpočtová technicka do 1 700 €</t>
  </si>
  <si>
    <t>Údržba výpočtovej techniky</t>
  </si>
  <si>
    <t>Energie</t>
  </si>
  <si>
    <t>Prevádza pohrebísk a cintorínov</t>
  </si>
  <si>
    <t>Prevádzka VO</t>
  </si>
  <si>
    <t xml:space="preserve">Služby: posudky, reklama, dane, kolky a pod. </t>
  </si>
  <si>
    <t>Služby: Právne služby</t>
  </si>
  <si>
    <t xml:space="preserve">Služby: Trovy a odmeny pre exekútorov </t>
  </si>
  <si>
    <t xml:space="preserve">Služby: Súdne poplatky </t>
  </si>
  <si>
    <t>Dary, kvety, pracovné obedy a pod.</t>
  </si>
  <si>
    <t>Materiál: Tlačivá, papier, etikety, obálky a pod.</t>
  </si>
  <si>
    <t>Propagácia kult.podujatí, produktov CR, kultúry</t>
  </si>
  <si>
    <t>Propagácia a prezent.mesta: Tlačoviny, suveníry, web a p.</t>
  </si>
  <si>
    <t>Energie: Elektrická energia, plyn, vodné stočné a p.</t>
  </si>
  <si>
    <t>Materiál: farba, nálepky a p.</t>
  </si>
  <si>
    <t>Služby: zúčtovateľské služby, poplatky za správu a p.</t>
  </si>
  <si>
    <t>242</t>
  </si>
  <si>
    <t>z vkladov</t>
  </si>
  <si>
    <t>Transfery - náhrada PN, odchodné</t>
  </si>
  <si>
    <t>Mzdy, platy, OOV</t>
  </si>
  <si>
    <t>Cestovné žiakom</t>
  </si>
  <si>
    <t>Transfery  - náhrada PN</t>
  </si>
  <si>
    <t>ŠJ Gymázium FUTURUM (zriaď. FUTURE n.o.)</t>
  </si>
  <si>
    <t>ŠJ ZŠ FUTURUM (zriaď. SG FUTURUM)</t>
  </si>
  <si>
    <t>Základné školy - školské jedálne:</t>
  </si>
  <si>
    <t>ŠZMT m.r.o. - materské školy:</t>
  </si>
  <si>
    <t>Súkromná MŠ Janka Kráľa (Mgr.Valachová)</t>
  </si>
  <si>
    <t>Súkromná MŠ Slimáčik (Mgr. Mildeová)</t>
  </si>
  <si>
    <t>Súkromná MŠ Orechovská (Mgr. Masariková)</t>
  </si>
  <si>
    <t xml:space="preserve">Rutinná a štand.údržba </t>
  </si>
  <si>
    <t>Materiál - medaile</t>
  </si>
  <si>
    <t>Materiál - knihy pre prvákov</t>
  </si>
  <si>
    <t>Materiál - kvety pre učiteľov</t>
  </si>
  <si>
    <t>Cestovné</t>
  </si>
  <si>
    <t>Transfery - odchodné, náhrady PN</t>
  </si>
  <si>
    <t>stravovanie zamestnanci</t>
  </si>
  <si>
    <t>Motorové vozidlo</t>
  </si>
  <si>
    <t>Certifikačný audit</t>
  </si>
  <si>
    <t xml:space="preserve"> - Združenie miest a obcí Slovenska</t>
  </si>
  <si>
    <t xml:space="preserve"> - Združenie náčelníkov MsP</t>
  </si>
  <si>
    <t xml:space="preserve">  - MDD</t>
  </si>
  <si>
    <t xml:space="preserve">  - Čaro Vianoc pod hradom</t>
  </si>
  <si>
    <t>Dohody - prevádzka KS</t>
  </si>
  <si>
    <t>Materiál, darčeky, kvety a p.</t>
  </si>
  <si>
    <t>Dopravné (PHM, opravy,známky, ....)</t>
  </si>
  <si>
    <t>Poistenie (miliónové)</t>
  </si>
  <si>
    <t>Poistenie (zákonné, havarijné)</t>
  </si>
  <si>
    <t>Nákup stavieb</t>
  </si>
  <si>
    <t xml:space="preserve">Poistenie RD </t>
  </si>
  <si>
    <t>Údržba kamerového systému</t>
  </si>
  <si>
    <t>Softvér</t>
  </si>
  <si>
    <t>Transfery - odchodné</t>
  </si>
  <si>
    <t>MHSL m.r.o. z toho:</t>
  </si>
  <si>
    <t>MHSL m.r.o. - Krytá plaváreň</t>
  </si>
  <si>
    <t xml:space="preserve">Mzdy, platy a OOV </t>
  </si>
  <si>
    <t>MHSL m.r.o. - Letná plaváreň</t>
  </si>
  <si>
    <t>z mestských lesov - stredisko Soblahov, Brezina</t>
  </si>
  <si>
    <t>zimný štadión - prenájom priestorov</t>
  </si>
  <si>
    <t>Dendrologické posudky</t>
  </si>
  <si>
    <t>Československá obchodná banka a.s. - istina z poskytnutých úverov</t>
  </si>
  <si>
    <t>Poistenie - FŠ Opatová, FŠ Na Sihoti, FŠ Záblatie</t>
  </si>
  <si>
    <t>Stavebný úrad pre Mesto Trenčín</t>
  </si>
  <si>
    <r>
      <t xml:space="preserve">F I N A N Č N É   O P E R Á C I E </t>
    </r>
    <r>
      <rPr>
        <b/>
        <i/>
        <vertAlign val="superscript"/>
        <sz val="12"/>
        <color indexed="9"/>
        <rFont val="Arial CE"/>
        <family val="2"/>
        <charset val="238"/>
      </rPr>
      <t>*</t>
    </r>
  </si>
  <si>
    <t>Rekonštrukcia strechy</t>
  </si>
  <si>
    <t xml:space="preserve">  Program 1:   Manažment a plánovanie</t>
  </si>
  <si>
    <t xml:space="preserve">  Program 2:   Propagácia a cestovný ruch </t>
  </si>
  <si>
    <t xml:space="preserve">  Program 3:   Interné služby mesta</t>
  </si>
  <si>
    <t xml:space="preserve">  Program 4:   Služby občanom</t>
  </si>
  <si>
    <t xml:space="preserve">  Program 5:   Bezpečnosť</t>
  </si>
  <si>
    <t xml:space="preserve">  Program 6:   Doprava</t>
  </si>
  <si>
    <t xml:space="preserve">  Program 7:   Vzdelávanie</t>
  </si>
  <si>
    <t xml:space="preserve">  Program 9:  Kultúra</t>
  </si>
  <si>
    <t xml:space="preserve">  Program 10: Životné prostredie</t>
  </si>
  <si>
    <t xml:space="preserve">  Program 11: Sociálne služby</t>
  </si>
  <si>
    <t xml:space="preserve">  Program 12: Rozvoj mesta a bývanie</t>
  </si>
  <si>
    <t>Miestne médiá (rozhlas)</t>
  </si>
  <si>
    <t>Ošatné, dohody a p.</t>
  </si>
  <si>
    <t>Služby: Roznos výmerov, daň</t>
  </si>
  <si>
    <t>Úroky a poplatky súvisiace s úvermi</t>
  </si>
  <si>
    <t>01.7.0.</t>
  </si>
  <si>
    <t>Kultúrne centrum seniorov</t>
  </si>
  <si>
    <t xml:space="preserve">Odb.podujatia, networking, prieskumy a p. </t>
  </si>
  <si>
    <t>Schodok kapitálového rozpočtu</t>
  </si>
  <si>
    <t>Schodok rozpočtu</t>
  </si>
  <si>
    <t>Tlmočenie, monitoring tlače, vš.služby a p.</t>
  </si>
  <si>
    <t>CVČ sv. Svorada a Benedikta</t>
  </si>
  <si>
    <t>CVČ Piaristické gymnázium J.Braneckého</t>
  </si>
  <si>
    <t xml:space="preserve"> - Pohoda festival, s.r.o. - Festival Pohoda</t>
  </si>
  <si>
    <t xml:space="preserve"> - Artfilm, n.o. - Artfilm</t>
  </si>
  <si>
    <t xml:space="preserve"> - Tanečný klub Dukla Trenčín - Laugaricio Cup</t>
  </si>
  <si>
    <t>TJ Družstevník Opatová - dotácia na prevádzku a činnosť</t>
  </si>
  <si>
    <t>OZ Trenčiansky ÚTULOK - dotácia na prevádzku a činnosť</t>
  </si>
  <si>
    <t>TJ Družstevník Záblatie - dotácia na prevádzku a činnosť</t>
  </si>
  <si>
    <t>AS Trenčín a.s. - dotácia na prevádzku a činnosť - FŠ Na Sihoti</t>
  </si>
  <si>
    <t>Spoluúčasť na výst.a intenzifikácii kanal. systémov (Opatová,Zlatovce,Orechové,Istebník)</t>
  </si>
  <si>
    <t>Udržateľnosť projektu "Môj domov - Biele Karpaty</t>
  </si>
  <si>
    <t>Poistené - posudková činnosť</t>
  </si>
  <si>
    <t>Poplatky za nocľaháreň, prenájom fasády</t>
  </si>
  <si>
    <t xml:space="preserve">Účastnícke poplatky na konferenciách </t>
  </si>
  <si>
    <t>Reprezentačné výdavky</t>
  </si>
  <si>
    <t>Zmeny a doplnky č. 1 ÚPN</t>
  </si>
  <si>
    <t xml:space="preserve"> - Združenie informatikov samospráv</t>
  </si>
  <si>
    <t>Osobné ochranné pracovné prostriedky</t>
  </si>
  <si>
    <t xml:space="preserve">  - Trenčiansky majáles</t>
  </si>
  <si>
    <t>Organizácia mestských podujatí - materiál</t>
  </si>
  <si>
    <t>Kvety, vence, reprezentačné, materiál a pod.</t>
  </si>
  <si>
    <t>Dotácie na mládež</t>
  </si>
  <si>
    <t>PROGRAM 8:  ŠPORT A MLÁDEŽ</t>
  </si>
  <si>
    <t>PROGRAM 8:   Šport a mládež</t>
  </si>
  <si>
    <t xml:space="preserve">  Program 8:  Šport a mládež</t>
  </si>
  <si>
    <t>Dotácie na výnimočné akcie</t>
  </si>
  <si>
    <t>Granty a transfery</t>
  </si>
  <si>
    <t>007</t>
  </si>
  <si>
    <t>poplatky cudzí stravníci</t>
  </si>
  <si>
    <t>Zvuková technika - drobný materiál</t>
  </si>
  <si>
    <t>MŠ Šafárikova m.r.o. od 1.1.2014</t>
  </si>
  <si>
    <t>311</t>
  </si>
  <si>
    <t>Spoluúčasť na škodových udalostiach</t>
  </si>
  <si>
    <t xml:space="preserve">MHSL m.r.o. - Stredisko Soblahov </t>
  </si>
  <si>
    <t>Transfery - náhrady počas PN</t>
  </si>
  <si>
    <t>713</t>
  </si>
  <si>
    <t>Konvektomat</t>
  </si>
  <si>
    <t xml:space="preserve">  - Farebná veža</t>
  </si>
  <si>
    <t>Slovenský zväz protifašistických bojovníkov - ZO Trenčín - 1</t>
  </si>
  <si>
    <t>Združenie kresťanských seniorov Slovenska, klub  Trenčín - mesto</t>
  </si>
  <si>
    <t>Okresná organizácia Jednoty dôchodcov na Slovensku v Trenčíne, z toho:</t>
  </si>
  <si>
    <t xml:space="preserve">   Jednota dôchodcov - ZO č.19</t>
  </si>
  <si>
    <t xml:space="preserve">   Jednota dôchodcov - ZO č.02</t>
  </si>
  <si>
    <t xml:space="preserve">   Jednota dôchodcov - ZO č.27</t>
  </si>
  <si>
    <t xml:space="preserve">   Jednota dôchodcov - ZO č.05</t>
  </si>
  <si>
    <t xml:space="preserve">   Jednota dôchodcov - ZO č.30</t>
  </si>
  <si>
    <t xml:space="preserve">   Jednota dôchodcov - ZO č.01</t>
  </si>
  <si>
    <t xml:space="preserve">   Jednota dôchodcov - ZO č.06</t>
  </si>
  <si>
    <t>Denné centrum seniorov - Záblatie</t>
  </si>
  <si>
    <t>Denné centrum seniorov - Istebník</t>
  </si>
  <si>
    <t>Denné centrum seniorov - Zlatovce</t>
  </si>
  <si>
    <t>Denné centrum seniorov - Mierové námestie</t>
  </si>
  <si>
    <t>Denné centrum seniorov - 28.októbra</t>
  </si>
  <si>
    <t>Denné centrum seniorov - Opatová</t>
  </si>
  <si>
    <t>Denné centrum seniorov - Kubra</t>
  </si>
  <si>
    <t>Denné centrum seniorov - Kubrica</t>
  </si>
  <si>
    <t>Refugium n.o. - Zvyšovanie kvality života seniorom v DSS, ZpS a pacientov v Hospici Milosrdných sestier v Trenčíne</t>
  </si>
  <si>
    <t>Poistné: Roznos výmerov</t>
  </si>
  <si>
    <t>Služby: Auditorská činnosť</t>
  </si>
  <si>
    <t>MHSL m.r.o. - Stredisko Brezina</t>
  </si>
  <si>
    <t>R O Z P O Č E T    2 0 1 5</t>
  </si>
  <si>
    <t>* - na preklenutie časového nesúladu medzi príjmami a výdavkami rozpočtu sa môže čerpať kontokorentný úver spolu vo výške  2 500 tis. € z ČSOB a.s. s tým, že do konca roka 2015 bude predmetný úver splatený</t>
  </si>
  <si>
    <t xml:space="preserve">454 001: Prevod HV za predchádzajúci rok </t>
  </si>
  <si>
    <t>Prenájom</t>
  </si>
  <si>
    <t>Príprava a tlač strategických dokumentov</t>
  </si>
  <si>
    <t>Cestovné zamestnanci</t>
  </si>
  <si>
    <t>Implementácia projektov EU</t>
  </si>
  <si>
    <t>Realizácia mestských zásahov</t>
  </si>
  <si>
    <t>Poštové a telekom.služby, internet</t>
  </si>
  <si>
    <t>Nové opláštenie kovových stánkov</t>
  </si>
  <si>
    <t>Vojnové hroby</t>
  </si>
  <si>
    <t>Doplatok straty za rok 2014</t>
  </si>
  <si>
    <t>Záloha na rok 2015</t>
  </si>
  <si>
    <t>Podchod pre peších pod Chynoranskou traťou</t>
  </si>
  <si>
    <t>Výmena riadiacich jednotiek</t>
  </si>
  <si>
    <t xml:space="preserve">  - Festival slovenských filmov v Cran - Gevrier</t>
  </si>
  <si>
    <t xml:space="preserve">  - Farmárske jarmoky</t>
  </si>
  <si>
    <t xml:space="preserve">  - Otvorenie kultúrneho leta</t>
  </si>
  <si>
    <t>Rok 2014 - november - december</t>
  </si>
  <si>
    <t>Rok 2015: január - október</t>
  </si>
  <si>
    <t>Rok 2015: jarné a jesenné upratovanie</t>
  </si>
  <si>
    <t>Rodinné prídavky</t>
  </si>
  <si>
    <t>642</t>
  </si>
  <si>
    <t>Nákup traktora</t>
  </si>
  <si>
    <t>Konvektomat, umývačka riadu</t>
  </si>
  <si>
    <t>2 ks kombinovaný sporák</t>
  </si>
  <si>
    <t>Kombinovaný sporák, plynová panvica</t>
  </si>
  <si>
    <t>El.sporák</t>
  </si>
  <si>
    <t>Školenia</t>
  </si>
  <si>
    <t>MHSL m.r.o. :</t>
  </si>
  <si>
    <t>Ul.Opatovská - vybudovanie chodníka</t>
  </si>
  <si>
    <t>Rekonšt.ul.Šafárikova a dobudovanie stat.dopravy</t>
  </si>
  <si>
    <t>Vybavenie kuchyne</t>
  </si>
  <si>
    <t>Ostatné</t>
  </si>
  <si>
    <t>Granty</t>
  </si>
  <si>
    <t>Transfery - odchodné, PN</t>
  </si>
  <si>
    <t>Materiál: PC, Občerstvenie a pod.</t>
  </si>
  <si>
    <t>z prenajatých strojov, prístrojov, zariadení, techniky a náradia</t>
  </si>
  <si>
    <t>výmena okien</t>
  </si>
  <si>
    <t>01.1.1.</t>
  </si>
  <si>
    <t>08.2.0.</t>
  </si>
  <si>
    <t>10.7.0.</t>
  </si>
  <si>
    <t>10.9.0.</t>
  </si>
  <si>
    <t>10.2.0.</t>
  </si>
  <si>
    <t>10.1.2.</t>
  </si>
  <si>
    <t>10.4.0.</t>
  </si>
  <si>
    <t xml:space="preserve">MESTSKÉ HOSPODÁRSTVO a SPRÁVA LESOV m.r.o. </t>
  </si>
  <si>
    <t>Centrum voľného času m.r.o.</t>
  </si>
  <si>
    <t>MŠ Šafáriková m.r.o.</t>
  </si>
  <si>
    <t>09.6.0.</t>
  </si>
  <si>
    <t>Hardver</t>
  </si>
  <si>
    <t>Softver</t>
  </si>
  <si>
    <t>Europrojekty - žiadosti, správy a p.</t>
  </si>
  <si>
    <t>Stroj na výtlky</t>
  </si>
  <si>
    <t>Auto s plošinou</t>
  </si>
  <si>
    <t>09.2.1.1.</t>
  </si>
  <si>
    <t>Nižšie sekundárne vzdel. s bežnou star. (II.stupeň ZŠ)</t>
  </si>
  <si>
    <t>Primárne vzdelávanie s bežnou star. (I.stupeň ZŠ)</t>
  </si>
  <si>
    <t>09.6.0.2.</t>
  </si>
  <si>
    <t>09.6.0.3.</t>
  </si>
  <si>
    <t>Vedľajšie služby v rámci nižšieho sekund.vz. (II.st. ZŠ)</t>
  </si>
  <si>
    <t>Vedľajšie služby v rámci primárneho vz. (I.st. ZŠ)</t>
  </si>
  <si>
    <t>REZERVA</t>
  </si>
  <si>
    <t>Kultúrne strediská</t>
  </si>
  <si>
    <t>Bočkove sady - odvodnenie</t>
  </si>
  <si>
    <t>Odvodnenie MK Niva</t>
  </si>
  <si>
    <t>MHSL m.r.o.  z toho:</t>
  </si>
  <si>
    <t>Mladý záchranár (leto)</t>
  </si>
  <si>
    <t>Grafikon MHD</t>
  </si>
  <si>
    <t>Trafostanica - prekládka</t>
  </si>
  <si>
    <t>Dopravné značenie Ul. Zlatovská</t>
  </si>
  <si>
    <t>Príprava projektov EU</t>
  </si>
  <si>
    <t>Rekonštrukcia časti strechy Mier.námestie č.2</t>
  </si>
  <si>
    <t>PD - strecha</t>
  </si>
  <si>
    <t>Kotolňa - búracie práce</t>
  </si>
  <si>
    <t>PD Trafostanica</t>
  </si>
  <si>
    <t>Podnájom priestorov v športovej hale</t>
  </si>
  <si>
    <t>Prenájom priestorov futbalového štadióna</t>
  </si>
  <si>
    <t>Spracovanie ÚPN do GIS</t>
  </si>
  <si>
    <t>Aktualizácia katastrálnych máp, technickej mapy mesta, pasporty</t>
  </si>
  <si>
    <t>513 002: Prijatie bankového úveru</t>
  </si>
  <si>
    <t>Architektonické štúdie</t>
  </si>
  <si>
    <t xml:space="preserve">Poplatok za komunálny odpad </t>
  </si>
  <si>
    <t>Služby: poistenie, reklama, štúdie, posudky a p.</t>
  </si>
  <si>
    <t>Služby: posudky, reklama, kolky, poistenie a p.</t>
  </si>
  <si>
    <t>PD - Cykl.prepojenie Centrum - sídlisko Juh</t>
  </si>
  <si>
    <t>Rek.križovatky Šmidkeho Halašu Novomeského</t>
  </si>
  <si>
    <t>2 ks umývačky riadu</t>
  </si>
  <si>
    <t>Rozpočet 2015</t>
  </si>
  <si>
    <t>Bežný rozpočet 2015</t>
  </si>
  <si>
    <t>Kapitálový rozpočet 2015</t>
  </si>
  <si>
    <t>PROGRAM 1: MANAŽMENT a PLÁNOVANIE</t>
  </si>
  <si>
    <t>Upravený rozpočet 2015</t>
  </si>
  <si>
    <r>
      <t xml:space="preserve">Upravený rozpočet 2015                              - </t>
    </r>
    <r>
      <rPr>
        <b/>
        <sz val="8"/>
        <color indexed="9"/>
        <rFont val="Arial CE"/>
        <charset val="238"/>
      </rPr>
      <t xml:space="preserve">bežné výdavky   </t>
    </r>
  </si>
  <si>
    <r>
      <t>Upravený rozpočet 2015 -</t>
    </r>
    <r>
      <rPr>
        <b/>
        <sz val="8"/>
        <color indexed="9"/>
        <rFont val="Arial CE"/>
        <charset val="238"/>
      </rPr>
      <t xml:space="preserve"> kapitálové výdavky</t>
    </r>
  </si>
  <si>
    <t>z prenájmu krytej a letnej plavárne</t>
  </si>
  <si>
    <t>Chladnička</t>
  </si>
  <si>
    <t>Elektrická smažička</t>
  </si>
  <si>
    <t>Plynový sporák s el.rúrou</t>
  </si>
  <si>
    <t>2 ks plyn.sporáky s elek.rúrou, robot, parný kotol</t>
  </si>
  <si>
    <t xml:space="preserve">Plynový sporák s el.rúrou, chladnička, mraznička </t>
  </si>
  <si>
    <t>Elektrická panvica</t>
  </si>
  <si>
    <t>Odvoz vedľajších živočíšnych produktov</t>
  </si>
  <si>
    <t>Dotácia KC Aktivity, o.z.</t>
  </si>
  <si>
    <t>Dotácia KC Stred, o.z.</t>
  </si>
  <si>
    <t>821 005 - Splácanie istín z dohôd o reštrukturalizácii dlhu</t>
  </si>
  <si>
    <t>Československá obchodná banka a.s. - istina z dohody o reštrukturalizácii dlhu</t>
  </si>
  <si>
    <t>Československá obchodná banka a.s. - splátky verejného dlhu</t>
  </si>
  <si>
    <t>Slovenská sporiteľňa a.s. - istina z dohody o reštrukturalizácii dlhu</t>
  </si>
  <si>
    <t xml:space="preserve"> - TJ Družstevník Záblatie - dotácia na činnosť klubu</t>
  </si>
  <si>
    <t xml:space="preserve"> - TJ Družstevník Opatová - dotácia na činnosť klubu</t>
  </si>
  <si>
    <t>DHZ Opatová - činnosť dobrovoľného hasičského zboru</t>
  </si>
  <si>
    <t>DHZ Záblatie - činnosť dobrovoľného hasičského zboru</t>
  </si>
  <si>
    <t>DHZ Kubrica - činnosť dobrovoľného hasičského zboru</t>
  </si>
  <si>
    <t>Dary, sponzorské</t>
  </si>
  <si>
    <t>PD - Priechod pre chodcov ul.Hodžova</t>
  </si>
  <si>
    <t>Priechod pre chodcov ul. Hodžova</t>
  </si>
  <si>
    <t>Chodník na ul. Karpatská</t>
  </si>
  <si>
    <t>PD Nozdrkovský chodník v úseku ČOV</t>
  </si>
  <si>
    <t xml:space="preserve">Rekonštrukcia   </t>
  </si>
  <si>
    <t>TJ Družstevník Opatová - energie</t>
  </si>
  <si>
    <t xml:space="preserve"> - Hala, o.z. - HALA 2015</t>
  </si>
  <si>
    <t xml:space="preserve"> - FS Nadšenci o.z. - 8.Tanečný dom v Trenčíne</t>
  </si>
  <si>
    <t xml:space="preserve"> - AS Trenčín a.s. - Hviezdy deťom</t>
  </si>
  <si>
    <t xml:space="preserve"> - HoryZonty o.z. - HoryZonty</t>
  </si>
  <si>
    <t xml:space="preserve"> - Beňadik n.f. - Mariánsky koncert</t>
  </si>
  <si>
    <t xml:space="preserve"> - Kolomaž o.z. - Sám na javisku</t>
  </si>
  <si>
    <t xml:space="preserve"> - Agentúra Crea s.r.o. - Trenčiansky Septemberfest 2015</t>
  </si>
  <si>
    <t xml:space="preserve"> - Klub priateľov vážnej hudby v Trenčín o.z. - Múzy pod hradom</t>
  </si>
  <si>
    <t>PD - športový areál</t>
  </si>
  <si>
    <t>Referendum 2015</t>
  </si>
  <si>
    <t xml:space="preserve"> - pozemky</t>
  </si>
  <si>
    <t>231</t>
  </si>
  <si>
    <t>Príjem z predaja budov</t>
  </si>
  <si>
    <t xml:space="preserve"> - príjem z predaja domov - MŽT</t>
  </si>
  <si>
    <t xml:space="preserve"> - príjem z predaja bytov</t>
  </si>
  <si>
    <t>Vrátenie nevyčerpaného grantu z roku 2014</t>
  </si>
  <si>
    <t>Dom smútku Juh - rekonštr.a zateplenie strechy</t>
  </si>
  <si>
    <t>MČ Západ - rozšírenie cintorína Zlatovce</t>
  </si>
  <si>
    <t>MČ Sever - rekonštrukcia rozhlasu v Kubrej</t>
  </si>
  <si>
    <t>Nozdrkovský chodník</t>
  </si>
  <si>
    <t>MČ Juh - ul.Novomeského - rekonštrukcia MK</t>
  </si>
  <si>
    <t>MČ Juh - ul.Šafárikova - Liptovská</t>
  </si>
  <si>
    <t>MČ Juh - ul.Kyjevská - stanovištia pre smetné nádoby</t>
  </si>
  <si>
    <t>MČ Juh - ul. Západná - PD rekonštrukcia MK</t>
  </si>
  <si>
    <t>MČ Juh - ul. Západná - rekonštrukcia MK</t>
  </si>
  <si>
    <t>MČ Juh - ul. Východná - PD chodník</t>
  </si>
  <si>
    <t>MČ Juh - ul. Šafárikova - PD parkovanie</t>
  </si>
  <si>
    <t>MČ Juh - ul. Novomeského  - rekonštrukcia</t>
  </si>
  <si>
    <t>MČ Juh - Halalovka - chodník</t>
  </si>
  <si>
    <t>MČ Juh - Saratovská  - PD chodník</t>
  </si>
  <si>
    <t>MČ Juh - Saratovská  - PD parkovanie</t>
  </si>
  <si>
    <t>MČ Juh - Východná - chodník</t>
  </si>
  <si>
    <t>MČ Juh - M.Bela - Halalovka - priechod pre chodcov</t>
  </si>
  <si>
    <t>MČ Sever - Pod Sokolice - rekonštrukcia</t>
  </si>
  <si>
    <t>MČ Sever - Gen.Viesta - chodník</t>
  </si>
  <si>
    <t xml:space="preserve">MČ Sever - PD Šoltésovej </t>
  </si>
  <si>
    <t>MČ Sever - ul. I.Krasku - parkovanie</t>
  </si>
  <si>
    <t>MČ Sever - Opatovská + Žilinská</t>
  </si>
  <si>
    <t>MČ Stred - Pod Komárky - rekonštrukcia</t>
  </si>
  <si>
    <t>MČ Stred - PD Pod Komárky - rekonštrukcia</t>
  </si>
  <si>
    <t>MČ Západ - ul. Jahodová - nová komunikácia</t>
  </si>
  <si>
    <t>Nevyčerpaná dotácia z roku 2014</t>
  </si>
  <si>
    <t>strecha + múr</t>
  </si>
  <si>
    <t>MČ Západ - Futbalové ihrisko Záblatie</t>
  </si>
  <si>
    <t>Vrátenie nevyčerpanej dotácie z roku 2014</t>
  </si>
  <si>
    <t>Nevyčerpané fin.prostriedky z roku 2014</t>
  </si>
  <si>
    <t>453: Nevyčerpaná dotácia za rok 2014</t>
  </si>
  <si>
    <t>513: Prijatie dlhodobého účelového úveru</t>
  </si>
  <si>
    <t>Československá obchodná banka a.s. - splatenie úveru</t>
  </si>
  <si>
    <t>PD - rekonštrukcia strechy</t>
  </si>
  <si>
    <t>MČ Sever - údržba povrchu hrádze</t>
  </si>
  <si>
    <t>MČ Stred -PD  rekonštrukcia detského ihriska na Karpatskej ul.</t>
  </si>
  <si>
    <t>MČ Stred - rekonštr. Priechodu pre chodcov na Ul.Legionárska pri Perle,na Ul.Soblahovská pri cintoríne, na Ul.Piaristická pri poliklinike</t>
  </si>
  <si>
    <t>MČ Stred - PD - priechod pre chodcov na Ul.Súdna</t>
  </si>
  <si>
    <t>MČ Stred - rekonštr.schodov na ul.Cintorínska a Nová</t>
  </si>
  <si>
    <t>MČ Stred - rekonštr. chodníka na Nám.sv.Anny</t>
  </si>
  <si>
    <t>MČ Stred - rekonštr.cesty na hrad</t>
  </si>
  <si>
    <t>MČ Stred - Čerešňový sad v lesoparku Brezina-vybudovanie altánku</t>
  </si>
  <si>
    <t>MČ Stred - Čerešňový sad v lesoparku Brezina</t>
  </si>
  <si>
    <t>MČ Stred -rekonštrukcia domu smútku v Biskupiciach</t>
  </si>
  <si>
    <t>MČ Stred - MŠ Soblahovská-úprava soc.zariadení</t>
  </si>
  <si>
    <t>MČ Stred - rekonštrukcia umyvárky pre deti</t>
  </si>
  <si>
    <t>MČ Juh - sociálne zariadenia</t>
  </si>
  <si>
    <t>PD - Rek.križovatky Šmidkeho Halašu Novomeského</t>
  </si>
  <si>
    <t>Dar na MDD</t>
  </si>
  <si>
    <t>TJ Družstevník Záblatie -energie</t>
  </si>
  <si>
    <t>Ora et ars</t>
  </si>
  <si>
    <t>MČ Sever - PD na dopravné značenie MK Žilinská</t>
  </si>
  <si>
    <t>PD - Rozšírenie cintorína v Zlatovciach (MČ Západ 988 €)</t>
  </si>
  <si>
    <t>Poistné do poisťovní - roznos dotazníkov</t>
  </si>
  <si>
    <t xml:space="preserve"> - AS Trenčín, a.s. - projekcia športového zápasu a ukončenie najvyššej futbalovej súťaže</t>
  </si>
  <si>
    <t xml:space="preserve"> - Hádzanársky klub Štart o.z. - Oslavy 90 rokov hádzanej v Trenčíne</t>
  </si>
  <si>
    <t xml:space="preserve"> - Kraso Trenčín o.z.: činnosť</t>
  </si>
  <si>
    <t>Klimatizácia podkrovie Mierové nám.č.2</t>
  </si>
  <si>
    <t>Valec k stroju na výtlky</t>
  </si>
  <si>
    <t>Rekonštrukcia Mierového námestia</t>
  </si>
  <si>
    <t xml:space="preserve">MČ Stred - rekonštrukcia  </t>
  </si>
  <si>
    <t>Zimný štadion - rekonštrukcia šatní</t>
  </si>
  <si>
    <t>Ul.Soblahovská- betónová zástena pri smet.nádobách</t>
  </si>
  <si>
    <t>MČ Stred -rekonštrukcia detského ihriska na Karpatskej ul.</t>
  </si>
  <si>
    <t>Kastrácia túlavých mačiek</t>
  </si>
  <si>
    <t>Rozšírenie a modernizácia kamer.systému Mestskej polície v Trenčíne</t>
  </si>
  <si>
    <t>Dotácia MK SR - Pri trenčianskej bráne</t>
  </si>
  <si>
    <t>Dotácia MK SR - Ora et Ars</t>
  </si>
  <si>
    <t>Dotácia MK SR - Farebná veža</t>
  </si>
  <si>
    <t>09.5.0</t>
  </si>
  <si>
    <t xml:space="preserve"> - SHŠ Wagus, n.o.  -  Trenčianske historické slávnosti</t>
  </si>
  <si>
    <t>Dotácia KC Kubra, o.z.</t>
  </si>
  <si>
    <t>Príspevok obyvateľovi mesta na sociálnu službu</t>
  </si>
  <si>
    <t>Návrh na zmenu +/-</t>
  </si>
  <si>
    <t>Návrh na Zmenu Programového rozpočtu Mesta Trenčín na rok 2015</t>
  </si>
  <si>
    <t>Zmena rozpočtu +/-</t>
  </si>
  <si>
    <t>Upravený bežný rozpočet 2015</t>
  </si>
  <si>
    <t>Upravený kapitálový rozpočet 2015</t>
  </si>
  <si>
    <t>príjmyz dobropisov</t>
  </si>
  <si>
    <t>príjmy z vratiek</t>
  </si>
  <si>
    <t>017</t>
  </si>
  <si>
    <t>019</t>
  </si>
  <si>
    <t>príjmy z refundácie</t>
  </si>
  <si>
    <t>príjmy z darov</t>
  </si>
  <si>
    <t>006</t>
  </si>
  <si>
    <t>z dobropisov</t>
  </si>
  <si>
    <t>vratky</t>
  </si>
  <si>
    <t>Stavebná, bežná a zimná údržba</t>
  </si>
  <si>
    <t>MČ Sever - PD ul. I.Krasku - parkovanie</t>
  </si>
  <si>
    <t>Projektová dokumentácia</t>
  </si>
  <si>
    <t>Športový areál</t>
  </si>
  <si>
    <t>Rímskokatolícka cirkev Farnosť Trenčín - Orechové - dotácia na opravu dažďovej kanalizácie pred kostolom v Orechovom</t>
  </si>
  <si>
    <t>Rekonštrukcia komunikácií, obrubníkov a odvodnenia cintorína na Juhu</t>
  </si>
  <si>
    <t>Štúdia modernizácie VO v meste</t>
  </si>
  <si>
    <t>Židovská náboženská obec  Trenčín - dotácia na opravu strechy Trenčianskej synagógy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</si>
</sst>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1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i/>
      <sz val="9"/>
      <name val="Arial CE"/>
      <charset val="238"/>
    </font>
    <font>
      <b/>
      <i/>
      <sz val="10"/>
      <name val="Arial CE"/>
      <family val="2"/>
      <charset val="238"/>
    </font>
    <font>
      <sz val="9"/>
      <name val="Arial CE"/>
      <charset val="238"/>
    </font>
    <font>
      <b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 CE"/>
      <charset val="238"/>
    </font>
    <font>
      <b/>
      <sz val="14"/>
      <color indexed="9"/>
      <name val="Arial CE"/>
      <charset val="238"/>
    </font>
    <font>
      <b/>
      <sz val="11"/>
      <color indexed="9"/>
      <name val="Arial CE"/>
      <charset val="238"/>
    </font>
    <font>
      <b/>
      <sz val="12"/>
      <name val="Arial CE"/>
      <family val="2"/>
      <charset val="238"/>
    </font>
    <font>
      <sz val="8"/>
      <color indexed="9"/>
      <name val="Arial CE"/>
      <charset val="238"/>
    </font>
    <font>
      <b/>
      <sz val="22"/>
      <color indexed="18"/>
      <name val="Tahoma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12"/>
      <color indexed="9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b/>
      <i/>
      <sz val="14"/>
      <color indexed="9"/>
      <name val="Arial CE"/>
      <family val="2"/>
      <charset val="238"/>
    </font>
    <font>
      <sz val="14"/>
      <color indexed="9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i/>
      <sz val="12"/>
      <color indexed="9"/>
      <name val="Arial CE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b/>
      <sz val="10"/>
      <color indexed="18"/>
      <name val="Arial CE"/>
      <charset val="238"/>
    </font>
    <font>
      <sz val="8"/>
      <color indexed="9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i/>
      <sz val="11"/>
      <color indexed="56"/>
      <name val="Arial CE"/>
      <family val="2"/>
      <charset val="238"/>
    </font>
    <font>
      <b/>
      <sz val="9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0"/>
      <color indexed="9"/>
      <name val="Arial CE"/>
      <family val="2"/>
      <charset val="238"/>
    </font>
    <font>
      <b/>
      <i/>
      <sz val="14"/>
      <color indexed="9"/>
      <name val="Arial CE"/>
      <family val="2"/>
      <charset val="238"/>
    </font>
    <font>
      <b/>
      <i/>
      <sz val="16"/>
      <color indexed="9"/>
      <name val="Arial CE"/>
      <family val="2"/>
      <charset val="238"/>
    </font>
    <font>
      <b/>
      <sz val="16"/>
      <color indexed="9"/>
      <name val="Arial CE"/>
      <family val="2"/>
      <charset val="238"/>
    </font>
    <font>
      <b/>
      <sz val="11"/>
      <color indexed="9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color indexed="9"/>
      <name val="Arial CE"/>
      <charset val="238"/>
    </font>
    <font>
      <b/>
      <sz val="20"/>
      <color indexed="18"/>
      <name val="Arial CE"/>
      <family val="2"/>
      <charset val="238"/>
    </font>
    <font>
      <sz val="20"/>
      <color indexed="18"/>
      <name val="Arial CE"/>
      <family val="2"/>
      <charset val="238"/>
    </font>
    <font>
      <sz val="12"/>
      <color indexed="9"/>
      <name val="Arial"/>
      <family val="2"/>
      <charset val="238"/>
    </font>
    <font>
      <i/>
      <sz val="9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b/>
      <i/>
      <sz val="11"/>
      <color indexed="9"/>
      <name val="Arial CE"/>
      <charset val="238"/>
    </font>
    <font>
      <b/>
      <i/>
      <sz val="9"/>
      <color indexed="56"/>
      <name val="Arial"/>
      <family val="2"/>
      <charset val="238"/>
    </font>
    <font>
      <sz val="11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8"/>
      <name val="Tahoma"/>
      <family val="2"/>
      <charset val="238"/>
    </font>
    <font>
      <b/>
      <i/>
      <vertAlign val="superscript"/>
      <sz val="12"/>
      <color indexed="9"/>
      <name val="Arial CE"/>
      <family val="2"/>
      <charset val="238"/>
    </font>
    <font>
      <b/>
      <sz val="16"/>
      <color indexed="30"/>
      <name val="Arial Black"/>
      <family val="2"/>
      <charset val="238"/>
    </font>
    <font>
      <b/>
      <sz val="16"/>
      <color indexed="18"/>
      <name val="Tahoma"/>
      <family val="2"/>
      <charset val="238"/>
    </font>
    <font>
      <i/>
      <sz val="8"/>
      <name val="Arial CE"/>
      <charset val="238"/>
    </font>
    <font>
      <b/>
      <i/>
      <sz val="11"/>
      <name val="Arial CE"/>
      <charset val="238"/>
    </font>
    <font>
      <b/>
      <sz val="12"/>
      <color indexed="18"/>
      <name val="Tahoma"/>
      <family val="2"/>
      <charset val="238"/>
    </font>
    <font>
      <b/>
      <sz val="20"/>
      <color indexed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 CE"/>
      <charset val="238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  <font>
      <b/>
      <sz val="20"/>
      <color rgb="FF000080"/>
      <name val="Tahoma"/>
      <family val="2"/>
      <charset val="238"/>
    </font>
    <font>
      <b/>
      <i/>
      <sz val="12"/>
      <color theme="0"/>
      <name val="Arial CE"/>
      <family val="2"/>
      <charset val="238"/>
    </font>
    <font>
      <b/>
      <sz val="10"/>
      <color rgb="FFFF0000"/>
      <name val="Arial CE"/>
      <charset val="238"/>
    </font>
    <font>
      <b/>
      <sz val="10"/>
      <color theme="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83" fillId="0" borderId="0"/>
  </cellStyleXfs>
  <cellXfs count="906">
    <xf numFmtId="0" fontId="0" fillId="0" borderId="0" xfId="0"/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3" fontId="0" fillId="0" borderId="0" xfId="0" applyNumberFormat="1"/>
    <xf numFmtId="0" fontId="4" fillId="2" borderId="2" xfId="0" applyFont="1" applyFill="1" applyBorder="1"/>
    <xf numFmtId="0" fontId="0" fillId="0" borderId="0" xfId="0" applyBorder="1"/>
    <xf numFmtId="0" fontId="19" fillId="3" borderId="1" xfId="0" applyFont="1" applyFill="1" applyBorder="1" applyAlignment="1">
      <alignment horizontal="center"/>
    </xf>
    <xf numFmtId="0" fontId="27" fillId="3" borderId="5" xfId="0" applyFont="1" applyFill="1" applyBorder="1" applyAlignment="1"/>
    <xf numFmtId="0" fontId="19" fillId="3" borderId="3" xfId="0" applyFont="1" applyFill="1" applyBorder="1" applyAlignment="1">
      <alignment horizontal="center"/>
    </xf>
    <xf numFmtId="0" fontId="27" fillId="3" borderId="6" xfId="0" applyFont="1" applyFill="1" applyBorder="1" applyAlignment="1"/>
    <xf numFmtId="0" fontId="0" fillId="0" borderId="0" xfId="0" applyFill="1" applyBorder="1"/>
    <xf numFmtId="49" fontId="3" fillId="0" borderId="1" xfId="0" applyNumberFormat="1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7" fillId="3" borderId="8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0" xfId="0" applyFont="1" applyBorder="1"/>
    <xf numFmtId="0" fontId="4" fillId="2" borderId="6" xfId="0" applyFont="1" applyFill="1" applyBorder="1"/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3" fillId="0" borderId="6" xfId="0" applyFont="1" applyFill="1" applyBorder="1"/>
    <xf numFmtId="49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3" fillId="2" borderId="6" xfId="0" applyFont="1" applyFill="1" applyBorder="1"/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7" fillId="0" borderId="6" xfId="0" applyFont="1" applyBorder="1"/>
    <xf numFmtId="0" fontId="3" fillId="0" borderId="6" xfId="0" applyFont="1" applyBorder="1"/>
    <xf numFmtId="49" fontId="4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7" fillId="0" borderId="6" xfId="0" applyFont="1" applyFill="1" applyBorder="1"/>
    <xf numFmtId="49" fontId="18" fillId="2" borderId="3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4" fillId="0" borderId="6" xfId="0" applyFont="1" applyBorder="1"/>
    <xf numFmtId="0" fontId="3" fillId="0" borderId="5" xfId="0" applyFont="1" applyBorder="1"/>
    <xf numFmtId="49" fontId="4" fillId="2" borderId="1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7" fillId="0" borderId="5" xfId="0" applyFont="1" applyBorder="1"/>
    <xf numFmtId="0" fontId="3" fillId="0" borderId="12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3" fillId="0" borderId="6" xfId="0" applyNumberFormat="1" applyFont="1" applyFill="1" applyBorder="1"/>
    <xf numFmtId="0" fontId="6" fillId="0" borderId="6" xfId="0" applyFont="1" applyFill="1" applyBorder="1"/>
    <xf numFmtId="0" fontId="6" fillId="2" borderId="5" xfId="0" applyFont="1" applyFill="1" applyBorder="1"/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4" fillId="2" borderId="6" xfId="0" applyFont="1" applyFill="1" applyBorder="1"/>
    <xf numFmtId="49" fontId="18" fillId="2" borderId="11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/>
    <xf numFmtId="0" fontId="47" fillId="5" borderId="13" xfId="0" applyFont="1" applyFill="1" applyBorder="1"/>
    <xf numFmtId="49" fontId="48" fillId="5" borderId="9" xfId="0" applyNumberFormat="1" applyFont="1" applyFill="1" applyBorder="1" applyAlignment="1">
      <alignment horizontal="center"/>
    </xf>
    <xf numFmtId="0" fontId="47" fillId="5" borderId="0" xfId="0" applyFont="1" applyFill="1" applyBorder="1"/>
    <xf numFmtId="0" fontId="47" fillId="5" borderId="9" xfId="0" applyFont="1" applyFill="1" applyBorder="1"/>
    <xf numFmtId="0" fontId="47" fillId="5" borderId="14" xfId="0" applyFont="1" applyFill="1" applyBorder="1"/>
    <xf numFmtId="49" fontId="48" fillId="5" borderId="15" xfId="0" applyNumberFormat="1" applyFont="1" applyFill="1" applyBorder="1" applyAlignment="1">
      <alignment horizontal="center"/>
    </xf>
    <xf numFmtId="49" fontId="48" fillId="5" borderId="16" xfId="0" applyNumberFormat="1" applyFont="1" applyFill="1" applyBorder="1" applyAlignment="1">
      <alignment horizontal="center"/>
    </xf>
    <xf numFmtId="0" fontId="49" fillId="5" borderId="17" xfId="0" applyFont="1" applyFill="1" applyBorder="1"/>
    <xf numFmtId="0" fontId="47" fillId="5" borderId="15" xfId="0" applyFont="1" applyFill="1" applyBorder="1"/>
    <xf numFmtId="0" fontId="3" fillId="0" borderId="10" xfId="0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2" borderId="2" xfId="0" applyFont="1" applyFill="1" applyBorder="1"/>
    <xf numFmtId="49" fontId="18" fillId="0" borderId="1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9" fontId="50" fillId="6" borderId="1" xfId="0" applyNumberFormat="1" applyFont="1" applyFill="1" applyBorder="1" applyAlignment="1">
      <alignment horizontal="center"/>
    </xf>
    <xf numFmtId="49" fontId="50" fillId="6" borderId="2" xfId="0" applyNumberFormat="1" applyFont="1" applyFill="1" applyBorder="1" applyAlignment="1">
      <alignment horizontal="center"/>
    </xf>
    <xf numFmtId="0" fontId="51" fillId="6" borderId="19" xfId="0" applyFont="1" applyFill="1" applyBorder="1"/>
    <xf numFmtId="0" fontId="3" fillId="2" borderId="20" xfId="0" applyFont="1" applyFill="1" applyBorder="1" applyAlignment="1">
      <alignment horizontal="center"/>
    </xf>
    <xf numFmtId="49" fontId="50" fillId="6" borderId="21" xfId="0" applyNumberFormat="1" applyFont="1" applyFill="1" applyBorder="1" applyAlignment="1">
      <alignment horizontal="center"/>
    </xf>
    <xf numFmtId="49" fontId="50" fillId="6" borderId="22" xfId="0" applyNumberFormat="1" applyFont="1" applyFill="1" applyBorder="1" applyAlignment="1">
      <alignment horizontal="center"/>
    </xf>
    <xf numFmtId="0" fontId="51" fillId="6" borderId="22" xfId="0" applyFont="1" applyFill="1" applyBorder="1"/>
    <xf numFmtId="0" fontId="2" fillId="2" borderId="18" xfId="0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0" fontId="34" fillId="7" borderId="17" xfId="0" applyFont="1" applyFill="1" applyBorder="1" applyAlignment="1"/>
    <xf numFmtId="49" fontId="5" fillId="2" borderId="21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0" fontId="3" fillId="0" borderId="23" xfId="0" applyFont="1" applyBorder="1"/>
    <xf numFmtId="0" fontId="19" fillId="8" borderId="5" xfId="0" applyFont="1" applyFill="1" applyBorder="1"/>
    <xf numFmtId="0" fontId="15" fillId="8" borderId="6" xfId="0" applyFont="1" applyFill="1" applyBorder="1"/>
    <xf numFmtId="49" fontId="56" fillId="6" borderId="7" xfId="0" applyNumberFormat="1" applyFont="1" applyFill="1" applyBorder="1" applyAlignment="1">
      <alignment horizontal="center"/>
    </xf>
    <xf numFmtId="49" fontId="56" fillId="6" borderId="24" xfId="0" applyNumberFormat="1" applyFont="1" applyFill="1" applyBorder="1" applyAlignment="1">
      <alignment horizontal="center"/>
    </xf>
    <xf numFmtId="49" fontId="54" fillId="6" borderId="24" xfId="0" applyNumberFormat="1" applyFont="1" applyFill="1" applyBorder="1" applyAlignment="1">
      <alignment horizontal="center"/>
    </xf>
    <xf numFmtId="0" fontId="57" fillId="6" borderId="8" xfId="0" applyFont="1" applyFill="1" applyBorder="1"/>
    <xf numFmtId="0" fontId="11" fillId="2" borderId="5" xfId="0" applyFont="1" applyFill="1" applyBorder="1" applyAlignment="1"/>
    <xf numFmtId="0" fontId="16" fillId="2" borderId="26" xfId="0" applyFont="1" applyFill="1" applyBorder="1" applyAlignment="1"/>
    <xf numFmtId="49" fontId="4" fillId="0" borderId="4" xfId="0" applyNumberFormat="1" applyFont="1" applyFill="1" applyBorder="1" applyAlignment="1">
      <alignment horizontal="center"/>
    </xf>
    <xf numFmtId="0" fontId="31" fillId="7" borderId="27" xfId="0" applyFont="1" applyFill="1" applyBorder="1" applyAlignment="1">
      <alignment horizontal="left" vertical="center"/>
    </xf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40" fillId="9" borderId="28" xfId="0" applyFont="1" applyFill="1" applyBorder="1" applyAlignment="1"/>
    <xf numFmtId="0" fontId="39" fillId="9" borderId="6" xfId="0" applyFont="1" applyFill="1" applyBorder="1" applyAlignment="1"/>
    <xf numFmtId="0" fontId="3" fillId="11" borderId="2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right"/>
    </xf>
    <xf numFmtId="0" fontId="0" fillId="11" borderId="0" xfId="0" applyFill="1"/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3" fontId="21" fillId="11" borderId="29" xfId="0" applyNumberFormat="1" applyFont="1" applyFill="1" applyBorder="1"/>
    <xf numFmtId="0" fontId="35" fillId="0" borderId="0" xfId="0" applyFont="1" applyBorder="1" applyAlignment="1"/>
    <xf numFmtId="0" fontId="3" fillId="11" borderId="24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3" fontId="21" fillId="11" borderId="30" xfId="0" applyNumberFormat="1" applyFont="1" applyFill="1" applyBorder="1"/>
    <xf numFmtId="3" fontId="21" fillId="11" borderId="12" xfId="0" applyNumberFormat="1" applyFont="1" applyFill="1" applyBorder="1" applyAlignment="1">
      <alignment horizontal="right"/>
    </xf>
    <xf numFmtId="3" fontId="21" fillId="11" borderId="31" xfId="0" applyNumberFormat="1" applyFont="1" applyFill="1" applyBorder="1" applyAlignment="1">
      <alignment horizontal="right"/>
    </xf>
    <xf numFmtId="3" fontId="21" fillId="11" borderId="32" xfId="0" applyNumberFormat="1" applyFont="1" applyFill="1" applyBorder="1" applyAlignment="1">
      <alignment horizontal="right"/>
    </xf>
    <xf numFmtId="0" fontId="2" fillId="11" borderId="2" xfId="0" applyFont="1" applyFill="1" applyBorder="1" applyAlignment="1">
      <alignment horizontal="center"/>
    </xf>
    <xf numFmtId="49" fontId="13" fillId="11" borderId="3" xfId="0" applyNumberFormat="1" applyFont="1" applyFill="1" applyBorder="1" applyAlignment="1">
      <alignment horizontal="center"/>
    </xf>
    <xf numFmtId="3" fontId="6" fillId="11" borderId="12" xfId="0" applyNumberFormat="1" applyFont="1" applyFill="1" applyBorder="1" applyAlignment="1">
      <alignment horizontal="right"/>
    </xf>
    <xf numFmtId="3" fontId="13" fillId="11" borderId="0" xfId="0" applyNumberFormat="1" applyFont="1" applyFill="1" applyBorder="1" applyAlignment="1">
      <alignment horizontal="right"/>
    </xf>
    <xf numFmtId="49" fontId="13" fillId="11" borderId="6" xfId="0" applyNumberFormat="1" applyFont="1" applyFill="1" applyBorder="1" applyAlignment="1">
      <alignment horizontal="center"/>
    </xf>
    <xf numFmtId="0" fontId="9" fillId="4" borderId="26" xfId="0" applyFont="1" applyFill="1" applyBorder="1" applyAlignment="1"/>
    <xf numFmtId="0" fontId="2" fillId="11" borderId="3" xfId="0" applyFont="1" applyFill="1" applyBorder="1" applyAlignment="1">
      <alignment horizontal="center"/>
    </xf>
    <xf numFmtId="3" fontId="6" fillId="11" borderId="33" xfId="0" applyNumberFormat="1" applyFont="1" applyFill="1" applyBorder="1"/>
    <xf numFmtId="0" fontId="28" fillId="11" borderId="0" xfId="0" applyFont="1" applyFill="1"/>
    <xf numFmtId="49" fontId="1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3" fillId="11" borderId="3" xfId="0" applyFont="1" applyFill="1" applyBorder="1" applyAlignment="1">
      <alignment horizontal="center"/>
    </xf>
    <xf numFmtId="49" fontId="13" fillId="12" borderId="3" xfId="0" applyNumberFormat="1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3" fontId="21" fillId="11" borderId="10" xfId="0" applyNumberFormat="1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3" fontId="21" fillId="11" borderId="34" xfId="0" applyNumberFormat="1" applyFont="1" applyFill="1" applyBorder="1"/>
    <xf numFmtId="0" fontId="3" fillId="11" borderId="28" xfId="0" applyFont="1" applyFill="1" applyBorder="1" applyAlignment="1">
      <alignment horizontal="center"/>
    </xf>
    <xf numFmtId="0" fontId="8" fillId="2" borderId="6" xfId="0" applyFont="1" applyFill="1" applyBorder="1"/>
    <xf numFmtId="0" fontId="8" fillId="0" borderId="6" xfId="0" applyFont="1" applyBorder="1"/>
    <xf numFmtId="49" fontId="13" fillId="11" borderId="28" xfId="0" applyNumberFormat="1" applyFont="1" applyFill="1" applyBorder="1" applyAlignment="1">
      <alignment horizontal="center"/>
    </xf>
    <xf numFmtId="3" fontId="9" fillId="11" borderId="29" xfId="0" applyNumberFormat="1" applyFont="1" applyFill="1" applyBorder="1"/>
    <xf numFmtId="3" fontId="26" fillId="11" borderId="29" xfId="0" applyNumberFormat="1" applyFont="1" applyFill="1" applyBorder="1"/>
    <xf numFmtId="3" fontId="26" fillId="11" borderId="33" xfId="0" applyNumberFormat="1" applyFont="1" applyFill="1" applyBorder="1"/>
    <xf numFmtId="49" fontId="4" fillId="11" borderId="28" xfId="0" applyNumberFormat="1" applyFont="1" applyFill="1" applyBorder="1" applyAlignment="1">
      <alignment horizontal="center"/>
    </xf>
    <xf numFmtId="49" fontId="40" fillId="11" borderId="3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0" fillId="11" borderId="0" xfId="0" applyNumberFormat="1" applyFill="1"/>
    <xf numFmtId="0" fontId="43" fillId="7" borderId="35" xfId="0" applyFont="1" applyFill="1" applyBorder="1" applyAlignment="1">
      <alignment horizontal="left" vertical="center"/>
    </xf>
    <xf numFmtId="0" fontId="6" fillId="4" borderId="26" xfId="0" applyFont="1" applyFill="1" applyBorder="1" applyAlignment="1"/>
    <xf numFmtId="0" fontId="9" fillId="4" borderId="26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4" fillId="12" borderId="3" xfId="0" applyNumberFormat="1" applyFont="1" applyFill="1" applyBorder="1" applyAlignment="1">
      <alignment horizontal="center"/>
    </xf>
    <xf numFmtId="49" fontId="4" fillId="11" borderId="6" xfId="0" applyNumberFormat="1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49" fontId="4" fillId="11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5" fillId="11" borderId="3" xfId="0" applyNumberFormat="1" applyFont="1" applyFill="1" applyBorder="1" applyAlignment="1">
      <alignment horizontal="center"/>
    </xf>
    <xf numFmtId="49" fontId="3" fillId="11" borderId="2" xfId="0" applyNumberFormat="1" applyFont="1" applyFill="1" applyBorder="1" applyAlignment="1">
      <alignment horizontal="center"/>
    </xf>
    <xf numFmtId="0" fontId="15" fillId="11" borderId="6" xfId="0" applyFont="1" applyFill="1" applyBorder="1"/>
    <xf numFmtId="0" fontId="6" fillId="0" borderId="6" xfId="0" applyFont="1" applyBorder="1"/>
    <xf numFmtId="0" fontId="15" fillId="8" borderId="0" xfId="0" applyFont="1" applyFill="1" applyBorder="1"/>
    <xf numFmtId="49" fontId="5" fillId="2" borderId="7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34" fillId="7" borderId="15" xfId="0" applyFont="1" applyFill="1" applyBorder="1" applyAlignment="1"/>
    <xf numFmtId="0" fontId="3" fillId="3" borderId="2" xfId="0" applyFont="1" applyFill="1" applyBorder="1" applyAlignment="1"/>
    <xf numFmtId="0" fontId="21" fillId="11" borderId="2" xfId="0" applyFont="1" applyFill="1" applyBorder="1"/>
    <xf numFmtId="0" fontId="3" fillId="3" borderId="4" xfId="0" applyFont="1" applyFill="1" applyBorder="1" applyAlignment="1"/>
    <xf numFmtId="0" fontId="3" fillId="3" borderId="24" xfId="0" applyFont="1" applyFill="1" applyBorder="1" applyAlignment="1"/>
    <xf numFmtId="3" fontId="46" fillId="13" borderId="14" xfId="0" applyNumberFormat="1" applyFont="1" applyFill="1" applyBorder="1" applyAlignment="1">
      <alignment vertical="center"/>
    </xf>
    <xf numFmtId="3" fontId="32" fillId="13" borderId="10" xfId="0" applyNumberFormat="1" applyFont="1" applyFill="1" applyBorder="1" applyAlignment="1"/>
    <xf numFmtId="0" fontId="10" fillId="3" borderId="8" xfId="0" applyFont="1" applyFill="1" applyBorder="1" applyAlignment="1"/>
    <xf numFmtId="49" fontId="4" fillId="14" borderId="3" xfId="0" applyNumberFormat="1" applyFont="1" applyFill="1" applyBorder="1" applyAlignment="1">
      <alignment horizontal="center"/>
    </xf>
    <xf numFmtId="3" fontId="32" fillId="13" borderId="12" xfId="0" applyNumberFormat="1" applyFont="1" applyFill="1" applyBorder="1" applyAlignment="1"/>
    <xf numFmtId="0" fontId="6" fillId="11" borderId="2" xfId="0" applyFont="1" applyFill="1" applyBorder="1"/>
    <xf numFmtId="0" fontId="21" fillId="11" borderId="24" xfId="0" applyFont="1" applyFill="1" applyBorder="1"/>
    <xf numFmtId="0" fontId="34" fillId="7" borderId="36" xfId="0" applyFont="1" applyFill="1" applyBorder="1" applyAlignment="1"/>
    <xf numFmtId="0" fontId="21" fillId="11" borderId="4" xfId="0" applyFont="1" applyFill="1" applyBorder="1"/>
    <xf numFmtId="0" fontId="6" fillId="11" borderId="4" xfId="0" applyFont="1" applyFill="1" applyBorder="1"/>
    <xf numFmtId="0" fontId="9" fillId="14" borderId="26" xfId="0" applyFont="1" applyFill="1" applyBorder="1" applyAlignment="1">
      <alignment horizontal="left"/>
    </xf>
    <xf numFmtId="0" fontId="9" fillId="14" borderId="5" xfId="0" applyFont="1" applyFill="1" applyBorder="1" applyAlignment="1">
      <alignment horizontal="left"/>
    </xf>
    <xf numFmtId="0" fontId="9" fillId="14" borderId="4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3" fontId="6" fillId="14" borderId="29" xfId="0" applyNumberFormat="1" applyFont="1" applyFill="1" applyBorder="1"/>
    <xf numFmtId="3" fontId="6" fillId="14" borderId="37" xfId="0" applyNumberFormat="1" applyFont="1" applyFill="1" applyBorder="1"/>
    <xf numFmtId="0" fontId="2" fillId="11" borderId="1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68" fillId="11" borderId="2" xfId="0" applyFont="1" applyFill="1" applyBorder="1"/>
    <xf numFmtId="3" fontId="26" fillId="11" borderId="34" xfId="0" applyNumberFormat="1" applyFont="1" applyFill="1" applyBorder="1"/>
    <xf numFmtId="3" fontId="26" fillId="11" borderId="30" xfId="0" applyNumberFormat="1" applyFont="1" applyFill="1" applyBorder="1"/>
    <xf numFmtId="0" fontId="13" fillId="14" borderId="26" xfId="0" applyFont="1" applyFill="1" applyBorder="1" applyAlignment="1"/>
    <xf numFmtId="0" fontId="9" fillId="14" borderId="26" xfId="0" applyFont="1" applyFill="1" applyBorder="1" applyAlignment="1"/>
    <xf numFmtId="0" fontId="9" fillId="14" borderId="4" xfId="0" applyFont="1" applyFill="1" applyBorder="1" applyAlignment="1"/>
    <xf numFmtId="0" fontId="30" fillId="7" borderId="3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11" borderId="9" xfId="0" applyFont="1" applyFill="1" applyBorder="1"/>
    <xf numFmtId="0" fontId="6" fillId="12" borderId="2" xfId="0" applyFont="1" applyFill="1" applyBorder="1"/>
    <xf numFmtId="0" fontId="13" fillId="12" borderId="3" xfId="0" applyFont="1" applyFill="1" applyBorder="1" applyAlignment="1">
      <alignment horizontal="center"/>
    </xf>
    <xf numFmtId="0" fontId="6" fillId="12" borderId="4" xfId="0" applyFont="1" applyFill="1" applyBorder="1"/>
    <xf numFmtId="0" fontId="13" fillId="12" borderId="1" xfId="0" applyFont="1" applyFill="1" applyBorder="1" applyAlignment="1">
      <alignment horizontal="center"/>
    </xf>
    <xf numFmtId="0" fontId="9" fillId="12" borderId="28" xfId="0" applyFont="1" applyFill="1" applyBorder="1" applyAlignment="1"/>
    <xf numFmtId="0" fontId="9" fillId="12" borderId="2" xfId="0" applyFont="1" applyFill="1" applyBorder="1" applyAlignment="1"/>
    <xf numFmtId="0" fontId="9" fillId="12" borderId="26" xfId="0" applyFont="1" applyFill="1" applyBorder="1" applyAlignment="1"/>
    <xf numFmtId="0" fontId="9" fillId="12" borderId="4" xfId="0" applyFont="1" applyFill="1" applyBorder="1" applyAlignment="1"/>
    <xf numFmtId="3" fontId="26" fillId="12" borderId="29" xfId="0" applyNumberFormat="1" applyFont="1" applyFill="1" applyBorder="1"/>
    <xf numFmtId="0" fontId="38" fillId="7" borderId="27" xfId="0" applyFont="1" applyFill="1" applyBorder="1" applyAlignment="1">
      <alignment horizontal="left" vertical="center"/>
    </xf>
    <xf numFmtId="3" fontId="9" fillId="12" borderId="33" xfId="0" applyNumberFormat="1" applyFont="1" applyFill="1" applyBorder="1"/>
    <xf numFmtId="3" fontId="9" fillId="12" borderId="29" xfId="0" applyNumberFormat="1" applyFont="1" applyFill="1" applyBorder="1"/>
    <xf numFmtId="0" fontId="9" fillId="4" borderId="4" xfId="0" applyFont="1" applyFill="1" applyBorder="1" applyAlignment="1"/>
    <xf numFmtId="3" fontId="28" fillId="0" borderId="0" xfId="0" applyNumberFormat="1" applyFont="1"/>
    <xf numFmtId="3" fontId="11" fillId="0" borderId="0" xfId="0" applyNumberFormat="1" applyFont="1"/>
    <xf numFmtId="3" fontId="0" fillId="0" borderId="0" xfId="0" applyNumberFormat="1" applyBorder="1"/>
    <xf numFmtId="0" fontId="0" fillId="0" borderId="0" xfId="0" applyFill="1"/>
    <xf numFmtId="0" fontId="28" fillId="0" borderId="0" xfId="0" applyFont="1" applyFill="1"/>
    <xf numFmtId="3" fontId="9" fillId="0" borderId="29" xfId="0" applyNumberFormat="1" applyFont="1" applyFill="1" applyBorder="1"/>
    <xf numFmtId="0" fontId="35" fillId="11" borderId="0" xfId="0" applyFont="1" applyFill="1" applyBorder="1" applyAlignment="1"/>
    <xf numFmtId="0" fontId="0" fillId="11" borderId="0" xfId="0" applyFill="1" applyBorder="1"/>
    <xf numFmtId="0" fontId="3" fillId="11" borderId="0" xfId="0" applyFont="1" applyFill="1" applyBorder="1" applyAlignment="1">
      <alignment horizontal="center"/>
    </xf>
    <xf numFmtId="0" fontId="1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 applyAlignment="1">
      <alignment horizontal="center"/>
    </xf>
    <xf numFmtId="0" fontId="3" fillId="11" borderId="0" xfId="0" applyNumberFormat="1" applyFont="1" applyFill="1" applyBorder="1"/>
    <xf numFmtId="3" fontId="8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/>
    </xf>
    <xf numFmtId="49" fontId="13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/>
    <xf numFmtId="0" fontId="3" fillId="11" borderId="0" xfId="0" applyFont="1" applyFill="1" applyBorder="1"/>
    <xf numFmtId="0" fontId="17" fillId="11" borderId="0" xfId="0" applyFont="1" applyFill="1" applyBorder="1"/>
    <xf numFmtId="3" fontId="27" fillId="11" borderId="0" xfId="0" applyNumberFormat="1" applyFont="1" applyFill="1" applyBorder="1"/>
    <xf numFmtId="49" fontId="13" fillId="15" borderId="3" xfId="0" applyNumberFormat="1" applyFont="1" applyFill="1" applyBorder="1" applyAlignment="1">
      <alignment horizontal="center"/>
    </xf>
    <xf numFmtId="49" fontId="4" fillId="15" borderId="3" xfId="0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9" fillId="4" borderId="28" xfId="0" applyFont="1" applyFill="1" applyBorder="1" applyAlignment="1"/>
    <xf numFmtId="0" fontId="9" fillId="4" borderId="2" xfId="0" applyFont="1" applyFill="1" applyBorder="1" applyAlignment="1"/>
    <xf numFmtId="3" fontId="26" fillId="11" borderId="37" xfId="0" applyNumberFormat="1" applyFont="1" applyFill="1" applyBorder="1"/>
    <xf numFmtId="0" fontId="9" fillId="4" borderId="28" xfId="0" applyFont="1" applyFill="1" applyBorder="1" applyAlignment="1">
      <alignment horizontal="center"/>
    </xf>
    <xf numFmtId="3" fontId="6" fillId="12" borderId="33" xfId="0" applyNumberFormat="1" applyFont="1" applyFill="1" applyBorder="1"/>
    <xf numFmtId="3" fontId="6" fillId="0" borderId="33" xfId="0" applyNumberFormat="1" applyFont="1" applyFill="1" applyBorder="1"/>
    <xf numFmtId="3" fontId="9" fillId="0" borderId="33" xfId="0" applyNumberFormat="1" applyFont="1" applyFill="1" applyBorder="1"/>
    <xf numFmtId="0" fontId="20" fillId="11" borderId="0" xfId="0" applyFont="1" applyFill="1" applyBorder="1"/>
    <xf numFmtId="3" fontId="16" fillId="11" borderId="0" xfId="0" applyNumberFormat="1" applyFont="1" applyFill="1" applyBorder="1" applyAlignment="1">
      <alignment horizontal="right"/>
    </xf>
    <xf numFmtId="0" fontId="8" fillId="11" borderId="0" xfId="0" applyFont="1" applyFill="1" applyBorder="1" applyAlignment="1">
      <alignment horizontal="center"/>
    </xf>
    <xf numFmtId="0" fontId="37" fillId="11" borderId="0" xfId="0" applyFont="1" applyFill="1"/>
    <xf numFmtId="0" fontId="19" fillId="3" borderId="38" xfId="0" applyFont="1" applyFill="1" applyBorder="1" applyAlignment="1">
      <alignment horizontal="center"/>
    </xf>
    <xf numFmtId="0" fontId="10" fillId="3" borderId="41" xfId="0" applyFont="1" applyFill="1" applyBorder="1" applyAlignment="1"/>
    <xf numFmtId="0" fontId="27" fillId="3" borderId="41" xfId="0" applyFont="1" applyFill="1" applyBorder="1" applyAlignment="1"/>
    <xf numFmtId="0" fontId="3" fillId="3" borderId="42" xfId="0" applyFont="1" applyFill="1" applyBorder="1" applyAlignment="1"/>
    <xf numFmtId="0" fontId="27" fillId="3" borderId="0" xfId="0" applyFont="1" applyFill="1" applyBorder="1" applyAlignment="1"/>
    <xf numFmtId="0" fontId="3" fillId="3" borderId="9" xfId="0" applyFont="1" applyFill="1" applyBorder="1" applyAlignment="1"/>
    <xf numFmtId="49" fontId="13" fillId="11" borderId="1" xfId="0" applyNumberFormat="1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6" fillId="16" borderId="2" xfId="0" applyFont="1" applyFill="1" applyBorder="1"/>
    <xf numFmtId="3" fontId="9" fillId="16" borderId="33" xfId="0" applyNumberFormat="1" applyFont="1" applyFill="1" applyBorder="1"/>
    <xf numFmtId="3" fontId="9" fillId="16" borderId="34" xfId="0" applyNumberFormat="1" applyFont="1" applyFill="1" applyBorder="1"/>
    <xf numFmtId="0" fontId="2" fillId="11" borderId="4" xfId="0" applyFont="1" applyFill="1" applyBorder="1" applyAlignment="1">
      <alignment horizontal="center"/>
    </xf>
    <xf numFmtId="49" fontId="4" fillId="11" borderId="1" xfId="0" applyNumberFormat="1" applyFont="1" applyFill="1" applyBorder="1" applyAlignment="1">
      <alignment horizontal="center"/>
    </xf>
    <xf numFmtId="49" fontId="5" fillId="12" borderId="7" xfId="0" applyNumberFormat="1" applyFont="1" applyFill="1" applyBorder="1" applyAlignment="1">
      <alignment horizontal="center"/>
    </xf>
    <xf numFmtId="49" fontId="5" fillId="12" borderId="24" xfId="0" applyNumberFormat="1" applyFont="1" applyFill="1" applyBorder="1" applyAlignment="1">
      <alignment horizontal="center"/>
    </xf>
    <xf numFmtId="49" fontId="2" fillId="12" borderId="24" xfId="0" applyNumberFormat="1" applyFont="1" applyFill="1" applyBorder="1" applyAlignment="1">
      <alignment horizontal="center"/>
    </xf>
    <xf numFmtId="0" fontId="52" fillId="12" borderId="43" xfId="0" applyFont="1" applyFill="1" applyBorder="1"/>
    <xf numFmtId="0" fontId="3" fillId="12" borderId="8" xfId="0" applyFont="1" applyFill="1" applyBorder="1"/>
    <xf numFmtId="49" fontId="58" fillId="17" borderId="38" xfId="0" applyNumberFormat="1" applyFont="1" applyFill="1" applyBorder="1" applyAlignment="1">
      <alignment horizontal="center"/>
    </xf>
    <xf numFmtId="0" fontId="57" fillId="17" borderId="38" xfId="0" applyFont="1" applyFill="1" applyBorder="1"/>
    <xf numFmtId="0" fontId="4" fillId="2" borderId="4" xfId="0" applyFont="1" applyFill="1" applyBorder="1"/>
    <xf numFmtId="49" fontId="3" fillId="3" borderId="19" xfId="0" applyNumberFormat="1" applyFont="1" applyFill="1" applyBorder="1" applyAlignment="1">
      <alignment horizontal="center"/>
    </xf>
    <xf numFmtId="0" fontId="16" fillId="3" borderId="44" xfId="0" applyFont="1" applyFill="1" applyBorder="1"/>
    <xf numFmtId="49" fontId="59" fillId="17" borderId="38" xfId="0" applyNumberFormat="1" applyFont="1" applyFill="1" applyBorder="1" applyAlignment="1">
      <alignment horizontal="center"/>
    </xf>
    <xf numFmtId="0" fontId="3" fillId="17" borderId="8" xfId="0" applyFont="1" applyFill="1" applyBorder="1"/>
    <xf numFmtId="49" fontId="5" fillId="2" borderId="1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49" fontId="4" fillId="11" borderId="11" xfId="0" applyNumberFormat="1" applyFont="1" applyFill="1" applyBorder="1" applyAlignment="1">
      <alignment horizontal="center"/>
    </xf>
    <xf numFmtId="0" fontId="21" fillId="11" borderId="0" xfId="0" applyFont="1" applyFill="1" applyBorder="1"/>
    <xf numFmtId="3" fontId="21" fillId="11" borderId="40" xfId="0" applyNumberFormat="1" applyFont="1" applyFill="1" applyBorder="1"/>
    <xf numFmtId="0" fontId="47" fillId="5" borderId="17" xfId="0" applyFont="1" applyFill="1" applyBorder="1"/>
    <xf numFmtId="0" fontId="51" fillId="6" borderId="45" xfId="0" applyFont="1" applyFill="1" applyBorder="1"/>
    <xf numFmtId="0" fontId="51" fillId="6" borderId="23" xfId="0" applyFont="1" applyFill="1" applyBorder="1"/>
    <xf numFmtId="49" fontId="3" fillId="3" borderId="46" xfId="0" applyNumberFormat="1" applyFont="1" applyFill="1" applyBorder="1" applyAlignment="1">
      <alignment horizontal="center"/>
    </xf>
    <xf numFmtId="0" fontId="3" fillId="8" borderId="0" xfId="0" applyFont="1" applyFill="1" applyBorder="1"/>
    <xf numFmtId="0" fontId="3" fillId="8" borderId="6" xfId="0" applyFont="1" applyFill="1" applyBorder="1"/>
    <xf numFmtId="0" fontId="68" fillId="2" borderId="6" xfId="0" applyFont="1" applyFill="1" applyBorder="1"/>
    <xf numFmtId="0" fontId="68" fillId="0" borderId="6" xfId="0" applyFont="1" applyFill="1" applyBorder="1"/>
    <xf numFmtId="0" fontId="8" fillId="3" borderId="5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23" xfId="0" applyFont="1" applyFill="1" applyBorder="1"/>
    <xf numFmtId="0" fontId="54" fillId="6" borderId="8" xfId="0" applyFont="1" applyFill="1" applyBorder="1"/>
    <xf numFmtId="0" fontId="3" fillId="2" borderId="6" xfId="0" applyNumberFormat="1" applyFont="1" applyFill="1" applyBorder="1"/>
    <xf numFmtId="0" fontId="3" fillId="2" borderId="5" xfId="0" applyNumberFormat="1" applyFont="1" applyFill="1" applyBorder="1"/>
    <xf numFmtId="0" fontId="3" fillId="11" borderId="6" xfId="0" applyFont="1" applyFill="1" applyBorder="1"/>
    <xf numFmtId="0" fontId="4" fillId="0" borderId="6" xfId="0" applyFont="1" applyFill="1" applyBorder="1"/>
    <xf numFmtId="0" fontId="13" fillId="2" borderId="6" xfId="0" applyFont="1" applyFill="1" applyBorder="1"/>
    <xf numFmtId="0" fontId="8" fillId="3" borderId="6" xfId="0" applyFont="1" applyFill="1" applyBorder="1" applyAlignment="1">
      <alignment vertical="center"/>
    </xf>
    <xf numFmtId="0" fontId="3" fillId="8" borderId="5" xfId="0" applyFont="1" applyFill="1" applyBorder="1"/>
    <xf numFmtId="0" fontId="3" fillId="2" borderId="41" xfId="0" applyNumberFormat="1" applyFont="1" applyFill="1" applyBorder="1"/>
    <xf numFmtId="0" fontId="19" fillId="2" borderId="6" xfId="0" applyFont="1" applyFill="1" applyBorder="1"/>
    <xf numFmtId="3" fontId="40" fillId="15" borderId="29" xfId="0" applyNumberFormat="1" applyFont="1" applyFill="1" applyBorder="1"/>
    <xf numFmtId="3" fontId="40" fillId="4" borderId="29" xfId="0" applyNumberFormat="1" applyFont="1" applyFill="1" applyBorder="1"/>
    <xf numFmtId="3" fontId="40" fillId="11" borderId="0" xfId="0" applyNumberFormat="1" applyFont="1" applyFill="1" applyBorder="1" applyAlignment="1">
      <alignment horizontal="right"/>
    </xf>
    <xf numFmtId="3" fontId="40" fillId="15" borderId="37" xfId="0" applyNumberFormat="1" applyFont="1" applyFill="1" applyBorder="1"/>
    <xf numFmtId="3" fontId="9" fillId="11" borderId="0" xfId="0" applyNumberFormat="1" applyFont="1" applyFill="1" applyBorder="1" applyAlignment="1">
      <alignment horizontal="right"/>
    </xf>
    <xf numFmtId="3" fontId="40" fillId="4" borderId="37" xfId="0" applyNumberFormat="1" applyFont="1" applyFill="1" applyBorder="1"/>
    <xf numFmtId="3" fontId="26" fillId="11" borderId="0" xfId="0" applyNumberFormat="1" applyFont="1" applyFill="1" applyBorder="1" applyAlignment="1">
      <alignment horizontal="right"/>
    </xf>
    <xf numFmtId="3" fontId="44" fillId="11" borderId="0" xfId="0" applyNumberFormat="1" applyFont="1" applyFill="1" applyBorder="1" applyAlignment="1">
      <alignment horizontal="right"/>
    </xf>
    <xf numFmtId="3" fontId="40" fillId="15" borderId="33" xfId="0" applyNumberFormat="1" applyFont="1" applyFill="1" applyBorder="1"/>
    <xf numFmtId="3" fontId="40" fillId="15" borderId="34" xfId="0" applyNumberFormat="1" applyFont="1" applyFill="1" applyBorder="1"/>
    <xf numFmtId="3" fontId="40" fillId="11" borderId="29" xfId="0" applyNumberFormat="1" applyFont="1" applyFill="1" applyBorder="1"/>
    <xf numFmtId="0" fontId="1" fillId="0" borderId="31" xfId="0" applyFont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21" fillId="11" borderId="6" xfId="0" applyFont="1" applyFill="1" applyBorder="1"/>
    <xf numFmtId="0" fontId="3" fillId="3" borderId="5" xfId="0" applyFont="1" applyFill="1" applyBorder="1" applyAlignment="1"/>
    <xf numFmtId="0" fontId="9" fillId="4" borderId="1" xfId="0" applyFont="1" applyFill="1" applyBorder="1" applyAlignment="1"/>
    <xf numFmtId="0" fontId="21" fillId="11" borderId="42" xfId="0" applyFont="1" applyFill="1" applyBorder="1"/>
    <xf numFmtId="0" fontId="3" fillId="18" borderId="3" xfId="0" applyFont="1" applyFill="1" applyBorder="1" applyAlignment="1">
      <alignment horizontal="center"/>
    </xf>
    <xf numFmtId="0" fontId="6" fillId="18" borderId="2" xfId="0" applyFont="1" applyFill="1" applyBorder="1"/>
    <xf numFmtId="3" fontId="9" fillId="18" borderId="29" xfId="0" applyNumberFormat="1" applyFont="1" applyFill="1" applyBorder="1"/>
    <xf numFmtId="3" fontId="9" fillId="18" borderId="33" xfId="0" applyNumberFormat="1" applyFont="1" applyFill="1" applyBorder="1"/>
    <xf numFmtId="0" fontId="3" fillId="11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21" fillId="0" borderId="33" xfId="0" applyNumberFormat="1" applyFont="1" applyFill="1" applyBorder="1"/>
    <xf numFmtId="0" fontId="21" fillId="0" borderId="2" xfId="0" applyFont="1" applyFill="1" applyBorder="1"/>
    <xf numFmtId="0" fontId="4" fillId="11" borderId="6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64" fillId="19" borderId="48" xfId="0" applyNumberFormat="1" applyFont="1" applyFill="1" applyBorder="1" applyAlignment="1">
      <alignment vertical="center"/>
    </xf>
    <xf numFmtId="3" fontId="55" fillId="19" borderId="34" xfId="0" applyNumberFormat="1" applyFont="1" applyFill="1" applyBorder="1" applyAlignment="1"/>
    <xf numFmtId="3" fontId="55" fillId="19" borderId="33" xfId="0" applyNumberFormat="1" applyFont="1" applyFill="1" applyBorder="1" applyAlignment="1"/>
    <xf numFmtId="3" fontId="84" fillId="19" borderId="29" xfId="0" applyNumberFormat="1" applyFont="1" applyFill="1" applyBorder="1"/>
    <xf numFmtId="3" fontId="55" fillId="19" borderId="30" xfId="0" applyNumberFormat="1" applyFont="1" applyFill="1" applyBorder="1" applyAlignment="1"/>
    <xf numFmtId="3" fontId="9" fillId="14" borderId="1" xfId="0" applyNumberFormat="1" applyFont="1" applyFill="1" applyBorder="1" applyAlignment="1">
      <alignment horizontal="right"/>
    </xf>
    <xf numFmtId="3" fontId="46" fillId="13" borderId="16" xfId="0" applyNumberFormat="1" applyFont="1" applyFill="1" applyBorder="1" applyAlignment="1">
      <alignment vertical="center"/>
    </xf>
    <xf numFmtId="3" fontId="32" fillId="13" borderId="3" xfId="0" applyNumberFormat="1" applyFont="1" applyFill="1" applyBorder="1" applyAlignment="1"/>
    <xf numFmtId="3" fontId="21" fillId="14" borderId="49" xfId="0" applyNumberFormat="1" applyFont="1" applyFill="1" applyBorder="1" applyAlignment="1">
      <alignment horizontal="right"/>
    </xf>
    <xf numFmtId="3" fontId="32" fillId="13" borderId="1" xfId="0" applyNumberFormat="1" applyFont="1" applyFill="1" applyBorder="1" applyAlignment="1"/>
    <xf numFmtId="3" fontId="21" fillId="11" borderId="3" xfId="0" applyNumberFormat="1" applyFont="1" applyFill="1" applyBorder="1" applyAlignment="1">
      <alignment horizontal="right"/>
    </xf>
    <xf numFmtId="3" fontId="44" fillId="11" borderId="49" xfId="0" applyNumberFormat="1" applyFont="1" applyFill="1" applyBorder="1" applyAlignment="1">
      <alignment horizontal="right"/>
    </xf>
    <xf numFmtId="3" fontId="32" fillId="13" borderId="38" xfId="0" applyNumberFormat="1" applyFont="1" applyFill="1" applyBorder="1" applyAlignment="1"/>
    <xf numFmtId="3" fontId="21" fillId="11" borderId="38" xfId="0" applyNumberFormat="1" applyFont="1" applyFill="1" applyBorder="1" applyAlignment="1">
      <alignment horizontal="right"/>
    </xf>
    <xf numFmtId="3" fontId="9" fillId="14" borderId="3" xfId="0" applyNumberFormat="1" applyFont="1" applyFill="1" applyBorder="1" applyAlignment="1">
      <alignment horizontal="right"/>
    </xf>
    <xf numFmtId="3" fontId="6" fillId="12" borderId="1" xfId="0" applyNumberFormat="1" applyFont="1" applyFill="1" applyBorder="1" applyAlignment="1">
      <alignment horizontal="right"/>
    </xf>
    <xf numFmtId="3" fontId="6" fillId="11" borderId="1" xfId="0" applyNumberFormat="1" applyFont="1" applyFill="1" applyBorder="1" applyAlignment="1">
      <alignment horizontal="right"/>
    </xf>
    <xf numFmtId="3" fontId="21" fillId="11" borderId="7" xfId="0" applyNumberFormat="1" applyFont="1" applyFill="1" applyBorder="1" applyAlignment="1">
      <alignment horizontal="right"/>
    </xf>
    <xf numFmtId="3" fontId="32" fillId="19" borderId="34" xfId="0" applyNumberFormat="1" applyFont="1" applyFill="1" applyBorder="1" applyAlignment="1"/>
    <xf numFmtId="3" fontId="32" fillId="19" borderId="33" xfId="0" applyNumberFormat="1" applyFont="1" applyFill="1" applyBorder="1" applyAlignment="1"/>
    <xf numFmtId="3" fontId="71" fillId="19" borderId="48" xfId="0" applyNumberFormat="1" applyFont="1" applyFill="1" applyBorder="1" applyAlignment="1">
      <alignment vertical="center"/>
    </xf>
    <xf numFmtId="3" fontId="53" fillId="13" borderId="3" xfId="0" applyNumberFormat="1" applyFont="1" applyFill="1" applyBorder="1" applyAlignment="1"/>
    <xf numFmtId="3" fontId="53" fillId="13" borderId="1" xfId="0" applyNumberFormat="1" applyFont="1" applyFill="1" applyBorder="1" applyAlignment="1"/>
    <xf numFmtId="3" fontId="53" fillId="13" borderId="38" xfId="0" applyNumberFormat="1" applyFont="1" applyFill="1" applyBorder="1" applyAlignment="1"/>
    <xf numFmtId="3" fontId="9" fillId="12" borderId="1" xfId="0" applyNumberFormat="1" applyFont="1" applyFill="1" applyBorder="1" applyAlignment="1">
      <alignment horizontal="right"/>
    </xf>
    <xf numFmtId="3" fontId="6" fillId="11" borderId="32" xfId="0" applyNumberFormat="1" applyFont="1" applyFill="1" applyBorder="1" applyAlignment="1">
      <alignment horizontal="right"/>
    </xf>
    <xf numFmtId="3" fontId="60" fillId="13" borderId="19" xfId="0" applyNumberFormat="1" applyFont="1" applyFill="1" applyBorder="1" applyAlignment="1"/>
    <xf numFmtId="3" fontId="6" fillId="11" borderId="49" xfId="0" applyNumberFormat="1" applyFont="1" applyFill="1" applyBorder="1" applyAlignment="1">
      <alignment horizontal="right"/>
    </xf>
    <xf numFmtId="3" fontId="60" fillId="13" borderId="1" xfId="0" applyNumberFormat="1" applyFont="1" applyFill="1" applyBorder="1" applyAlignment="1"/>
    <xf numFmtId="3" fontId="21" fillId="0" borderId="1" xfId="0" applyNumberFormat="1" applyFont="1" applyFill="1" applyBorder="1" applyAlignment="1">
      <alignment horizontal="right"/>
    </xf>
    <xf numFmtId="3" fontId="26" fillId="11" borderId="1" xfId="0" applyNumberFormat="1" applyFont="1" applyFill="1" applyBorder="1" applyAlignment="1">
      <alignment horizontal="right"/>
    </xf>
    <xf numFmtId="3" fontId="9" fillId="11" borderId="32" xfId="0" applyNumberFormat="1" applyFont="1" applyFill="1" applyBorder="1" applyAlignment="1">
      <alignment horizontal="right"/>
    </xf>
    <xf numFmtId="3" fontId="85" fillId="13" borderId="3" xfId="0" applyNumberFormat="1" applyFont="1" applyFill="1" applyBorder="1" applyAlignment="1"/>
    <xf numFmtId="3" fontId="9" fillId="14" borderId="49" xfId="0" applyNumberFormat="1" applyFont="1" applyFill="1" applyBorder="1" applyAlignment="1">
      <alignment horizontal="right"/>
    </xf>
    <xf numFmtId="3" fontId="9" fillId="11" borderId="49" xfId="0" applyNumberFormat="1" applyFont="1" applyFill="1" applyBorder="1" applyAlignment="1">
      <alignment horizontal="right"/>
    </xf>
    <xf numFmtId="3" fontId="6" fillId="14" borderId="49" xfId="0" applyNumberFormat="1" applyFont="1" applyFill="1" applyBorder="1" applyAlignment="1">
      <alignment horizontal="right"/>
    </xf>
    <xf numFmtId="3" fontId="6" fillId="18" borderId="1" xfId="0" applyNumberFormat="1" applyFont="1" applyFill="1" applyBorder="1" applyAlignment="1">
      <alignment horizontal="right"/>
    </xf>
    <xf numFmtId="3" fontId="46" fillId="13" borderId="50" xfId="0" applyNumberFormat="1" applyFont="1" applyFill="1" applyBorder="1" applyAlignment="1">
      <alignment vertical="center"/>
    </xf>
    <xf numFmtId="3" fontId="0" fillId="11" borderId="0" xfId="0" applyNumberFormat="1" applyFill="1" applyBorder="1"/>
    <xf numFmtId="49" fontId="13" fillId="11" borderId="5" xfId="0" applyNumberFormat="1" applyFont="1" applyFill="1" applyBorder="1" applyAlignment="1">
      <alignment horizontal="center"/>
    </xf>
    <xf numFmtId="0" fontId="23" fillId="0" borderId="26" xfId="0" applyFont="1" applyBorder="1"/>
    <xf numFmtId="3" fontId="46" fillId="20" borderId="16" xfId="0" applyNumberFormat="1" applyFont="1" applyFill="1" applyBorder="1" applyAlignment="1">
      <alignment vertical="center"/>
    </xf>
    <xf numFmtId="3" fontId="60" fillId="20" borderId="19" xfId="0" applyNumberFormat="1" applyFont="1" applyFill="1" applyBorder="1" applyAlignment="1"/>
    <xf numFmtId="3" fontId="60" fillId="20" borderId="1" xfId="0" applyNumberFormat="1" applyFont="1" applyFill="1" applyBorder="1" applyAlignment="1"/>
    <xf numFmtId="3" fontId="60" fillId="20" borderId="7" xfId="0" applyNumberFormat="1" applyFont="1" applyFill="1" applyBorder="1" applyAlignment="1"/>
    <xf numFmtId="3" fontId="32" fillId="20" borderId="1" xfId="0" applyNumberFormat="1" applyFont="1" applyFill="1" applyBorder="1" applyAlignment="1"/>
    <xf numFmtId="3" fontId="60" fillId="20" borderId="3" xfId="0" applyNumberFormat="1" applyFont="1" applyFill="1" applyBorder="1" applyAlignment="1"/>
    <xf numFmtId="3" fontId="46" fillId="20" borderId="50" xfId="0" applyNumberFormat="1" applyFont="1" applyFill="1" applyBorder="1" applyAlignment="1">
      <alignment vertical="center"/>
    </xf>
    <xf numFmtId="3" fontId="60" fillId="20" borderId="38" xfId="0" applyNumberFormat="1" applyFont="1" applyFill="1" applyBorder="1" applyAlignment="1"/>
    <xf numFmtId="3" fontId="85" fillId="20" borderId="3" xfId="0" applyNumberFormat="1" applyFont="1" applyFill="1" applyBorder="1" applyAlignment="1"/>
    <xf numFmtId="3" fontId="64" fillId="19" borderId="51" xfId="0" applyNumberFormat="1" applyFont="1" applyFill="1" applyBorder="1" applyAlignment="1">
      <alignment vertical="center"/>
    </xf>
    <xf numFmtId="0" fontId="78" fillId="11" borderId="0" xfId="0" applyFont="1" applyFill="1" applyBorder="1" applyAlignment="1"/>
    <xf numFmtId="0" fontId="3" fillId="21" borderId="10" xfId="0" applyFont="1" applyFill="1" applyBorder="1" applyAlignment="1">
      <alignment horizontal="center" vertical="center"/>
    </xf>
    <xf numFmtId="0" fontId="9" fillId="21" borderId="28" xfId="0" applyFont="1" applyFill="1" applyBorder="1" applyAlignment="1"/>
    <xf numFmtId="0" fontId="39" fillId="21" borderId="6" xfId="0" applyFont="1" applyFill="1" applyBorder="1" applyAlignment="1"/>
    <xf numFmtId="3" fontId="32" fillId="20" borderId="19" xfId="0" applyNumberFormat="1" applyFont="1" applyFill="1" applyBorder="1" applyAlignment="1"/>
    <xf numFmtId="3" fontId="40" fillId="2" borderId="1" xfId="0" applyNumberFormat="1" applyFont="1" applyFill="1" applyBorder="1" applyAlignment="1">
      <alignment horizontal="right"/>
    </xf>
    <xf numFmtId="3" fontId="40" fillId="4" borderId="1" xfId="0" applyNumberFormat="1" applyFont="1" applyFill="1" applyBorder="1" applyAlignment="1">
      <alignment horizontal="right"/>
    </xf>
    <xf numFmtId="3" fontId="40" fillId="15" borderId="1" xfId="0" applyNumberFormat="1" applyFont="1" applyFill="1" applyBorder="1" applyAlignment="1">
      <alignment horizontal="right"/>
    </xf>
    <xf numFmtId="3" fontId="40" fillId="4" borderId="3" xfId="0" applyNumberFormat="1" applyFont="1" applyFill="1" applyBorder="1" applyAlignment="1">
      <alignment horizontal="right"/>
    </xf>
    <xf numFmtId="3" fontId="40" fillId="11" borderId="32" xfId="0" applyNumberFormat="1" applyFont="1" applyFill="1" applyBorder="1" applyAlignment="1">
      <alignment horizontal="right"/>
    </xf>
    <xf numFmtId="3" fontId="40" fillId="4" borderId="32" xfId="0" applyNumberFormat="1" applyFont="1" applyFill="1" applyBorder="1" applyAlignment="1">
      <alignment horizontal="right"/>
    </xf>
    <xf numFmtId="3" fontId="40" fillId="15" borderId="32" xfId="0" applyNumberFormat="1" applyFont="1" applyFill="1" applyBorder="1" applyAlignment="1">
      <alignment horizontal="right"/>
    </xf>
    <xf numFmtId="3" fontId="44" fillId="15" borderId="32" xfId="0" applyNumberFormat="1" applyFont="1" applyFill="1" applyBorder="1" applyAlignment="1">
      <alignment horizontal="right"/>
    </xf>
    <xf numFmtId="3" fontId="6" fillId="16" borderId="1" xfId="0" applyNumberFormat="1" applyFont="1" applyFill="1" applyBorder="1" applyAlignment="1">
      <alignment horizontal="right"/>
    </xf>
    <xf numFmtId="3" fontId="40" fillId="12" borderId="1" xfId="0" applyNumberFormat="1" applyFont="1" applyFill="1" applyBorder="1" applyAlignment="1">
      <alignment horizontal="right"/>
    </xf>
    <xf numFmtId="3" fontId="26" fillId="11" borderId="3" xfId="0" applyNumberFormat="1" applyFont="1" applyFill="1" applyBorder="1" applyAlignment="1">
      <alignment horizontal="right"/>
    </xf>
    <xf numFmtId="3" fontId="44" fillId="15" borderId="12" xfId="0" applyNumberFormat="1" applyFont="1" applyFill="1" applyBorder="1" applyAlignment="1">
      <alignment horizontal="right"/>
    </xf>
    <xf numFmtId="3" fontId="21" fillId="16" borderId="12" xfId="0" applyNumberFormat="1" applyFont="1" applyFill="1" applyBorder="1" applyAlignment="1">
      <alignment horizontal="right"/>
    </xf>
    <xf numFmtId="3" fontId="9" fillId="11" borderId="12" xfId="0" applyNumberFormat="1" applyFont="1" applyFill="1" applyBorder="1" applyAlignment="1">
      <alignment horizontal="right"/>
    </xf>
    <xf numFmtId="3" fontId="26" fillId="11" borderId="13" xfId="0" applyNumberFormat="1" applyFont="1" applyFill="1" applyBorder="1" applyAlignment="1">
      <alignment horizontal="right"/>
    </xf>
    <xf numFmtId="3" fontId="26" fillId="11" borderId="32" xfId="0" applyNumberFormat="1" applyFont="1" applyFill="1" applyBorder="1" applyAlignment="1">
      <alignment horizontal="right"/>
    </xf>
    <xf numFmtId="3" fontId="40" fillId="11" borderId="1" xfId="0" applyNumberFormat="1" applyFont="1" applyFill="1" applyBorder="1" applyAlignment="1">
      <alignment horizontal="right"/>
    </xf>
    <xf numFmtId="3" fontId="9" fillId="11" borderId="13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26" fillId="11" borderId="49" xfId="0" applyNumberFormat="1" applyFont="1" applyFill="1" applyBorder="1" applyAlignment="1">
      <alignment horizontal="right"/>
    </xf>
    <xf numFmtId="3" fontId="6" fillId="16" borderId="3" xfId="0" applyNumberFormat="1" applyFont="1" applyFill="1" applyBorder="1" applyAlignment="1">
      <alignment horizontal="right"/>
    </xf>
    <xf numFmtId="3" fontId="21" fillId="15" borderId="32" xfId="0" applyNumberFormat="1" applyFont="1" applyFill="1" applyBorder="1" applyAlignment="1">
      <alignment horizontal="right"/>
    </xf>
    <xf numFmtId="3" fontId="44" fillId="15" borderId="10" xfId="0" applyNumberFormat="1" applyFont="1" applyFill="1" applyBorder="1" applyAlignment="1">
      <alignment horizontal="right"/>
    </xf>
    <xf numFmtId="3" fontId="40" fillId="15" borderId="10" xfId="0" applyNumberFormat="1" applyFont="1" applyFill="1" applyBorder="1" applyAlignment="1">
      <alignment horizontal="right"/>
    </xf>
    <xf numFmtId="3" fontId="21" fillId="16" borderId="10" xfId="0" applyNumberFormat="1" applyFont="1" applyFill="1" applyBorder="1" applyAlignment="1">
      <alignment horizontal="right"/>
    </xf>
    <xf numFmtId="49" fontId="13" fillId="11" borderId="26" xfId="0" applyNumberFormat="1" applyFont="1" applyFill="1" applyBorder="1" applyAlignment="1">
      <alignment horizontal="center"/>
    </xf>
    <xf numFmtId="3" fontId="71" fillId="20" borderId="16" xfId="0" applyNumberFormat="1" applyFont="1" applyFill="1" applyBorder="1" applyAlignment="1">
      <alignment vertical="center"/>
    </xf>
    <xf numFmtId="3" fontId="60" fillId="13" borderId="7" xfId="0" applyNumberFormat="1" applyFont="1" applyFill="1" applyBorder="1" applyAlignment="1"/>
    <xf numFmtId="3" fontId="55" fillId="19" borderId="40" xfId="0" applyNumberFormat="1" applyFont="1" applyFill="1" applyBorder="1" applyAlignment="1"/>
    <xf numFmtId="3" fontId="60" fillId="13" borderId="52" xfId="0" applyNumberFormat="1" applyFont="1" applyFill="1" applyBorder="1" applyAlignment="1"/>
    <xf numFmtId="3" fontId="60" fillId="13" borderId="12" xfId="0" applyNumberFormat="1" applyFont="1" applyFill="1" applyBorder="1" applyAlignment="1"/>
    <xf numFmtId="3" fontId="21" fillId="12" borderId="32" xfId="0" applyNumberFormat="1" applyFont="1" applyFill="1" applyBorder="1" applyAlignment="1">
      <alignment horizontal="right"/>
    </xf>
    <xf numFmtId="3" fontId="60" fillId="13" borderId="10" xfId="0" applyNumberFormat="1" applyFont="1" applyFill="1" applyBorder="1" applyAlignment="1"/>
    <xf numFmtId="3" fontId="6" fillId="18" borderId="32" xfId="0" applyNumberFormat="1" applyFont="1" applyFill="1" applyBorder="1" applyAlignment="1">
      <alignment horizontal="right"/>
    </xf>
    <xf numFmtId="3" fontId="53" fillId="13" borderId="12" xfId="0" applyNumberFormat="1" applyFont="1" applyFill="1" applyBorder="1" applyAlignment="1"/>
    <xf numFmtId="3" fontId="53" fillId="13" borderId="10" xfId="0" applyNumberFormat="1" applyFont="1" applyFill="1" applyBorder="1" applyAlignment="1"/>
    <xf numFmtId="3" fontId="21" fillId="18" borderId="12" xfId="0" applyNumberFormat="1" applyFont="1" applyFill="1" applyBorder="1" applyAlignment="1">
      <alignment horizontal="right"/>
    </xf>
    <xf numFmtId="0" fontId="50" fillId="23" borderId="10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left"/>
    </xf>
    <xf numFmtId="0" fontId="80" fillId="0" borderId="26" xfId="0" applyFont="1" applyBorder="1"/>
    <xf numFmtId="3" fontId="32" fillId="24" borderId="10" xfId="0" applyNumberFormat="1" applyFont="1" applyFill="1" applyBorder="1" applyAlignment="1"/>
    <xf numFmtId="3" fontId="9" fillId="12" borderId="32" xfId="0" applyNumberFormat="1" applyFont="1" applyFill="1" applyBorder="1" applyAlignment="1">
      <alignment horizontal="right"/>
    </xf>
    <xf numFmtId="3" fontId="9" fillId="12" borderId="12" xfId="0" applyNumberFormat="1" applyFont="1" applyFill="1" applyBorder="1" applyAlignment="1">
      <alignment horizontal="right"/>
    </xf>
    <xf numFmtId="3" fontId="4" fillId="11" borderId="0" xfId="0" applyNumberFormat="1" applyFont="1" applyFill="1" applyBorder="1" applyAlignment="1">
      <alignment horizontal="right" vertical="center"/>
    </xf>
    <xf numFmtId="3" fontId="21" fillId="11" borderId="12" xfId="0" applyNumberFormat="1" applyFont="1" applyFill="1" applyBorder="1" applyAlignment="1">
      <alignment horizontal="right" vertical="center"/>
    </xf>
    <xf numFmtId="3" fontId="21" fillId="11" borderId="33" xfId="0" applyNumberFormat="1" applyFont="1" applyFill="1" applyBorder="1" applyAlignment="1">
      <alignment horizontal="right" vertical="center"/>
    </xf>
    <xf numFmtId="0" fontId="79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81" fillId="11" borderId="0" xfId="0" applyFont="1" applyFill="1" applyBorder="1" applyAlignment="1"/>
    <xf numFmtId="0" fontId="3" fillId="11" borderId="2" xfId="0" applyFont="1" applyFill="1" applyBorder="1" applyAlignment="1">
      <alignment horizontal="center" vertical="center"/>
    </xf>
    <xf numFmtId="3" fontId="21" fillId="11" borderId="33" xfId="0" applyNumberFormat="1" applyFont="1" applyFill="1" applyBorder="1" applyAlignment="1">
      <alignment vertical="center"/>
    </xf>
    <xf numFmtId="0" fontId="79" fillId="0" borderId="2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3" fontId="26" fillId="11" borderId="33" xfId="0" applyNumberFormat="1" applyFont="1" applyFill="1" applyBorder="1" applyAlignment="1">
      <alignment vertical="center"/>
    </xf>
    <xf numFmtId="0" fontId="68" fillId="0" borderId="2" xfId="0" applyFont="1" applyFill="1" applyBorder="1"/>
    <xf numFmtId="3" fontId="21" fillId="11" borderId="11" xfId="0" applyNumberFormat="1" applyFont="1" applyFill="1" applyBorder="1" applyAlignment="1">
      <alignment horizontal="right"/>
    </xf>
    <xf numFmtId="3" fontId="9" fillId="11" borderId="3" xfId="0" applyNumberFormat="1" applyFont="1" applyFill="1" applyBorder="1" applyAlignment="1">
      <alignment horizontal="right"/>
    </xf>
    <xf numFmtId="3" fontId="6" fillId="14" borderId="11" xfId="0" applyNumberFormat="1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 vertical="center"/>
    </xf>
    <xf numFmtId="3" fontId="21" fillId="11" borderId="3" xfId="0" applyNumberFormat="1" applyFont="1" applyFill="1" applyBorder="1" applyAlignment="1">
      <alignment horizontal="right" vertical="center"/>
    </xf>
    <xf numFmtId="3" fontId="21" fillId="11" borderId="0" xfId="0" applyNumberFormat="1" applyFont="1" applyFill="1" applyBorder="1" applyAlignment="1">
      <alignment horizontal="right"/>
    </xf>
    <xf numFmtId="3" fontId="21" fillId="11" borderId="10" xfId="0" applyNumberFormat="1" applyFont="1" applyFill="1" applyBorder="1" applyAlignment="1">
      <alignment horizontal="right" vertical="center"/>
    </xf>
    <xf numFmtId="3" fontId="26" fillId="11" borderId="34" xfId="0" applyNumberFormat="1" applyFont="1" applyFill="1" applyBorder="1" applyAlignment="1">
      <alignment vertical="center"/>
    </xf>
    <xf numFmtId="49" fontId="5" fillId="2" borderId="49" xfId="0" applyNumberFormat="1" applyFont="1" applyFill="1" applyBorder="1" applyAlignment="1">
      <alignment horizontal="center"/>
    </xf>
    <xf numFmtId="49" fontId="5" fillId="2" borderId="54" xfId="0" applyNumberFormat="1" applyFont="1" applyFill="1" applyBorder="1" applyAlignment="1">
      <alignment horizontal="center"/>
    </xf>
    <xf numFmtId="49" fontId="3" fillId="2" borderId="54" xfId="0" applyNumberFormat="1" applyFont="1" applyFill="1" applyBorder="1" applyAlignment="1">
      <alignment horizontal="center"/>
    </xf>
    <xf numFmtId="0" fontId="3" fillId="0" borderId="47" xfId="0" applyFont="1" applyBorder="1"/>
    <xf numFmtId="0" fontId="3" fillId="2" borderId="47" xfId="0" applyFont="1" applyFill="1" applyBorder="1"/>
    <xf numFmtId="0" fontId="3" fillId="11" borderId="54" xfId="0" applyFon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21" fillId="11" borderId="54" xfId="0" applyFont="1" applyFill="1" applyBorder="1"/>
    <xf numFmtId="0" fontId="79" fillId="0" borderId="2" xfId="0" applyFont="1" applyFill="1" applyBorder="1" applyAlignment="1">
      <alignment horizontal="left" vertical="center" wrapText="1"/>
    </xf>
    <xf numFmtId="3" fontId="22" fillId="8" borderId="33" xfId="0" applyNumberFormat="1" applyFont="1" applyFill="1" applyBorder="1" applyAlignment="1">
      <alignment horizontal="right"/>
    </xf>
    <xf numFmtId="3" fontId="22" fillId="8" borderId="34" xfId="0" applyNumberFormat="1" applyFont="1" applyFill="1" applyBorder="1" applyAlignment="1">
      <alignment horizontal="right"/>
    </xf>
    <xf numFmtId="3" fontId="8" fillId="2" borderId="34" xfId="0" applyNumberFormat="1" applyFont="1" applyFill="1" applyBorder="1" applyAlignment="1">
      <alignment horizontal="right"/>
    </xf>
    <xf numFmtId="3" fontId="32" fillId="25" borderId="33" xfId="0" applyNumberFormat="1" applyFont="1" applyFill="1" applyBorder="1" applyAlignment="1">
      <alignment horizontal="right" vertical="center"/>
    </xf>
    <xf numFmtId="3" fontId="21" fillId="11" borderId="34" xfId="0" applyNumberFormat="1" applyFont="1" applyFill="1" applyBorder="1" applyAlignment="1">
      <alignment horizontal="right"/>
    </xf>
    <xf numFmtId="3" fontId="6" fillId="2" borderId="34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6" fillId="11" borderId="34" xfId="0" applyNumberFormat="1" applyFont="1" applyFill="1" applyBorder="1"/>
    <xf numFmtId="49" fontId="13" fillId="11" borderId="38" xfId="0" applyNumberFormat="1" applyFont="1" applyFill="1" applyBorder="1" applyAlignment="1">
      <alignment horizontal="center"/>
    </xf>
    <xf numFmtId="49" fontId="4" fillId="11" borderId="38" xfId="0" applyNumberFormat="1" applyFont="1" applyFill="1" applyBorder="1" applyAlignment="1">
      <alignment horizontal="center"/>
    </xf>
    <xf numFmtId="0" fontId="21" fillId="11" borderId="38" xfId="0" applyFont="1" applyFill="1" applyBorder="1"/>
    <xf numFmtId="3" fontId="21" fillId="11" borderId="34" xfId="0" applyNumberFormat="1" applyFont="1" applyFill="1" applyBorder="1" applyAlignment="1">
      <alignment horizontal="right" vertical="center"/>
    </xf>
    <xf numFmtId="3" fontId="40" fillId="15" borderId="12" xfId="0" applyNumberFormat="1" applyFont="1" applyFill="1" applyBorder="1" applyAlignment="1">
      <alignment horizontal="right"/>
    </xf>
    <xf numFmtId="3" fontId="40" fillId="4" borderId="4" xfId="0" applyNumberFormat="1" applyFont="1" applyFill="1" applyBorder="1" applyAlignment="1">
      <alignment horizontal="right"/>
    </xf>
    <xf numFmtId="0" fontId="6" fillId="11" borderId="1" xfId="0" applyFont="1" applyFill="1" applyBorder="1"/>
    <xf numFmtId="3" fontId="7" fillId="2" borderId="33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0" fontId="35" fillId="0" borderId="0" xfId="0" applyFont="1" applyFill="1" applyBorder="1" applyAlignment="1"/>
    <xf numFmtId="0" fontId="75" fillId="0" borderId="0" xfId="0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1" fillId="11" borderId="2" xfId="0" applyFont="1" applyFill="1" applyBorder="1" applyAlignment="1">
      <alignment vertical="center" wrapText="1"/>
    </xf>
    <xf numFmtId="0" fontId="28" fillId="11" borderId="0" xfId="0" applyFont="1" applyFill="1" applyAlignment="1">
      <alignment vertical="center"/>
    </xf>
    <xf numFmtId="3" fontId="40" fillId="4" borderId="13" xfId="0" applyNumberFormat="1" applyFont="1" applyFill="1" applyBorder="1" applyAlignment="1">
      <alignment horizontal="right"/>
    </xf>
    <xf numFmtId="49" fontId="4" fillId="14" borderId="28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13" fillId="16" borderId="3" xfId="0" applyFont="1" applyFill="1" applyBorder="1" applyAlignment="1">
      <alignment horizontal="center"/>
    </xf>
    <xf numFmtId="0" fontId="36" fillId="0" borderId="31" xfId="0" applyFont="1" applyBorder="1" applyAlignment="1">
      <alignment horizontal="center"/>
    </xf>
    <xf numFmtId="3" fontId="60" fillId="20" borderId="55" xfId="0" applyNumberFormat="1" applyFont="1" applyFill="1" applyBorder="1" applyAlignment="1"/>
    <xf numFmtId="0" fontId="3" fillId="10" borderId="16" xfId="0" applyFont="1" applyFill="1" applyBorder="1" applyAlignment="1"/>
    <xf numFmtId="0" fontId="1" fillId="10" borderId="56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46" fillId="13" borderId="57" xfId="0" applyNumberFormat="1" applyFont="1" applyFill="1" applyBorder="1" applyAlignment="1">
      <alignment vertical="center"/>
    </xf>
    <xf numFmtId="0" fontId="4" fillId="12" borderId="26" xfId="0" applyFont="1" applyFill="1" applyBorder="1" applyAlignment="1">
      <alignment horizontal="center"/>
    </xf>
    <xf numFmtId="0" fontId="9" fillId="12" borderId="26" xfId="0" applyFont="1" applyFill="1" applyBorder="1" applyAlignment="1">
      <alignment horizontal="center"/>
    </xf>
    <xf numFmtId="0" fontId="9" fillId="26" borderId="28" xfId="0" applyFont="1" applyFill="1" applyBorder="1" applyAlignment="1"/>
    <xf numFmtId="3" fontId="40" fillId="26" borderId="3" xfId="0" applyNumberFormat="1" applyFont="1" applyFill="1" applyBorder="1" applyAlignment="1">
      <alignment horizontal="right"/>
    </xf>
    <xf numFmtId="3" fontId="44" fillId="26" borderId="12" xfId="0" applyNumberFormat="1" applyFont="1" applyFill="1" applyBorder="1" applyAlignment="1">
      <alignment horizontal="right"/>
    </xf>
    <xf numFmtId="0" fontId="6" fillId="26" borderId="2" xfId="0" applyFont="1" applyFill="1" applyBorder="1" applyAlignment="1"/>
    <xf numFmtId="0" fontId="13" fillId="26" borderId="28" xfId="0" applyFont="1" applyFill="1" applyBorder="1" applyAlignment="1"/>
    <xf numFmtId="3" fontId="9" fillId="26" borderId="3" xfId="0" applyNumberFormat="1" applyFont="1" applyFill="1" applyBorder="1" applyAlignment="1">
      <alignment horizontal="right"/>
    </xf>
    <xf numFmtId="3" fontId="9" fillId="26" borderId="33" xfId="0" applyNumberFormat="1" applyFont="1" applyFill="1" applyBorder="1"/>
    <xf numFmtId="0" fontId="13" fillId="26" borderId="28" xfId="0" applyFont="1" applyFill="1" applyBorder="1" applyAlignment="1">
      <alignment horizontal="center"/>
    </xf>
    <xf numFmtId="3" fontId="9" fillId="26" borderId="2" xfId="0" applyNumberFormat="1" applyFont="1" applyFill="1" applyBorder="1" applyAlignment="1"/>
    <xf numFmtId="3" fontId="9" fillId="26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center"/>
    </xf>
    <xf numFmtId="0" fontId="21" fillId="11" borderId="1" xfId="0" applyFont="1" applyFill="1" applyBorder="1"/>
    <xf numFmtId="3" fontId="21" fillId="11" borderId="1" xfId="0" applyNumberFormat="1" applyFont="1" applyFill="1" applyBorder="1" applyAlignment="1">
      <alignment horizontal="right"/>
    </xf>
    <xf numFmtId="3" fontId="21" fillId="11" borderId="49" xfId="0" applyNumberFormat="1" applyFont="1" applyFill="1" applyBorder="1" applyAlignment="1">
      <alignment horizontal="right"/>
    </xf>
    <xf numFmtId="3" fontId="21" fillId="11" borderId="33" xfId="0" applyNumberFormat="1" applyFont="1" applyFill="1" applyBorder="1"/>
    <xf numFmtId="3" fontId="9" fillId="11" borderId="1" xfId="0" applyNumberFormat="1" applyFont="1" applyFill="1" applyBorder="1" applyAlignment="1">
      <alignment horizontal="right"/>
    </xf>
    <xf numFmtId="3" fontId="26" fillId="11" borderId="12" xfId="0" applyNumberFormat="1" applyFont="1" applyFill="1" applyBorder="1" applyAlignment="1">
      <alignment horizontal="right"/>
    </xf>
    <xf numFmtId="3" fontId="9" fillId="11" borderId="33" xfId="0" applyNumberFormat="1" applyFont="1" applyFill="1" applyBorder="1"/>
    <xf numFmtId="3" fontId="21" fillId="11" borderId="1" xfId="0" applyNumberFormat="1" applyFont="1" applyFill="1" applyBorder="1" applyAlignment="1">
      <alignment horizontal="right" vertical="center"/>
    </xf>
    <xf numFmtId="3" fontId="21" fillId="11" borderId="49" xfId="0" applyNumberFormat="1" applyFont="1" applyFill="1" applyBorder="1" applyAlignment="1">
      <alignment horizontal="right" vertical="center"/>
    </xf>
    <xf numFmtId="0" fontId="21" fillId="0" borderId="6" xfId="0" applyFont="1" applyFill="1" applyBorder="1"/>
    <xf numFmtId="3" fontId="21" fillId="0" borderId="1" xfId="0" applyNumberFormat="1" applyFont="1" applyFill="1" applyBorder="1" applyAlignment="1">
      <alignment horizontal="right" vertical="center"/>
    </xf>
    <xf numFmtId="3" fontId="6" fillId="14" borderId="1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8" fillId="2" borderId="33" xfId="0" applyNumberFormat="1" applyFont="1" applyFill="1" applyBorder="1" applyAlignment="1">
      <alignment horizontal="right"/>
    </xf>
    <xf numFmtId="3" fontId="8" fillId="11" borderId="34" xfId="0" applyNumberFormat="1" applyFont="1" applyFill="1" applyBorder="1" applyAlignment="1">
      <alignment horizontal="right"/>
    </xf>
    <xf numFmtId="3" fontId="9" fillId="15" borderId="3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74" fillId="12" borderId="51" xfId="0" applyNumberFormat="1" applyFont="1" applyFill="1" applyBorder="1" applyAlignment="1">
      <alignment horizontal="center" vertical="center" wrapText="1"/>
    </xf>
    <xf numFmtId="3" fontId="33" fillId="12" borderId="34" xfId="0" applyNumberFormat="1" applyFont="1" applyFill="1" applyBorder="1" applyAlignment="1">
      <alignment horizontal="right"/>
    </xf>
    <xf numFmtId="3" fontId="33" fillId="12" borderId="33" xfId="0" applyNumberFormat="1" applyFont="1" applyFill="1" applyBorder="1" applyAlignment="1">
      <alignment horizontal="right"/>
    </xf>
    <xf numFmtId="4" fontId="44" fillId="11" borderId="33" xfId="0" applyNumberFormat="1" applyFont="1" applyFill="1" applyBorder="1" applyAlignment="1">
      <alignment horizontal="right"/>
    </xf>
    <xf numFmtId="3" fontId="44" fillId="12" borderId="33" xfId="0" applyNumberFormat="1" applyFont="1" applyFill="1" applyBorder="1" applyAlignment="1">
      <alignment horizontal="right"/>
    </xf>
    <xf numFmtId="4" fontId="25" fillId="12" borderId="29" xfId="0" applyNumberFormat="1" applyFont="1" applyFill="1" applyBorder="1" applyAlignment="1">
      <alignment horizontal="right"/>
    </xf>
    <xf numFmtId="4" fontId="25" fillId="12" borderId="34" xfId="0" applyNumberFormat="1" applyFont="1" applyFill="1" applyBorder="1" applyAlignment="1">
      <alignment horizontal="right"/>
    </xf>
    <xf numFmtId="4" fontId="25" fillId="12" borderId="40" xfId="0" applyNumberFormat="1" applyFont="1" applyFill="1" applyBorder="1" applyAlignment="1">
      <alignment horizontal="right"/>
    </xf>
    <xf numFmtId="3" fontId="26" fillId="11" borderId="3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3" fontId="62" fillId="25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62" fillId="25" borderId="33" xfId="0" applyNumberFormat="1" applyFont="1" applyFill="1" applyBorder="1" applyAlignment="1">
      <alignment horizontal="right" vertical="center"/>
    </xf>
    <xf numFmtId="3" fontId="7" fillId="8" borderId="34" xfId="0" applyNumberFormat="1" applyFont="1" applyFill="1" applyBorder="1" applyAlignment="1">
      <alignment horizontal="right"/>
    </xf>
    <xf numFmtId="3" fontId="7" fillId="11" borderId="34" xfId="0" applyNumberFormat="1" applyFont="1" applyFill="1" applyBorder="1" applyAlignment="1">
      <alignment horizontal="right"/>
    </xf>
    <xf numFmtId="3" fontId="6" fillId="2" borderId="40" xfId="0" applyNumberFormat="1" applyFont="1" applyFill="1" applyBorder="1" applyAlignment="1">
      <alignment horizontal="right"/>
    </xf>
    <xf numFmtId="3" fontId="8" fillId="8" borderId="37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3" fontId="8" fillId="2" borderId="58" xfId="0" applyNumberFormat="1" applyFont="1" applyFill="1" applyBorder="1" applyAlignment="1">
      <alignment horizontal="right"/>
    </xf>
    <xf numFmtId="3" fontId="62" fillId="25" borderId="40" xfId="0" applyNumberFormat="1" applyFont="1" applyFill="1" applyBorder="1" applyAlignment="1">
      <alignment horizontal="right"/>
    </xf>
    <xf numFmtId="3" fontId="25" fillId="2" borderId="34" xfId="0" applyNumberFormat="1" applyFont="1" applyFill="1" applyBorder="1"/>
    <xf numFmtId="3" fontId="7" fillId="2" borderId="34" xfId="0" applyNumberFormat="1" applyFont="1" applyFill="1" applyBorder="1"/>
    <xf numFmtId="3" fontId="8" fillId="2" borderId="34" xfId="0" applyNumberFormat="1" applyFont="1" applyFill="1" applyBorder="1"/>
    <xf numFmtId="3" fontId="25" fillId="0" borderId="34" xfId="0" applyNumberFormat="1" applyFont="1" applyFill="1" applyBorder="1"/>
    <xf numFmtId="3" fontId="86" fillId="25" borderId="59" xfId="0" applyNumberFormat="1" applyFont="1" applyFill="1" applyBorder="1"/>
    <xf numFmtId="3" fontId="86" fillId="25" borderId="33" xfId="0" applyNumberFormat="1" applyFont="1" applyFill="1" applyBorder="1"/>
    <xf numFmtId="3" fontId="86" fillId="25" borderId="40" xfId="0" applyNumberFormat="1" applyFont="1" applyFill="1" applyBorder="1"/>
    <xf numFmtId="0" fontId="63" fillId="23" borderId="28" xfId="0" applyFont="1" applyFill="1" applyBorder="1" applyAlignment="1"/>
    <xf numFmtId="0" fontId="67" fillId="23" borderId="6" xfId="0" applyFont="1" applyFill="1" applyBorder="1" applyAlignment="1"/>
    <xf numFmtId="0" fontId="16" fillId="11" borderId="26" xfId="0" applyFont="1" applyFill="1" applyBorder="1" applyAlignment="1"/>
    <xf numFmtId="0" fontId="11" fillId="11" borderId="5" xfId="0" applyFont="1" applyFill="1" applyBorder="1" applyAlignment="1"/>
    <xf numFmtId="0" fontId="42" fillId="7" borderId="60" xfId="0" applyFont="1" applyFill="1" applyBorder="1" applyAlignment="1">
      <alignment horizontal="left" vertical="center"/>
    </xf>
    <xf numFmtId="0" fontId="3" fillId="11" borderId="56" xfId="0" applyFont="1" applyFill="1" applyBorder="1" applyAlignment="1">
      <alignment horizontal="center"/>
    </xf>
    <xf numFmtId="3" fontId="9" fillId="11" borderId="34" xfId="0" applyNumberFormat="1" applyFont="1" applyFill="1" applyBorder="1"/>
    <xf numFmtId="3" fontId="6" fillId="11" borderId="29" xfId="0" applyNumberFormat="1" applyFont="1" applyFill="1" applyBorder="1"/>
    <xf numFmtId="0" fontId="3" fillId="0" borderId="32" xfId="0" applyFont="1" applyFill="1" applyBorder="1" applyAlignment="1">
      <alignment horizontal="center"/>
    </xf>
    <xf numFmtId="3" fontId="22" fillId="8" borderId="3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4" fillId="0" borderId="25" xfId="0" applyFont="1" applyBorder="1"/>
    <xf numFmtId="0" fontId="3" fillId="2" borderId="25" xfId="0" applyFont="1" applyFill="1" applyBorder="1"/>
    <xf numFmtId="3" fontId="8" fillId="2" borderId="2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8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4" fillId="0" borderId="8" xfId="0" applyFont="1" applyBorder="1"/>
    <xf numFmtId="3" fontId="8" fillId="2" borderId="8" xfId="0" applyNumberFormat="1" applyFont="1" applyFill="1" applyBorder="1" applyAlignment="1">
      <alignment horizontal="right"/>
    </xf>
    <xf numFmtId="0" fontId="80" fillId="3" borderId="5" xfId="0" applyFont="1" applyFill="1" applyBorder="1" applyAlignment="1"/>
    <xf numFmtId="0" fontId="4" fillId="11" borderId="1" xfId="0" applyFont="1" applyFill="1" applyBorder="1"/>
    <xf numFmtId="0" fontId="9" fillId="26" borderId="1" xfId="0" applyFont="1" applyFill="1" applyBorder="1" applyAlignment="1"/>
    <xf numFmtId="0" fontId="21" fillId="0" borderId="4" xfId="0" applyFont="1" applyFill="1" applyBorder="1" applyAlignment="1">
      <alignment vertical="center" wrapText="1"/>
    </xf>
    <xf numFmtId="0" fontId="21" fillId="11" borderId="2" xfId="0" applyFont="1" applyFill="1" applyBorder="1" applyAlignment="1">
      <alignment wrapText="1"/>
    </xf>
    <xf numFmtId="3" fontId="61" fillId="23" borderId="59" xfId="0" applyNumberFormat="1" applyFont="1" applyFill="1" applyBorder="1" applyAlignment="1">
      <alignment horizontal="right"/>
    </xf>
    <xf numFmtId="3" fontId="25" fillId="21" borderId="34" xfId="0" applyNumberFormat="1" applyFont="1" applyFill="1" applyBorder="1" applyAlignment="1">
      <alignment horizontal="right"/>
    </xf>
    <xf numFmtId="3" fontId="61" fillId="23" borderId="34" xfId="0" applyNumberFormat="1" applyFont="1" applyFill="1" applyBorder="1" applyAlignment="1">
      <alignment horizontal="right"/>
    </xf>
    <xf numFmtId="3" fontId="45" fillId="11" borderId="33" xfId="0" applyNumberFormat="1" applyFont="1" applyFill="1" applyBorder="1" applyAlignment="1">
      <alignment horizontal="right"/>
    </xf>
    <xf numFmtId="3" fontId="29" fillId="27" borderId="61" xfId="0" applyNumberFormat="1" applyFont="1" applyFill="1" applyBorder="1" applyAlignment="1">
      <alignment horizontal="right"/>
    </xf>
    <xf numFmtId="3" fontId="25" fillId="21" borderId="33" xfId="0" applyNumberFormat="1" applyFont="1" applyFill="1" applyBorder="1" applyAlignment="1">
      <alignment horizontal="right"/>
    </xf>
    <xf numFmtId="0" fontId="14" fillId="0" borderId="42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3" fillId="0" borderId="41" xfId="0" applyNumberFormat="1" applyFont="1" applyFill="1" applyBorder="1"/>
    <xf numFmtId="3" fontId="8" fillId="2" borderId="30" xfId="0" applyNumberFormat="1" applyFont="1" applyFill="1" applyBorder="1" applyAlignment="1">
      <alignment horizontal="right"/>
    </xf>
    <xf numFmtId="3" fontId="38" fillId="25" borderId="30" xfId="0" applyNumberFormat="1" applyFont="1" applyFill="1" applyBorder="1" applyAlignment="1">
      <alignment vertical="center"/>
    </xf>
    <xf numFmtId="0" fontId="57" fillId="17" borderId="24" xfId="0" applyFont="1" applyFill="1" applyBorder="1" applyAlignment="1">
      <alignment vertical="center"/>
    </xf>
    <xf numFmtId="0" fontId="1" fillId="0" borderId="6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49" fontId="13" fillId="11" borderId="11" xfId="0" applyNumberFormat="1" applyFont="1" applyFill="1" applyBorder="1" applyAlignment="1">
      <alignment horizontal="center"/>
    </xf>
    <xf numFmtId="3" fontId="9" fillId="11" borderId="37" xfId="0" applyNumberFormat="1" applyFont="1" applyFill="1" applyBorder="1"/>
    <xf numFmtId="0" fontId="1" fillId="0" borderId="12" xfId="0" applyFont="1" applyBorder="1" applyAlignment="1">
      <alignment horizontal="center"/>
    </xf>
    <xf numFmtId="49" fontId="40" fillId="11" borderId="1" xfId="0" applyNumberFormat="1" applyFont="1" applyFill="1" applyBorder="1" applyAlignment="1">
      <alignment horizontal="left"/>
    </xf>
    <xf numFmtId="49" fontId="4" fillId="15" borderId="1" xfId="0" applyNumberFormat="1" applyFont="1" applyFill="1" applyBorder="1" applyAlignment="1">
      <alignment horizontal="center"/>
    </xf>
    <xf numFmtId="0" fontId="9" fillId="26" borderId="26" xfId="0" applyFont="1" applyFill="1" applyBorder="1" applyAlignment="1"/>
    <xf numFmtId="0" fontId="13" fillId="26" borderId="26" xfId="0" applyFont="1" applyFill="1" applyBorder="1" applyAlignment="1">
      <alignment horizontal="center"/>
    </xf>
    <xf numFmtId="0" fontId="13" fillId="26" borderId="26" xfId="0" applyFont="1" applyFill="1" applyBorder="1" applyAlignment="1"/>
    <xf numFmtId="0" fontId="6" fillId="26" borderId="4" xfId="0" applyFont="1" applyFill="1" applyBorder="1" applyAlignment="1"/>
    <xf numFmtId="0" fontId="36" fillId="0" borderId="62" xfId="0" applyFont="1" applyBorder="1" applyAlignment="1">
      <alignment horizontal="center"/>
    </xf>
    <xf numFmtId="49" fontId="4" fillId="11" borderId="11" xfId="0" applyNumberFormat="1" applyFont="1" applyFill="1" applyBorder="1" applyAlignment="1">
      <alignment horizontal="left" vertical="center" wrapText="1"/>
    </xf>
    <xf numFmtId="0" fontId="21" fillId="11" borderId="9" xfId="0" applyFont="1" applyFill="1" applyBorder="1" applyAlignment="1">
      <alignment horizontal="left" vertical="center" wrapText="1"/>
    </xf>
    <xf numFmtId="49" fontId="4" fillId="11" borderId="1" xfId="0" applyNumberFormat="1" applyFont="1" applyFill="1" applyBorder="1" applyAlignment="1">
      <alignment horizontal="left" vertical="center" wrapText="1"/>
    </xf>
    <xf numFmtId="0" fontId="79" fillId="0" borderId="4" xfId="0" applyFont="1" applyFill="1" applyBorder="1" applyAlignment="1">
      <alignment horizontal="left" vertical="center" wrapText="1"/>
    </xf>
    <xf numFmtId="3" fontId="21" fillId="11" borderId="1" xfId="0" applyNumberFormat="1" applyFont="1" applyFill="1" applyBorder="1" applyAlignment="1">
      <alignment vertical="center"/>
    </xf>
    <xf numFmtId="0" fontId="10" fillId="3" borderId="26" xfId="0" applyFont="1" applyFill="1" applyBorder="1" applyAlignment="1"/>
    <xf numFmtId="3" fontId="21" fillId="0" borderId="1" xfId="0" applyNumberFormat="1" applyFont="1" applyFill="1" applyBorder="1" applyAlignment="1">
      <alignment vertical="center"/>
    </xf>
    <xf numFmtId="3" fontId="21" fillId="11" borderId="18" xfId="0" applyNumberFormat="1" applyFont="1" applyFill="1" applyBorder="1" applyAlignment="1">
      <alignment horizontal="right"/>
    </xf>
    <xf numFmtId="0" fontId="36" fillId="0" borderId="12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2" borderId="47" xfId="0" applyNumberFormat="1" applyFont="1" applyFill="1" applyBorder="1"/>
    <xf numFmtId="3" fontId="8" fillId="2" borderId="37" xfId="0" applyNumberFormat="1" applyFont="1" applyFill="1" applyBorder="1" applyAlignment="1">
      <alignment horizontal="right"/>
    </xf>
    <xf numFmtId="0" fontId="21" fillId="28" borderId="1" xfId="0" applyFont="1" applyFill="1" applyBorder="1"/>
    <xf numFmtId="3" fontId="21" fillId="28" borderId="1" xfId="0" applyNumberFormat="1" applyFont="1" applyFill="1" applyBorder="1" applyAlignment="1">
      <alignment horizontal="right"/>
    </xf>
    <xf numFmtId="0" fontId="3" fillId="11" borderId="49" xfId="0" applyFont="1" applyFill="1" applyBorder="1" applyAlignment="1">
      <alignment horizontal="center"/>
    </xf>
    <xf numFmtId="0" fontId="21" fillId="11" borderId="49" xfId="0" applyFont="1" applyFill="1" applyBorder="1"/>
    <xf numFmtId="49" fontId="4" fillId="11" borderId="26" xfId="0" applyNumberFormat="1" applyFont="1" applyFill="1" applyBorder="1" applyAlignment="1">
      <alignment horizontal="center"/>
    </xf>
    <xf numFmtId="3" fontId="9" fillId="26" borderId="12" xfId="0" applyNumberFormat="1" applyFont="1" applyFill="1" applyBorder="1" applyAlignment="1">
      <alignment horizontal="right"/>
    </xf>
    <xf numFmtId="0" fontId="36" fillId="0" borderId="13" xfId="0" applyFont="1" applyBorder="1" applyAlignment="1">
      <alignment horizontal="center"/>
    </xf>
    <xf numFmtId="49" fontId="13" fillId="11" borderId="2" xfId="0" applyNumberFormat="1" applyFont="1" applyFill="1" applyBorder="1" applyAlignment="1">
      <alignment horizontal="center"/>
    </xf>
    <xf numFmtId="49" fontId="13" fillId="11" borderId="49" xfId="0" applyNumberFormat="1" applyFont="1" applyFill="1" applyBorder="1" applyAlignment="1">
      <alignment horizontal="center"/>
    </xf>
    <xf numFmtId="49" fontId="4" fillId="11" borderId="49" xfId="0" applyNumberFormat="1" applyFont="1" applyFill="1" applyBorder="1" applyAlignment="1">
      <alignment horizontal="center"/>
    </xf>
    <xf numFmtId="0" fontId="3" fillId="11" borderId="28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3" fontId="21" fillId="11" borderId="13" xfId="0" applyNumberFormat="1" applyFont="1" applyFill="1" applyBorder="1" applyAlignment="1">
      <alignment horizontal="right"/>
    </xf>
    <xf numFmtId="0" fontId="3" fillId="0" borderId="49" xfId="0" applyFont="1" applyFill="1" applyBorder="1" applyAlignment="1">
      <alignment horizontal="center"/>
    </xf>
    <xf numFmtId="3" fontId="21" fillId="11" borderId="29" xfId="0" applyNumberFormat="1" applyFont="1" applyFill="1" applyBorder="1" applyAlignment="1">
      <alignment horizontal="right" vertical="center"/>
    </xf>
    <xf numFmtId="0" fontId="3" fillId="11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11" borderId="42" xfId="0" applyNumberFormat="1" applyFont="1" applyFill="1" applyBorder="1" applyAlignment="1">
      <alignment horizontal="center"/>
    </xf>
    <xf numFmtId="0" fontId="4" fillId="11" borderId="73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0" fontId="3" fillId="2" borderId="0" xfId="0" applyFont="1" applyFill="1" applyBorder="1"/>
    <xf numFmtId="3" fontId="6" fillId="11" borderId="34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3" fillId="28" borderId="49" xfId="0" applyFont="1" applyFill="1" applyBorder="1" applyAlignment="1">
      <alignment horizontal="center"/>
    </xf>
    <xf numFmtId="0" fontId="21" fillId="28" borderId="49" xfId="0" applyFont="1" applyFill="1" applyBorder="1"/>
    <xf numFmtId="3" fontId="21" fillId="28" borderId="33" xfId="0" applyNumberFormat="1" applyFont="1" applyFill="1" applyBorder="1"/>
    <xf numFmtId="0" fontId="3" fillId="28" borderId="1" xfId="0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right"/>
    </xf>
    <xf numFmtId="3" fontId="21" fillId="28" borderId="37" xfId="0" applyNumberFormat="1" applyFont="1" applyFill="1" applyBorder="1"/>
    <xf numFmtId="3" fontId="21" fillId="28" borderId="49" xfId="0" applyNumberFormat="1" applyFont="1" applyFill="1" applyBorder="1" applyAlignment="1">
      <alignment horizontal="right"/>
    </xf>
    <xf numFmtId="3" fontId="21" fillId="28" borderId="29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21" fillId="14" borderId="1" xfId="0" applyFont="1" applyFill="1" applyBorder="1"/>
    <xf numFmtId="3" fontId="21" fillId="14" borderId="29" xfId="0" applyNumberFormat="1" applyFont="1" applyFill="1" applyBorder="1"/>
    <xf numFmtId="0" fontId="3" fillId="29" borderId="1" xfId="0" applyFont="1" applyFill="1" applyBorder="1" applyAlignment="1">
      <alignment horizontal="center"/>
    </xf>
    <xf numFmtId="0" fontId="21" fillId="29" borderId="1" xfId="0" applyFont="1" applyFill="1" applyBorder="1"/>
    <xf numFmtId="3" fontId="21" fillId="29" borderId="49" xfId="0" applyNumberFormat="1" applyFont="1" applyFill="1" applyBorder="1" applyAlignment="1">
      <alignment horizontal="right"/>
    </xf>
    <xf numFmtId="3" fontId="21" fillId="29" borderId="29" xfId="0" applyNumberFormat="1" applyFont="1" applyFill="1" applyBorder="1"/>
    <xf numFmtId="0" fontId="3" fillId="29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vertical="center" wrapText="1"/>
    </xf>
    <xf numFmtId="3" fontId="21" fillId="29" borderId="49" xfId="0" applyNumberFormat="1" applyFont="1" applyFill="1" applyBorder="1" applyAlignment="1">
      <alignment horizontal="right" vertical="center"/>
    </xf>
    <xf numFmtId="3" fontId="21" fillId="29" borderId="29" xfId="0" applyNumberFormat="1" applyFont="1" applyFill="1" applyBorder="1" applyAlignment="1">
      <alignment vertical="center"/>
    </xf>
    <xf numFmtId="0" fontId="3" fillId="29" borderId="49" xfId="0" applyFont="1" applyFill="1" applyBorder="1" applyAlignment="1">
      <alignment horizontal="center"/>
    </xf>
    <xf numFmtId="0" fontId="4" fillId="29" borderId="49" xfId="0" applyFont="1" applyFill="1" applyBorder="1" applyAlignment="1">
      <alignment wrapText="1"/>
    </xf>
    <xf numFmtId="0" fontId="21" fillId="31" borderId="2" xfId="0" applyFont="1" applyFill="1" applyBorder="1"/>
    <xf numFmtId="3" fontId="21" fillId="31" borderId="1" xfId="0" applyNumberFormat="1" applyFont="1" applyFill="1" applyBorder="1" applyAlignment="1">
      <alignment horizontal="right"/>
    </xf>
    <xf numFmtId="3" fontId="21" fillId="31" borderId="3" xfId="0" applyNumberFormat="1" applyFont="1" applyFill="1" applyBorder="1" applyAlignment="1">
      <alignment horizontal="right"/>
    </xf>
    <xf numFmtId="3" fontId="21" fillId="31" borderId="34" xfId="0" applyNumberFormat="1" applyFont="1" applyFill="1" applyBorder="1"/>
    <xf numFmtId="0" fontId="21" fillId="22" borderId="2" xfId="0" applyFont="1" applyFill="1" applyBorder="1"/>
    <xf numFmtId="3" fontId="21" fillId="22" borderId="1" xfId="0" applyNumberFormat="1" applyFont="1" applyFill="1" applyBorder="1" applyAlignment="1">
      <alignment horizontal="right"/>
    </xf>
    <xf numFmtId="0" fontId="21" fillId="29" borderId="2" xfId="0" applyFont="1" applyFill="1" applyBorder="1"/>
    <xf numFmtId="3" fontId="21" fillId="29" borderId="1" xfId="0" applyNumberFormat="1" applyFont="1" applyFill="1" applyBorder="1" applyAlignment="1">
      <alignment horizontal="right"/>
    </xf>
    <xf numFmtId="3" fontId="21" fillId="29" borderId="3" xfId="0" applyNumberFormat="1" applyFont="1" applyFill="1" applyBorder="1" applyAlignment="1">
      <alignment horizontal="right"/>
    </xf>
    <xf numFmtId="3" fontId="21" fillId="29" borderId="34" xfId="0" applyNumberFormat="1" applyFont="1" applyFill="1" applyBorder="1"/>
    <xf numFmtId="0" fontId="3" fillId="31" borderId="1" xfId="0" applyFont="1" applyFill="1" applyBorder="1" applyAlignment="1">
      <alignment horizontal="center"/>
    </xf>
    <xf numFmtId="0" fontId="21" fillId="14" borderId="4" xfId="0" applyFont="1" applyFill="1" applyBorder="1"/>
    <xf numFmtId="3" fontId="21" fillId="14" borderId="33" xfId="0" applyNumberFormat="1" applyFont="1" applyFill="1" applyBorder="1"/>
    <xf numFmtId="49" fontId="4" fillId="30" borderId="3" xfId="0" applyNumberFormat="1" applyFont="1" applyFill="1" applyBorder="1" applyAlignment="1">
      <alignment horizontal="center"/>
    </xf>
    <xf numFmtId="0" fontId="21" fillId="30" borderId="2" xfId="0" applyFont="1" applyFill="1" applyBorder="1"/>
    <xf numFmtId="3" fontId="21" fillId="30" borderId="1" xfId="0" applyNumberFormat="1" applyFont="1" applyFill="1" applyBorder="1" applyAlignment="1">
      <alignment horizontal="right"/>
    </xf>
    <xf numFmtId="3" fontId="21" fillId="30" borderId="32" xfId="0" applyNumberFormat="1" applyFont="1" applyFill="1" applyBorder="1" applyAlignment="1">
      <alignment horizontal="right"/>
    </xf>
    <xf numFmtId="3" fontId="26" fillId="30" borderId="29" xfId="0" applyNumberFormat="1" applyFont="1" applyFill="1" applyBorder="1"/>
    <xf numFmtId="3" fontId="26" fillId="22" borderId="29" xfId="0" applyNumberFormat="1" applyFont="1" applyFill="1" applyBorder="1"/>
    <xf numFmtId="49" fontId="4" fillId="29" borderId="3" xfId="0" applyNumberFormat="1" applyFont="1" applyFill="1" applyBorder="1" applyAlignment="1">
      <alignment horizontal="center"/>
    </xf>
    <xf numFmtId="3" fontId="21" fillId="29" borderId="32" xfId="0" applyNumberFormat="1" applyFont="1" applyFill="1" applyBorder="1" applyAlignment="1">
      <alignment horizontal="right"/>
    </xf>
    <xf numFmtId="3" fontId="26" fillId="29" borderId="29" xfId="0" applyNumberFormat="1" applyFont="1" applyFill="1" applyBorder="1"/>
    <xf numFmtId="49" fontId="13" fillId="22" borderId="26" xfId="0" applyNumberFormat="1" applyFont="1" applyFill="1" applyBorder="1" applyAlignment="1">
      <alignment horizontal="center"/>
    </xf>
    <xf numFmtId="0" fontId="6" fillId="22" borderId="2" xfId="0" applyFont="1" applyFill="1" applyBorder="1"/>
    <xf numFmtId="3" fontId="6" fillId="22" borderId="1" xfId="0" applyNumberFormat="1" applyFont="1" applyFill="1" applyBorder="1" applyAlignment="1">
      <alignment horizontal="right"/>
    </xf>
    <xf numFmtId="3" fontId="9" fillId="22" borderId="29" xfId="0" applyNumberFormat="1" applyFont="1" applyFill="1" applyBorder="1"/>
    <xf numFmtId="3" fontId="21" fillId="22" borderId="38" xfId="0" applyNumberFormat="1" applyFont="1" applyFill="1" applyBorder="1" applyAlignment="1">
      <alignment horizontal="right"/>
    </xf>
    <xf numFmtId="3" fontId="6" fillId="22" borderId="32" xfId="0" applyNumberFormat="1" applyFont="1" applyFill="1" applyBorder="1" applyAlignment="1">
      <alignment horizontal="right"/>
    </xf>
    <xf numFmtId="0" fontId="21" fillId="22" borderId="2" xfId="0" applyFont="1" applyFill="1" applyBorder="1" applyAlignment="1">
      <alignment wrapText="1"/>
    </xf>
    <xf numFmtId="3" fontId="21" fillId="22" borderId="32" xfId="0" applyNumberFormat="1" applyFont="1" applyFill="1" applyBorder="1" applyAlignment="1">
      <alignment horizontal="right" vertical="center"/>
    </xf>
    <xf numFmtId="3" fontId="26" fillId="22" borderId="29" xfId="0" applyNumberFormat="1" applyFont="1" applyFill="1" applyBorder="1" applyAlignment="1">
      <alignment vertical="center"/>
    </xf>
    <xf numFmtId="0" fontId="3" fillId="31" borderId="1" xfId="0" applyFont="1" applyFill="1" applyBorder="1" applyAlignment="1">
      <alignment horizontal="center" vertical="center"/>
    </xf>
    <xf numFmtId="0" fontId="79" fillId="31" borderId="2" xfId="0" applyFont="1" applyFill="1" applyBorder="1" applyAlignment="1">
      <alignment vertical="center" wrapText="1"/>
    </xf>
    <xf numFmtId="3" fontId="21" fillId="31" borderId="1" xfId="0" applyNumberFormat="1" applyFont="1" applyFill="1" applyBorder="1" applyAlignment="1">
      <alignment horizontal="right" vertical="center"/>
    </xf>
    <xf numFmtId="3" fontId="21" fillId="31" borderId="49" xfId="0" applyNumberFormat="1" applyFont="1" applyFill="1" applyBorder="1" applyAlignment="1">
      <alignment horizontal="right" vertical="center"/>
    </xf>
    <xf numFmtId="3" fontId="21" fillId="31" borderId="33" xfId="0" applyNumberFormat="1" applyFont="1" applyFill="1" applyBorder="1" applyAlignment="1">
      <alignment vertical="center"/>
    </xf>
    <xf numFmtId="0" fontId="3" fillId="14" borderId="3" xfId="0" applyFont="1" applyFill="1" applyBorder="1" applyAlignment="1">
      <alignment horizontal="center"/>
    </xf>
    <xf numFmtId="0" fontId="21" fillId="14" borderId="6" xfId="0" applyFont="1" applyFill="1" applyBorder="1"/>
    <xf numFmtId="3" fontId="21" fillId="14" borderId="1" xfId="0" applyNumberFormat="1" applyFont="1" applyFill="1" applyBorder="1" applyAlignment="1">
      <alignment horizontal="right"/>
    </xf>
    <xf numFmtId="3" fontId="21" fillId="14" borderId="3" xfId="0" applyNumberFormat="1" applyFont="1" applyFill="1" applyBorder="1" applyAlignment="1">
      <alignment horizontal="right"/>
    </xf>
    <xf numFmtId="3" fontId="21" fillId="14" borderId="34" xfId="0" applyNumberFormat="1" applyFont="1" applyFill="1" applyBorder="1"/>
    <xf numFmtId="0" fontId="36" fillId="0" borderId="10" xfId="0" applyFont="1" applyBorder="1" applyAlignment="1">
      <alignment horizontal="center" vertical="center"/>
    </xf>
    <xf numFmtId="3" fontId="40" fillId="26" borderId="12" xfId="0" applyNumberFormat="1" applyFont="1" applyFill="1" applyBorder="1" applyAlignment="1">
      <alignment horizontal="right"/>
    </xf>
    <xf numFmtId="0" fontId="21" fillId="31" borderId="1" xfId="0" applyFont="1" applyFill="1" applyBorder="1"/>
    <xf numFmtId="3" fontId="21" fillId="31" borderId="33" xfId="0" applyNumberFormat="1" applyFont="1" applyFill="1" applyBorder="1"/>
    <xf numFmtId="0" fontId="6" fillId="11" borderId="9" xfId="0" applyFont="1" applyFill="1" applyBorder="1"/>
    <xf numFmtId="0" fontId="3" fillId="22" borderId="38" xfId="0" applyFont="1" applyFill="1" applyBorder="1" applyAlignment="1">
      <alignment horizontal="center"/>
    </xf>
    <xf numFmtId="0" fontId="4" fillId="22" borderId="38" xfId="0" applyFont="1" applyFill="1" applyBorder="1"/>
    <xf numFmtId="3" fontId="4" fillId="22" borderId="38" xfId="0" applyNumberFormat="1" applyFont="1" applyFill="1" applyBorder="1" applyAlignment="1">
      <alignment horizontal="right"/>
    </xf>
    <xf numFmtId="3" fontId="21" fillId="22" borderId="71" xfId="0" applyNumberFormat="1" applyFont="1" applyFill="1" applyBorder="1"/>
    <xf numFmtId="0" fontId="3" fillId="22" borderId="1" xfId="0" applyFont="1" applyFill="1" applyBorder="1" applyAlignment="1">
      <alignment horizontal="center"/>
    </xf>
    <xf numFmtId="0" fontId="4" fillId="22" borderId="1" xfId="0" applyFont="1" applyFill="1" applyBorder="1"/>
    <xf numFmtId="3" fontId="4" fillId="22" borderId="1" xfId="0" applyNumberFormat="1" applyFont="1" applyFill="1" applyBorder="1" applyAlignment="1">
      <alignment horizontal="right"/>
    </xf>
    <xf numFmtId="3" fontId="21" fillId="22" borderId="72" xfId="0" applyNumberFormat="1" applyFont="1" applyFill="1" applyBorder="1"/>
    <xf numFmtId="0" fontId="4" fillId="11" borderId="2" xfId="0" applyFont="1" applyFill="1" applyBorder="1"/>
    <xf numFmtId="0" fontId="3" fillId="0" borderId="26" xfId="0" applyFont="1" applyBorder="1"/>
    <xf numFmtId="0" fontId="77" fillId="11" borderId="0" xfId="0" applyFont="1" applyFill="1" applyAlignment="1">
      <alignment horizontal="center" wrapText="1"/>
    </xf>
    <xf numFmtId="0" fontId="8" fillId="11" borderId="0" xfId="0" applyFont="1" applyFill="1" applyBorder="1" applyAlignment="1">
      <alignment horizontal="center" vertical="center" wrapText="1"/>
    </xf>
    <xf numFmtId="3" fontId="21" fillId="2" borderId="34" xfId="0" applyNumberFormat="1" applyFont="1" applyFill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21" fillId="0" borderId="34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3" fontId="32" fillId="20" borderId="55" xfId="0" applyNumberFormat="1" applyFont="1" applyFill="1" applyBorder="1" applyAlignment="1"/>
    <xf numFmtId="3" fontId="32" fillId="20" borderId="3" xfId="0" applyNumberFormat="1" applyFont="1" applyFill="1" applyBorder="1" applyAlignment="1"/>
    <xf numFmtId="3" fontId="32" fillId="20" borderId="7" xfId="0" applyNumberFormat="1" applyFont="1" applyFill="1" applyBorder="1" applyAlignment="1"/>
    <xf numFmtId="3" fontId="6" fillId="0" borderId="25" xfId="0" applyNumberFormat="1" applyFont="1" applyFill="1" applyBorder="1" applyAlignment="1"/>
    <xf numFmtId="3" fontId="21" fillId="11" borderId="0" xfId="0" applyNumberFormat="1" applyFont="1" applyFill="1" applyBorder="1" applyAlignment="1">
      <alignment horizontal="right" vertical="center"/>
    </xf>
    <xf numFmtId="3" fontId="6" fillId="11" borderId="0" xfId="0" applyNumberFormat="1" applyFont="1" applyFill="1" applyBorder="1" applyAlignment="1">
      <alignment horizontal="right"/>
    </xf>
    <xf numFmtId="3" fontId="46" fillId="19" borderId="51" xfId="0" applyNumberFormat="1" applyFont="1" applyFill="1" applyBorder="1" applyAlignment="1">
      <alignment vertical="center"/>
    </xf>
    <xf numFmtId="3" fontId="46" fillId="19" borderId="48" xfId="0" applyNumberFormat="1" applyFont="1" applyFill="1" applyBorder="1" applyAlignment="1">
      <alignment vertical="center"/>
    </xf>
    <xf numFmtId="3" fontId="32" fillId="20" borderId="38" xfId="0" applyNumberFormat="1" applyFont="1" applyFill="1" applyBorder="1" applyAlignment="1"/>
    <xf numFmtId="3" fontId="4" fillId="11" borderId="0" xfId="0" applyNumberFormat="1" applyFont="1" applyFill="1" applyBorder="1" applyAlignment="1">
      <alignment vertical="center"/>
    </xf>
    <xf numFmtId="0" fontId="53" fillId="11" borderId="0" xfId="0" applyFont="1" applyFill="1" applyBorder="1" applyAlignment="1">
      <alignment horizontal="center" vertical="center" wrapText="1"/>
    </xf>
    <xf numFmtId="3" fontId="32" fillId="11" borderId="0" xfId="0" applyNumberFormat="1" applyFont="1" applyFill="1" applyBorder="1" applyAlignment="1"/>
    <xf numFmtId="3" fontId="18" fillId="11" borderId="0" xfId="0" applyNumberFormat="1" applyFont="1" applyFill="1" applyBorder="1" applyAlignment="1">
      <alignment vertical="center"/>
    </xf>
    <xf numFmtId="3" fontId="13" fillId="11" borderId="0" xfId="0" applyNumberFormat="1" applyFont="1" applyFill="1" applyBorder="1" applyAlignment="1"/>
    <xf numFmtId="3" fontId="6" fillId="11" borderId="0" xfId="0" applyNumberFormat="1" applyFont="1" applyFill="1" applyBorder="1" applyAlignment="1"/>
    <xf numFmtId="3" fontId="40" fillId="11" borderId="0" xfId="0" applyNumberFormat="1" applyFont="1" applyFill="1" applyBorder="1" applyAlignment="1"/>
    <xf numFmtId="49" fontId="72" fillId="11" borderId="0" xfId="0" applyNumberFormat="1" applyFont="1" applyFill="1" applyBorder="1" applyAlignment="1">
      <alignment horizontal="center"/>
    </xf>
    <xf numFmtId="3" fontId="46" fillId="11" borderId="0" xfId="0" applyNumberFormat="1" applyFont="1" applyFill="1" applyBorder="1" applyAlignment="1">
      <alignment vertical="center"/>
    </xf>
    <xf numFmtId="3" fontId="4" fillId="11" borderId="74" xfId="0" applyNumberFormat="1" applyFont="1" applyFill="1" applyBorder="1" applyAlignment="1">
      <alignment horizontal="right"/>
    </xf>
    <xf numFmtId="0" fontId="53" fillId="11" borderId="11" xfId="0" applyFont="1" applyFill="1" applyBorder="1" applyAlignment="1">
      <alignment horizontal="center" vertical="center" wrapText="1"/>
    </xf>
    <xf numFmtId="3" fontId="32" fillId="11" borderId="11" xfId="0" applyNumberFormat="1" applyFont="1" applyFill="1" applyBorder="1" applyAlignment="1"/>
    <xf numFmtId="3" fontId="9" fillId="11" borderId="11" xfId="0" applyNumberFormat="1" applyFont="1" applyFill="1" applyBorder="1" applyAlignment="1">
      <alignment horizontal="right"/>
    </xf>
    <xf numFmtId="3" fontId="4" fillId="11" borderId="11" xfId="0" applyNumberFormat="1" applyFont="1" applyFill="1" applyBorder="1" applyAlignment="1">
      <alignment horizontal="right"/>
    </xf>
    <xf numFmtId="3" fontId="46" fillId="11" borderId="11" xfId="0" applyNumberFormat="1" applyFont="1" applyFill="1" applyBorder="1" applyAlignment="1">
      <alignment vertical="center"/>
    </xf>
    <xf numFmtId="3" fontId="21" fillId="11" borderId="11" xfId="0" applyNumberFormat="1" applyFont="1" applyFill="1" applyBorder="1" applyAlignment="1">
      <alignment horizontal="right" vertical="center"/>
    </xf>
    <xf numFmtId="3" fontId="6" fillId="11" borderId="11" xfId="0" applyNumberFormat="1" applyFont="1" applyFill="1" applyBorder="1" applyAlignment="1">
      <alignment horizontal="right"/>
    </xf>
    <xf numFmtId="3" fontId="4" fillId="11" borderId="11" xfId="0" applyNumberFormat="1" applyFont="1" applyFill="1" applyBorder="1" applyAlignment="1">
      <alignment horizontal="right" vertical="center"/>
    </xf>
    <xf numFmtId="3" fontId="32" fillId="13" borderId="19" xfId="0" applyNumberFormat="1" applyFont="1" applyFill="1" applyBorder="1" applyAlignment="1"/>
    <xf numFmtId="3" fontId="21" fillId="31" borderId="49" xfId="0" applyNumberFormat="1" applyFont="1" applyFill="1" applyBorder="1" applyAlignment="1">
      <alignment horizontal="right"/>
    </xf>
    <xf numFmtId="3" fontId="21" fillId="31" borderId="29" xfId="0" applyNumberFormat="1" applyFont="1" applyFill="1" applyBorder="1"/>
    <xf numFmtId="3" fontId="32" fillId="24" borderId="12" xfId="0" applyNumberFormat="1" applyFont="1" applyFill="1" applyBorder="1" applyAlignment="1"/>
    <xf numFmtId="3" fontId="40" fillId="4" borderId="12" xfId="0" applyNumberFormat="1" applyFont="1" applyFill="1" applyBorder="1" applyAlignment="1">
      <alignment horizontal="right"/>
    </xf>
    <xf numFmtId="3" fontId="40" fillId="4" borderId="33" xfId="0" applyNumberFormat="1" applyFont="1" applyFill="1" applyBorder="1"/>
    <xf numFmtId="3" fontId="4" fillId="11" borderId="25" xfId="0" applyNumberFormat="1" applyFont="1" applyFill="1" applyBorder="1" applyAlignment="1">
      <alignment horizontal="right"/>
    </xf>
    <xf numFmtId="3" fontId="21" fillId="29" borderId="31" xfId="0" applyNumberFormat="1" applyFont="1" applyFill="1" applyBorder="1"/>
    <xf numFmtId="3" fontId="21" fillId="29" borderId="71" xfId="0" applyNumberFormat="1" applyFont="1" applyFill="1" applyBorder="1"/>
    <xf numFmtId="3" fontId="21" fillId="29" borderId="12" xfId="0" applyNumberFormat="1" applyFont="1" applyFill="1" applyBorder="1"/>
    <xf numFmtId="3" fontId="21" fillId="29" borderId="72" xfId="0" applyNumberFormat="1" applyFont="1" applyFill="1" applyBorder="1"/>
    <xf numFmtId="3" fontId="32" fillId="13" borderId="7" xfId="0" applyNumberFormat="1" applyFont="1" applyFill="1" applyBorder="1" applyAlignment="1"/>
    <xf numFmtId="3" fontId="32" fillId="13" borderId="52" xfId="0" applyNumberFormat="1" applyFont="1" applyFill="1" applyBorder="1" applyAlignment="1"/>
    <xf numFmtId="3" fontId="21" fillId="11" borderId="32" xfId="0" applyNumberFormat="1" applyFont="1" applyFill="1" applyBorder="1" applyAlignment="1">
      <alignment horizontal="right" vertical="center"/>
    </xf>
    <xf numFmtId="3" fontId="26" fillId="11" borderId="29" xfId="0" applyNumberFormat="1" applyFont="1" applyFill="1" applyBorder="1" applyAlignment="1">
      <alignment vertical="center"/>
    </xf>
    <xf numFmtId="49" fontId="74" fillId="14" borderId="51" xfId="0" applyNumberFormat="1" applyFont="1" applyFill="1" applyBorder="1" applyAlignment="1">
      <alignment horizontal="center" vertical="center" wrapText="1"/>
    </xf>
    <xf numFmtId="3" fontId="69" fillId="14" borderId="34" xfId="0" applyNumberFormat="1" applyFont="1" applyFill="1" applyBorder="1" applyAlignment="1">
      <alignment horizontal="right"/>
    </xf>
    <xf numFmtId="3" fontId="44" fillId="0" borderId="33" xfId="0" applyNumberFormat="1" applyFont="1" applyFill="1" applyBorder="1" applyAlignment="1">
      <alignment horizontal="right"/>
    </xf>
    <xf numFmtId="3" fontId="44" fillId="14" borderId="33" xfId="0" applyNumberFormat="1" applyFont="1" applyFill="1" applyBorder="1" applyAlignment="1">
      <alignment horizontal="right"/>
    </xf>
    <xf numFmtId="3" fontId="69" fillId="14" borderId="33" xfId="0" applyNumberFormat="1" applyFont="1" applyFill="1" applyBorder="1" applyAlignment="1">
      <alignment horizontal="right"/>
    </xf>
    <xf numFmtId="3" fontId="33" fillId="14" borderId="37" xfId="0" applyNumberFormat="1" applyFont="1" applyFill="1" applyBorder="1" applyAlignment="1">
      <alignment horizontal="right"/>
    </xf>
    <xf numFmtId="3" fontId="33" fillId="14" borderId="34" xfId="0" applyNumberFormat="1" applyFont="1" applyFill="1" applyBorder="1" applyAlignment="1">
      <alignment horizontal="right"/>
    </xf>
    <xf numFmtId="4" fontId="2" fillId="14" borderId="30" xfId="0" applyNumberFormat="1" applyFont="1" applyFill="1" applyBorder="1" applyAlignment="1">
      <alignment horizontal="right"/>
    </xf>
    <xf numFmtId="0" fontId="88" fillId="24" borderId="67" xfId="0" applyFont="1" applyFill="1" applyBorder="1" applyAlignment="1"/>
    <xf numFmtId="3" fontId="29" fillId="23" borderId="59" xfId="0" applyNumberFormat="1" applyFont="1" applyFill="1" applyBorder="1" applyAlignment="1">
      <alignment horizontal="right"/>
    </xf>
    <xf numFmtId="3" fontId="29" fillId="23" borderId="34" xfId="0" applyNumberFormat="1" applyFont="1" applyFill="1" applyBorder="1" applyAlignment="1">
      <alignment horizontal="right"/>
    </xf>
    <xf numFmtId="4" fontId="2" fillId="14" borderId="40" xfId="0" applyNumberFormat="1" applyFont="1" applyFill="1" applyBorder="1" applyAlignment="1">
      <alignment horizontal="right"/>
    </xf>
    <xf numFmtId="0" fontId="36" fillId="0" borderId="12" xfId="0" applyFont="1" applyBorder="1" applyAlignment="1">
      <alignment horizontal="center" vertical="center"/>
    </xf>
    <xf numFmtId="0" fontId="3" fillId="10" borderId="11" xfId="0" applyFont="1" applyFill="1" applyBorder="1" applyAlignment="1"/>
    <xf numFmtId="0" fontId="36" fillId="0" borderId="52" xfId="0" applyFont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3" fillId="11" borderId="38" xfId="0" applyFont="1" applyFill="1" applyBorder="1" applyAlignment="1">
      <alignment horizontal="center"/>
    </xf>
    <xf numFmtId="0" fontId="6" fillId="11" borderId="42" xfId="0" applyFont="1" applyFill="1" applyBorder="1"/>
    <xf numFmtId="3" fontId="6" fillId="11" borderId="38" xfId="0" applyNumberFormat="1" applyFont="1" applyFill="1" applyBorder="1" applyAlignment="1">
      <alignment horizontal="right"/>
    </xf>
    <xf numFmtId="3" fontId="4" fillId="11" borderId="8" xfId="0" applyNumberFormat="1" applyFont="1" applyFill="1" applyBorder="1" applyAlignment="1">
      <alignment horizontal="right"/>
    </xf>
    <xf numFmtId="3" fontId="9" fillId="11" borderId="30" xfId="0" applyNumberFormat="1" applyFont="1" applyFill="1" applyBorder="1"/>
    <xf numFmtId="49" fontId="4" fillId="11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" fontId="21" fillId="11" borderId="34" xfId="0" applyNumberFormat="1" applyFont="1" applyFill="1" applyBorder="1" applyAlignment="1">
      <alignment vertical="center"/>
    </xf>
    <xf numFmtId="49" fontId="74" fillId="22" borderId="51" xfId="0" applyNumberFormat="1" applyFont="1" applyFill="1" applyBorder="1" applyAlignment="1">
      <alignment horizontal="center" vertical="center" wrapText="1"/>
    </xf>
    <xf numFmtId="3" fontId="69" fillId="22" borderId="34" xfId="0" applyNumberFormat="1" applyFont="1" applyFill="1" applyBorder="1" applyAlignment="1">
      <alignment horizontal="right"/>
    </xf>
    <xf numFmtId="3" fontId="40" fillId="22" borderId="33" xfId="0" applyNumberFormat="1" applyFont="1" applyFill="1" applyBorder="1" applyAlignment="1">
      <alignment horizontal="right"/>
    </xf>
    <xf numFmtId="3" fontId="33" fillId="22" borderId="4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/>
    </xf>
    <xf numFmtId="0" fontId="69" fillId="32" borderId="28" xfId="0" applyFont="1" applyFill="1" applyBorder="1"/>
    <xf numFmtId="0" fontId="3" fillId="32" borderId="12" xfId="0" applyFont="1" applyFill="1" applyBorder="1" applyAlignment="1">
      <alignment horizontal="center" vertical="center"/>
    </xf>
    <xf numFmtId="0" fontId="69" fillId="32" borderId="26" xfId="0" applyFont="1" applyFill="1" applyBorder="1"/>
    <xf numFmtId="0" fontId="12" fillId="32" borderId="53" xfId="0" applyFont="1" applyFill="1" applyBorder="1" applyAlignment="1">
      <alignment horizontal="left" vertical="center"/>
    </xf>
    <xf numFmtId="4" fontId="40" fillId="11" borderId="33" xfId="0" applyNumberFormat="1" applyFont="1" applyFill="1" applyBorder="1" applyAlignment="1">
      <alignment horizontal="right"/>
    </xf>
    <xf numFmtId="3" fontId="90" fillId="19" borderId="29" xfId="0" applyNumberFormat="1" applyFont="1" applyFill="1" applyBorder="1"/>
    <xf numFmtId="49" fontId="82" fillId="11" borderId="8" xfId="0" applyNumberFormat="1" applyFont="1" applyFill="1" applyBorder="1" applyAlignment="1">
      <alignment horizontal="center" vertical="center" wrapText="1"/>
    </xf>
    <xf numFmtId="0" fontId="32" fillId="25" borderId="63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48" xfId="0" applyFont="1" applyFill="1" applyBorder="1" applyAlignment="1">
      <alignment horizontal="center" vertical="center" wrapText="1"/>
    </xf>
    <xf numFmtId="49" fontId="65" fillId="5" borderId="64" xfId="0" applyNumberFormat="1" applyFont="1" applyFill="1" applyBorder="1" applyAlignment="1">
      <alignment horizontal="left" vertical="center"/>
    </xf>
    <xf numFmtId="49" fontId="65" fillId="5" borderId="25" xfId="0" applyNumberFormat="1" applyFont="1" applyFill="1" applyBorder="1" applyAlignment="1">
      <alignment horizontal="left" vertical="center"/>
    </xf>
    <xf numFmtId="49" fontId="65" fillId="5" borderId="65" xfId="0" applyNumberFormat="1" applyFont="1" applyFill="1" applyBorder="1" applyAlignment="1">
      <alignment horizontal="left" vertical="center"/>
    </xf>
    <xf numFmtId="49" fontId="65" fillId="5" borderId="6" xfId="0" applyNumberFormat="1" applyFont="1" applyFill="1" applyBorder="1" applyAlignment="1">
      <alignment horizontal="left" vertical="center"/>
    </xf>
    <xf numFmtId="49" fontId="48" fillId="5" borderId="49" xfId="0" applyNumberFormat="1" applyFont="1" applyFill="1" applyBorder="1" applyAlignment="1">
      <alignment horizontal="center" vertical="center" wrapText="1"/>
    </xf>
    <xf numFmtId="49" fontId="48" fillId="5" borderId="16" xfId="0" applyNumberFormat="1" applyFont="1" applyFill="1" applyBorder="1" applyAlignment="1">
      <alignment horizontal="center" vertical="center" wrapText="1"/>
    </xf>
    <xf numFmtId="49" fontId="66" fillId="5" borderId="25" xfId="0" applyNumberFormat="1" applyFont="1" applyFill="1" applyBorder="1" applyAlignment="1">
      <alignment vertical="center"/>
    </xf>
    <xf numFmtId="49" fontId="66" fillId="5" borderId="65" xfId="0" applyNumberFormat="1" applyFont="1" applyFill="1" applyBorder="1" applyAlignment="1">
      <alignment vertical="center"/>
    </xf>
    <xf numFmtId="49" fontId="66" fillId="5" borderId="6" xfId="0" applyNumberFormat="1" applyFont="1" applyFill="1" applyBorder="1" applyAlignment="1">
      <alignment vertical="center"/>
    </xf>
    <xf numFmtId="49" fontId="48" fillId="5" borderId="11" xfId="0" applyNumberFormat="1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textRotation="180" wrapText="1"/>
    </xf>
    <xf numFmtId="0" fontId="3" fillId="10" borderId="16" xfId="0" applyFont="1" applyFill="1" applyBorder="1" applyAlignment="1">
      <alignment horizontal="center" vertical="center" textRotation="180" wrapText="1"/>
    </xf>
    <xf numFmtId="0" fontId="40" fillId="14" borderId="1" xfId="0" applyFont="1" applyFill="1" applyBorder="1" applyAlignment="1">
      <alignment horizontal="left"/>
    </xf>
    <xf numFmtId="49" fontId="87" fillId="11" borderId="0" xfId="0" applyNumberFormat="1" applyFont="1" applyFill="1" applyBorder="1" applyAlignment="1">
      <alignment horizontal="left" vertical="center" wrapText="1"/>
    </xf>
    <xf numFmtId="49" fontId="32" fillId="19" borderId="63" xfId="0" applyNumberFormat="1" applyFont="1" applyFill="1" applyBorder="1" applyAlignment="1">
      <alignment horizontal="center" vertical="center" wrapText="1"/>
    </xf>
    <xf numFmtId="0" fontId="73" fillId="19" borderId="37" xfId="0" applyFont="1" applyFill="1" applyBorder="1" applyAlignment="1">
      <alignment horizontal="center" wrapText="1"/>
    </xf>
    <xf numFmtId="0" fontId="73" fillId="19" borderId="48" xfId="0" applyFont="1" applyFill="1" applyBorder="1" applyAlignment="1">
      <alignment horizontal="center" wrapText="1"/>
    </xf>
    <xf numFmtId="0" fontId="53" fillId="20" borderId="11" xfId="0" applyFont="1" applyFill="1" applyBorder="1" applyAlignment="1">
      <alignment horizontal="center" vertical="center" wrapText="1"/>
    </xf>
    <xf numFmtId="0" fontId="53" fillId="20" borderId="16" xfId="0" applyFont="1" applyFill="1" applyBorder="1" applyAlignment="1">
      <alignment horizontal="center" vertical="center" wrapText="1"/>
    </xf>
    <xf numFmtId="0" fontId="53" fillId="13" borderId="11" xfId="0" applyFont="1" applyFill="1" applyBorder="1" applyAlignment="1">
      <alignment horizontal="center" vertical="center" wrapText="1"/>
    </xf>
    <xf numFmtId="0" fontId="53" fillId="13" borderId="16" xfId="0" applyFont="1" applyFill="1" applyBorder="1" applyAlignment="1">
      <alignment horizontal="center" vertical="center" wrapText="1"/>
    </xf>
    <xf numFmtId="49" fontId="72" fillId="9" borderId="66" xfId="0" applyNumberFormat="1" applyFont="1" applyFill="1" applyBorder="1" applyAlignment="1">
      <alignment horizontal="center"/>
    </xf>
    <xf numFmtId="49" fontId="72" fillId="9" borderId="67" xfId="0" applyNumberFormat="1" applyFont="1" applyFill="1" applyBorder="1" applyAlignment="1">
      <alignment horizontal="center"/>
    </xf>
    <xf numFmtId="49" fontId="72" fillId="9" borderId="68" xfId="0" applyNumberFormat="1" applyFont="1" applyFill="1" applyBorder="1" applyAlignment="1">
      <alignment horizontal="center"/>
    </xf>
    <xf numFmtId="0" fontId="3" fillId="10" borderId="55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35" fillId="0" borderId="8" xfId="0" applyFont="1" applyFill="1" applyBorder="1" applyAlignment="1">
      <alignment horizontal="left"/>
    </xf>
    <xf numFmtId="4" fontId="33" fillId="22" borderId="29" xfId="0" applyNumberFormat="1" applyFont="1" applyFill="1" applyBorder="1" applyAlignment="1">
      <alignment horizontal="center" vertical="center"/>
    </xf>
    <xf numFmtId="4" fontId="33" fillId="22" borderId="34" xfId="0" applyNumberFormat="1" applyFont="1" applyFill="1" applyBorder="1" applyAlignment="1">
      <alignment horizontal="center" vertical="center"/>
    </xf>
    <xf numFmtId="3" fontId="33" fillId="14" borderId="29" xfId="0" applyNumberFormat="1" applyFont="1" applyFill="1" applyBorder="1" applyAlignment="1">
      <alignment horizontal="center"/>
    </xf>
    <xf numFmtId="3" fontId="33" fillId="14" borderId="34" xfId="0" applyNumberFormat="1" applyFont="1" applyFill="1" applyBorder="1" applyAlignment="1">
      <alignment horizontal="center"/>
    </xf>
    <xf numFmtId="3" fontId="33" fillId="14" borderId="29" xfId="0" applyNumberFormat="1" applyFont="1" applyFill="1" applyBorder="1" applyAlignment="1">
      <alignment horizontal="right" vertical="center"/>
    </xf>
    <xf numFmtId="0" fontId="41" fillId="14" borderId="34" xfId="0" applyFont="1" applyFill="1" applyBorder="1" applyAlignment="1">
      <alignment horizontal="right" vertical="center"/>
    </xf>
    <xf numFmtId="3" fontId="33" fillId="22" borderId="29" xfId="0" applyNumberFormat="1" applyFont="1" applyFill="1" applyBorder="1" applyAlignment="1">
      <alignment horizontal="right" vertical="center"/>
    </xf>
    <xf numFmtId="3" fontId="33" fillId="22" borderId="34" xfId="0" applyNumberFormat="1" applyFont="1" applyFill="1" applyBorder="1" applyAlignment="1">
      <alignment horizontal="right" vertical="center"/>
    </xf>
    <xf numFmtId="0" fontId="89" fillId="11" borderId="0" xfId="0" applyFont="1" applyFill="1" applyBorder="1" applyAlignment="1">
      <alignment horizontal="center" vertical="center" wrapText="1"/>
    </xf>
    <xf numFmtId="0" fontId="12" fillId="32" borderId="69" xfId="0" applyFont="1" applyFill="1" applyBorder="1" applyAlignment="1">
      <alignment vertical="center"/>
    </xf>
    <xf numFmtId="0" fontId="41" fillId="32" borderId="28" xfId="0" applyFont="1" applyFill="1" applyBorder="1" applyAlignment="1">
      <alignment vertical="center"/>
    </xf>
    <xf numFmtId="0" fontId="0" fillId="27" borderId="66" xfId="0" applyFill="1" applyBorder="1" applyAlignment="1">
      <alignment horizontal="center" vertical="center"/>
    </xf>
    <xf numFmtId="0" fontId="0" fillId="27" borderId="70" xfId="0" applyFill="1" applyBorder="1" applyAlignment="1">
      <alignment horizontal="center" vertical="center"/>
    </xf>
    <xf numFmtId="0" fontId="77" fillId="11" borderId="0" xfId="0" applyFont="1" applyFill="1" applyAlignment="1">
      <alignment horizontal="center" wrapText="1"/>
    </xf>
    <xf numFmtId="0" fontId="12" fillId="32" borderId="69" xfId="0" applyFont="1" applyFill="1" applyBorder="1" applyAlignment="1">
      <alignment horizontal="left" vertical="center"/>
    </xf>
    <xf numFmtId="0" fontId="41" fillId="32" borderId="28" xfId="0" applyFont="1" applyFill="1" applyBorder="1" applyAlignment="1">
      <alignment horizontal="left" vertical="center"/>
    </xf>
    <xf numFmtId="0" fontId="8" fillId="11" borderId="0" xfId="0" applyFont="1" applyFill="1" applyBorder="1" applyAlignment="1">
      <alignment horizontal="center" vertical="center" wrapText="1"/>
    </xf>
    <xf numFmtId="3" fontId="33" fillId="12" borderId="29" xfId="0" applyNumberFormat="1" applyFont="1" applyFill="1" applyBorder="1" applyAlignment="1">
      <alignment horizontal="right" vertical="center"/>
    </xf>
    <xf numFmtId="0" fontId="41" fillId="12" borderId="34" xfId="0" applyFont="1" applyFill="1" applyBorder="1" applyAlignment="1">
      <alignment horizontal="right" vertical="center"/>
    </xf>
    <xf numFmtId="0" fontId="88" fillId="24" borderId="66" xfId="0" applyFont="1" applyFill="1" applyBorder="1" applyAlignment="1">
      <alignment horizontal="center"/>
    </xf>
    <xf numFmtId="0" fontId="88" fillId="24" borderId="67" xfId="0" applyFont="1" applyFill="1" applyBorder="1" applyAlignment="1">
      <alignment horizontal="center"/>
    </xf>
    <xf numFmtId="4" fontId="25" fillId="12" borderId="29" xfId="0" applyNumberFormat="1" applyFont="1" applyFill="1" applyBorder="1" applyAlignment="1">
      <alignment horizontal="center"/>
    </xf>
    <xf numFmtId="4" fontId="25" fillId="12" borderId="34" xfId="0" applyNumberFormat="1" applyFont="1" applyFill="1" applyBorder="1" applyAlignment="1">
      <alignment horizontal="center"/>
    </xf>
  </cellXfs>
  <cellStyles count="6">
    <cellStyle name="Excel Built-in Normal" xfId="1"/>
    <cellStyle name="Normálne" xfId="0" builtinId="0"/>
    <cellStyle name="normálne 2" xfId="2"/>
    <cellStyle name="normálne 2 2" xfId="3"/>
    <cellStyle name="normálne 4" xfId="4"/>
    <cellStyle name="normálne 9" xfId="5"/>
  </cellStyles>
  <dxfs count="0"/>
  <tableStyles count="0" defaultTableStyle="TableStyleMedium9" defaultPivotStyle="PivotStyleLight16"/>
  <colors>
    <mruColors>
      <color rgb="FF99FFCC"/>
      <color rgb="FF99FF66"/>
      <color rgb="FFFF99CC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FFFF00"/>
  </sheetPr>
  <dimension ref="A2:L298"/>
  <sheetViews>
    <sheetView tabSelected="1" zoomScaleNormal="100" zoomScaleSheetLayoutView="100" workbookViewId="0"/>
  </sheetViews>
  <sheetFormatPr defaultRowHeight="12.75" x14ac:dyDescent="0.2"/>
  <cols>
    <col min="1" max="1" width="1.42578125" style="17" customWidth="1"/>
    <col min="2" max="2" width="3.28515625" style="15" customWidth="1"/>
    <col min="3" max="3" width="3.5703125" style="16" customWidth="1"/>
    <col min="4" max="4" width="4" style="16" customWidth="1"/>
    <col min="5" max="5" width="4.140625" style="16" customWidth="1"/>
    <col min="6" max="6" width="4.5703125" style="15" customWidth="1"/>
    <col min="7" max="7" width="48.85546875" style="15" customWidth="1"/>
    <col min="8" max="8" width="16.28515625" customWidth="1"/>
    <col min="9" max="9" width="13.140625" customWidth="1"/>
    <col min="10" max="10" width="13.5703125" customWidth="1"/>
  </cols>
  <sheetData>
    <row r="2" spans="1:10" ht="57.75" customHeight="1" thickBot="1" x14ac:dyDescent="0.25">
      <c r="B2" s="849" t="s">
        <v>843</v>
      </c>
      <c r="C2" s="849"/>
      <c r="D2" s="849"/>
      <c r="E2" s="849"/>
      <c r="F2" s="849"/>
      <c r="G2" s="849"/>
      <c r="H2" s="849"/>
      <c r="I2" s="849"/>
      <c r="J2" s="849"/>
    </row>
    <row r="3" spans="1:10" ht="15.75" customHeight="1" x14ac:dyDescent="0.2">
      <c r="B3" s="853" t="s">
        <v>9</v>
      </c>
      <c r="C3" s="859"/>
      <c r="D3" s="859"/>
      <c r="E3" s="859"/>
      <c r="F3" s="859"/>
      <c r="G3" s="859"/>
      <c r="H3" s="850" t="s">
        <v>724</v>
      </c>
      <c r="I3" s="850" t="s">
        <v>842</v>
      </c>
      <c r="J3" s="850" t="s">
        <v>724</v>
      </c>
    </row>
    <row r="4" spans="1:10" ht="10.5" customHeight="1" x14ac:dyDescent="0.2">
      <c r="B4" s="860"/>
      <c r="C4" s="861"/>
      <c r="D4" s="861"/>
      <c r="E4" s="861"/>
      <c r="F4" s="861"/>
      <c r="G4" s="861"/>
      <c r="H4" s="851"/>
      <c r="I4" s="851"/>
      <c r="J4" s="851"/>
    </row>
    <row r="5" spans="1:10" ht="15.75" customHeight="1" x14ac:dyDescent="0.2">
      <c r="A5" s="240"/>
      <c r="B5" s="78"/>
      <c r="C5" s="857" t="s">
        <v>10</v>
      </c>
      <c r="D5" s="79" t="s">
        <v>11</v>
      </c>
      <c r="E5" s="79" t="s">
        <v>12</v>
      </c>
      <c r="F5" s="80"/>
      <c r="G5" s="80"/>
      <c r="H5" s="851"/>
      <c r="I5" s="851"/>
      <c r="J5" s="851"/>
    </row>
    <row r="6" spans="1:10" ht="30" customHeight="1" thickBot="1" x14ac:dyDescent="0.25">
      <c r="A6" s="240"/>
      <c r="B6" s="82"/>
      <c r="C6" s="858"/>
      <c r="D6" s="84"/>
      <c r="E6" s="83" t="s">
        <v>13</v>
      </c>
      <c r="F6" s="85" t="s">
        <v>14</v>
      </c>
      <c r="G6" s="307"/>
      <c r="H6" s="852"/>
      <c r="I6" s="852"/>
      <c r="J6" s="852"/>
    </row>
    <row r="7" spans="1:10" ht="19.5" customHeight="1" thickTop="1" x14ac:dyDescent="0.2">
      <c r="B7" s="32">
        <v>1</v>
      </c>
      <c r="C7" s="102" t="s">
        <v>15</v>
      </c>
      <c r="D7" s="103"/>
      <c r="E7" s="104"/>
      <c r="F7" s="109" t="s">
        <v>16</v>
      </c>
      <c r="G7" s="324"/>
      <c r="H7" s="568">
        <f>H9+H12+H18</f>
        <v>22438100</v>
      </c>
      <c r="I7" s="568">
        <f t="shared" ref="I7" si="0">I9+I12+I18</f>
        <v>0</v>
      </c>
      <c r="J7" s="568">
        <f>H7+I7</f>
        <v>22438100</v>
      </c>
    </row>
    <row r="8" spans="1:10" ht="13.5" customHeight="1" x14ac:dyDescent="0.2">
      <c r="A8" s="240"/>
      <c r="B8" s="33">
        <f>B7+1</f>
        <v>2</v>
      </c>
      <c r="C8" s="3"/>
      <c r="D8" s="34"/>
      <c r="E8" s="7"/>
      <c r="F8" s="35"/>
      <c r="G8" s="35"/>
      <c r="H8" s="569"/>
      <c r="I8" s="569"/>
      <c r="J8" s="569"/>
    </row>
    <row r="9" spans="1:10" ht="13.5" customHeight="1" x14ac:dyDescent="0.2">
      <c r="B9" s="33">
        <f t="shared" ref="B9:B91" si="1">B8+1</f>
        <v>3</v>
      </c>
      <c r="C9" s="8" t="s">
        <v>17</v>
      </c>
      <c r="D9" s="36"/>
      <c r="E9" s="37"/>
      <c r="F9" s="38" t="s">
        <v>18</v>
      </c>
      <c r="G9" s="39"/>
      <c r="H9" s="495">
        <f>H10</f>
        <v>14432100</v>
      </c>
      <c r="I9" s="495">
        <f t="shared" ref="I9" si="2">I10</f>
        <v>0</v>
      </c>
      <c r="J9" s="495">
        <f>H9+I9</f>
        <v>14432100</v>
      </c>
    </row>
    <row r="10" spans="1:10" ht="12.75" customHeight="1" x14ac:dyDescent="0.2">
      <c r="B10" s="33">
        <f t="shared" si="1"/>
        <v>4</v>
      </c>
      <c r="C10" s="8"/>
      <c r="D10" s="36" t="s">
        <v>19</v>
      </c>
      <c r="E10" s="37" t="s">
        <v>20</v>
      </c>
      <c r="F10" s="31" t="s">
        <v>21</v>
      </c>
      <c r="G10" s="39"/>
      <c r="H10" s="492">
        <f>14200000+232100</f>
        <v>14432100</v>
      </c>
      <c r="I10" s="492"/>
      <c r="J10" s="766">
        <f t="shared" ref="J10:J22" si="3">H10+I10</f>
        <v>14432100</v>
      </c>
    </row>
    <row r="11" spans="1:10" x14ac:dyDescent="0.2">
      <c r="B11" s="33">
        <f t="shared" si="1"/>
        <v>5</v>
      </c>
      <c r="C11" s="9"/>
      <c r="D11" s="40"/>
      <c r="E11" s="41"/>
      <c r="F11" s="42"/>
      <c r="G11" s="43"/>
      <c r="H11" s="570"/>
      <c r="I11" s="570"/>
      <c r="J11" s="495"/>
    </row>
    <row r="12" spans="1:10" x14ac:dyDescent="0.2">
      <c r="B12" s="33">
        <f t="shared" si="1"/>
        <v>6</v>
      </c>
      <c r="C12" s="8" t="s">
        <v>22</v>
      </c>
      <c r="D12" s="40"/>
      <c r="E12" s="44"/>
      <c r="F12" s="38" t="s">
        <v>23</v>
      </c>
      <c r="G12" s="43"/>
      <c r="H12" s="552">
        <f>H13</f>
        <v>5450000</v>
      </c>
      <c r="I12" s="552">
        <f t="shared" ref="I12" si="4">I13</f>
        <v>0</v>
      </c>
      <c r="J12" s="495">
        <f t="shared" si="3"/>
        <v>5450000</v>
      </c>
    </row>
    <row r="13" spans="1:10" x14ac:dyDescent="0.2">
      <c r="B13" s="33">
        <f t="shared" si="1"/>
        <v>7</v>
      </c>
      <c r="C13" s="9"/>
      <c r="D13" s="40" t="s">
        <v>24</v>
      </c>
      <c r="E13" s="44"/>
      <c r="F13" s="31" t="s">
        <v>25</v>
      </c>
      <c r="G13" s="43"/>
      <c r="H13" s="571">
        <f>SUM(H14:H16)</f>
        <v>5450000</v>
      </c>
      <c r="I13" s="571"/>
      <c r="J13" s="766">
        <f t="shared" si="3"/>
        <v>5450000</v>
      </c>
    </row>
    <row r="14" spans="1:10" x14ac:dyDescent="0.2">
      <c r="B14" s="33">
        <f t="shared" si="1"/>
        <v>8</v>
      </c>
      <c r="C14" s="9"/>
      <c r="D14" s="40"/>
      <c r="E14" s="44" t="s">
        <v>26</v>
      </c>
      <c r="F14" s="35" t="s">
        <v>27</v>
      </c>
      <c r="G14" s="43"/>
      <c r="H14" s="572">
        <v>610000</v>
      </c>
      <c r="I14" s="572"/>
      <c r="J14" s="766">
        <f t="shared" si="3"/>
        <v>610000</v>
      </c>
    </row>
    <row r="15" spans="1:10" x14ac:dyDescent="0.2">
      <c r="B15" s="33">
        <f t="shared" si="1"/>
        <v>9</v>
      </c>
      <c r="C15" s="9"/>
      <c r="D15" s="40"/>
      <c r="E15" s="44" t="s">
        <v>28</v>
      </c>
      <c r="F15" s="35" t="s">
        <v>29</v>
      </c>
      <c r="G15" s="43"/>
      <c r="H15" s="572">
        <v>4445000</v>
      </c>
      <c r="I15" s="572"/>
      <c r="J15" s="766">
        <f t="shared" si="3"/>
        <v>4445000</v>
      </c>
    </row>
    <row r="16" spans="1:10" x14ac:dyDescent="0.2">
      <c r="B16" s="33">
        <f t="shared" si="1"/>
        <v>10</v>
      </c>
      <c r="C16" s="9"/>
      <c r="D16" s="40"/>
      <c r="E16" s="44" t="s">
        <v>20</v>
      </c>
      <c r="F16" s="35" t="s">
        <v>30</v>
      </c>
      <c r="G16" s="43"/>
      <c r="H16" s="572">
        <v>395000</v>
      </c>
      <c r="I16" s="572"/>
      <c r="J16" s="766">
        <f t="shared" si="3"/>
        <v>395000</v>
      </c>
    </row>
    <row r="17" spans="2:10" x14ac:dyDescent="0.2">
      <c r="B17" s="33">
        <f t="shared" si="1"/>
        <v>11</v>
      </c>
      <c r="C17" s="45"/>
      <c r="D17" s="40"/>
      <c r="E17" s="44"/>
      <c r="F17" s="46"/>
      <c r="G17" s="43"/>
      <c r="H17" s="573"/>
      <c r="I17" s="573"/>
      <c r="J17" s="495"/>
    </row>
    <row r="18" spans="2:10" x14ac:dyDescent="0.2">
      <c r="B18" s="33">
        <f t="shared" si="1"/>
        <v>12</v>
      </c>
      <c r="C18" s="8" t="s">
        <v>31</v>
      </c>
      <c r="D18" s="40"/>
      <c r="E18" s="44"/>
      <c r="F18" s="38" t="s">
        <v>32</v>
      </c>
      <c r="G18" s="43"/>
      <c r="H18" s="574">
        <f>SUM(H19:H22)</f>
        <v>2556000</v>
      </c>
      <c r="I18" s="574">
        <f t="shared" ref="I18" si="5">SUM(I19:I22)</f>
        <v>0</v>
      </c>
      <c r="J18" s="495">
        <f t="shared" si="3"/>
        <v>2556000</v>
      </c>
    </row>
    <row r="19" spans="2:10" x14ac:dyDescent="0.2">
      <c r="B19" s="33">
        <f t="shared" si="1"/>
        <v>13</v>
      </c>
      <c r="C19" s="25"/>
      <c r="D19" s="1" t="s">
        <v>33</v>
      </c>
      <c r="E19" s="2" t="s">
        <v>34</v>
      </c>
      <c r="F19" s="35" t="s">
        <v>35</v>
      </c>
      <c r="G19" s="35"/>
      <c r="H19" s="571">
        <v>65000</v>
      </c>
      <c r="I19" s="571"/>
      <c r="J19" s="766">
        <f t="shared" si="3"/>
        <v>65000</v>
      </c>
    </row>
    <row r="20" spans="2:10" x14ac:dyDescent="0.2">
      <c r="B20" s="33">
        <f t="shared" si="1"/>
        <v>14</v>
      </c>
      <c r="C20" s="25"/>
      <c r="D20" s="1" t="s">
        <v>33</v>
      </c>
      <c r="E20" s="2" t="s">
        <v>26</v>
      </c>
      <c r="F20" s="35" t="s">
        <v>124</v>
      </c>
      <c r="G20" s="35"/>
      <c r="H20" s="571">
        <v>53000</v>
      </c>
      <c r="I20" s="571"/>
      <c r="J20" s="766">
        <f t="shared" si="3"/>
        <v>53000</v>
      </c>
    </row>
    <row r="21" spans="2:10" x14ac:dyDescent="0.2">
      <c r="B21" s="33">
        <f t="shared" si="1"/>
        <v>15</v>
      </c>
      <c r="C21" s="25"/>
      <c r="D21" s="1" t="s">
        <v>33</v>
      </c>
      <c r="E21" s="2" t="s">
        <v>36</v>
      </c>
      <c r="F21" s="35" t="s">
        <v>178</v>
      </c>
      <c r="G21" s="35"/>
      <c r="H21" s="571">
        <v>2400000</v>
      </c>
      <c r="I21" s="571"/>
      <c r="J21" s="766">
        <f t="shared" si="3"/>
        <v>2400000</v>
      </c>
    </row>
    <row r="22" spans="2:10" x14ac:dyDescent="0.2">
      <c r="B22" s="33">
        <f t="shared" si="1"/>
        <v>16</v>
      </c>
      <c r="C22" s="25"/>
      <c r="D22" s="1" t="s">
        <v>33</v>
      </c>
      <c r="E22" s="2"/>
      <c r="F22" s="35" t="s">
        <v>280</v>
      </c>
      <c r="G22" s="35"/>
      <c r="H22" s="571">
        <v>38000</v>
      </c>
      <c r="I22" s="571"/>
      <c r="J22" s="766">
        <f t="shared" si="3"/>
        <v>38000</v>
      </c>
    </row>
    <row r="23" spans="2:10" x14ac:dyDescent="0.2">
      <c r="B23" s="33">
        <f t="shared" si="1"/>
        <v>17</v>
      </c>
      <c r="C23" s="9"/>
      <c r="D23" s="40"/>
      <c r="E23" s="44"/>
      <c r="F23" s="42"/>
      <c r="G23" s="43"/>
      <c r="H23" s="570"/>
      <c r="I23" s="570"/>
      <c r="J23" s="766"/>
    </row>
    <row r="24" spans="2:10" ht="19.5" customHeight="1" x14ac:dyDescent="0.2">
      <c r="B24" s="33">
        <f t="shared" si="1"/>
        <v>18</v>
      </c>
      <c r="C24" s="105" t="s">
        <v>37</v>
      </c>
      <c r="D24" s="106"/>
      <c r="E24" s="107"/>
      <c r="F24" s="108" t="s">
        <v>38</v>
      </c>
      <c r="G24" s="315"/>
      <c r="H24" s="575">
        <f>H26+H36+H44+H46+H50+H98+H130+H166+H218+H220+H219</f>
        <v>3192745</v>
      </c>
      <c r="I24" s="575">
        <f t="shared" ref="I24" si="6">I26+I36+I44+I46+I50+I98+I130+I166+I218+I220+I219</f>
        <v>-107961</v>
      </c>
      <c r="J24" s="575">
        <f>H24+I24</f>
        <v>3084784</v>
      </c>
    </row>
    <row r="25" spans="2:10" x14ac:dyDescent="0.2">
      <c r="B25" s="33">
        <f t="shared" si="1"/>
        <v>19</v>
      </c>
      <c r="C25" s="47"/>
      <c r="D25" s="47"/>
      <c r="E25" s="48"/>
      <c r="F25" s="35"/>
      <c r="G25" s="39"/>
      <c r="H25" s="492"/>
      <c r="I25" s="492"/>
      <c r="J25" s="492"/>
    </row>
    <row r="26" spans="2:10" x14ac:dyDescent="0.2">
      <c r="B26" s="33">
        <f t="shared" si="1"/>
        <v>20</v>
      </c>
      <c r="C26" s="8" t="s">
        <v>39</v>
      </c>
      <c r="D26" s="8"/>
      <c r="E26" s="10"/>
      <c r="F26" s="38" t="s">
        <v>40</v>
      </c>
      <c r="G26" s="39"/>
      <c r="H26" s="552">
        <f>H27</f>
        <v>454200</v>
      </c>
      <c r="I26" s="552">
        <f t="shared" ref="I26" si="7">I27</f>
        <v>-19000</v>
      </c>
      <c r="J26" s="768">
        <f>H26+I26</f>
        <v>435200</v>
      </c>
    </row>
    <row r="27" spans="2:10" x14ac:dyDescent="0.2">
      <c r="B27" s="33">
        <f t="shared" si="1"/>
        <v>21</v>
      </c>
      <c r="C27" s="8"/>
      <c r="D27" s="8" t="s">
        <v>41</v>
      </c>
      <c r="E27" s="10"/>
      <c r="F27" s="72" t="s">
        <v>90</v>
      </c>
      <c r="G27" s="39"/>
      <c r="H27" s="572">
        <f>H28+H29</f>
        <v>454200</v>
      </c>
      <c r="I27" s="572">
        <f t="shared" ref="I27" si="8">I28+I29</f>
        <v>-19000</v>
      </c>
      <c r="J27" s="767">
        <f t="shared" ref="J27:J48" si="9">H27+I27</f>
        <v>435200</v>
      </c>
    </row>
    <row r="28" spans="2:10" x14ac:dyDescent="0.2">
      <c r="B28" s="33">
        <f t="shared" si="1"/>
        <v>22</v>
      </c>
      <c r="C28" s="47"/>
      <c r="D28" s="36"/>
      <c r="E28" s="11" t="s">
        <v>28</v>
      </c>
      <c r="F28" s="43" t="s">
        <v>42</v>
      </c>
      <c r="G28" s="39"/>
      <c r="H28" s="572">
        <v>79200</v>
      </c>
      <c r="I28" s="572"/>
      <c r="J28" s="767">
        <f t="shared" si="9"/>
        <v>79200</v>
      </c>
    </row>
    <row r="29" spans="2:10" x14ac:dyDescent="0.2">
      <c r="B29" s="33">
        <f t="shared" si="1"/>
        <v>23</v>
      </c>
      <c r="C29" s="47"/>
      <c r="D29" s="36"/>
      <c r="E29" s="11" t="s">
        <v>20</v>
      </c>
      <c r="F29" s="43" t="s">
        <v>43</v>
      </c>
      <c r="G29" s="39"/>
      <c r="H29" s="492">
        <f>SUM(H30:H34)</f>
        <v>375000</v>
      </c>
      <c r="I29" s="492">
        <f t="shared" ref="I29" si="10">SUM(I30:I34)</f>
        <v>-19000</v>
      </c>
      <c r="J29" s="767">
        <f t="shared" si="9"/>
        <v>356000</v>
      </c>
    </row>
    <row r="30" spans="2:10" x14ac:dyDescent="0.2">
      <c r="B30" s="33">
        <f t="shared" si="1"/>
        <v>24</v>
      </c>
      <c r="C30" s="47"/>
      <c r="D30" s="36"/>
      <c r="E30" s="48"/>
      <c r="F30" s="31"/>
      <c r="G30" s="39" t="s">
        <v>44</v>
      </c>
      <c r="H30" s="492">
        <v>36000</v>
      </c>
      <c r="I30" s="492"/>
      <c r="J30" s="767">
        <f t="shared" si="9"/>
        <v>36000</v>
      </c>
    </row>
    <row r="31" spans="2:10" x14ac:dyDescent="0.2">
      <c r="B31" s="33">
        <f t="shared" si="1"/>
        <v>25</v>
      </c>
      <c r="C31" s="47"/>
      <c r="D31" s="36"/>
      <c r="E31" s="48"/>
      <c r="F31" s="43"/>
      <c r="G31" s="39" t="s">
        <v>45</v>
      </c>
      <c r="H31" s="492">
        <v>219000</v>
      </c>
      <c r="I31" s="492">
        <v>-19000</v>
      </c>
      <c r="J31" s="767">
        <f t="shared" si="9"/>
        <v>200000</v>
      </c>
    </row>
    <row r="32" spans="2:10" x14ac:dyDescent="0.2">
      <c r="B32" s="33">
        <f t="shared" si="1"/>
        <v>26</v>
      </c>
      <c r="C32" s="47"/>
      <c r="D32" s="47"/>
      <c r="E32" s="48"/>
      <c r="F32" s="43"/>
      <c r="G32" s="39" t="s">
        <v>123</v>
      </c>
      <c r="H32" s="553">
        <v>40000</v>
      </c>
      <c r="I32" s="553"/>
      <c r="J32" s="767">
        <f t="shared" si="9"/>
        <v>40000</v>
      </c>
    </row>
    <row r="33" spans="2:10" x14ac:dyDescent="0.2">
      <c r="B33" s="33">
        <f t="shared" si="1"/>
        <v>27</v>
      </c>
      <c r="C33" s="47"/>
      <c r="D33" s="47"/>
      <c r="E33" s="48"/>
      <c r="F33" s="43"/>
      <c r="G33" s="39" t="s">
        <v>234</v>
      </c>
      <c r="H33" s="492">
        <v>70000</v>
      </c>
      <c r="I33" s="492"/>
      <c r="J33" s="767">
        <f t="shared" si="9"/>
        <v>70000</v>
      </c>
    </row>
    <row r="34" spans="2:10" x14ac:dyDescent="0.2">
      <c r="B34" s="33">
        <f t="shared" si="1"/>
        <v>28</v>
      </c>
      <c r="C34" s="47"/>
      <c r="D34" s="47"/>
      <c r="E34" s="48"/>
      <c r="F34" s="43"/>
      <c r="G34" s="39" t="s">
        <v>456</v>
      </c>
      <c r="H34" s="571">
        <v>10000</v>
      </c>
      <c r="I34" s="571"/>
      <c r="J34" s="767">
        <f t="shared" si="9"/>
        <v>10000</v>
      </c>
    </row>
    <row r="35" spans="2:10" x14ac:dyDescent="0.2">
      <c r="B35" s="33">
        <f t="shared" si="1"/>
        <v>29</v>
      </c>
      <c r="C35" s="47"/>
      <c r="D35" s="47"/>
      <c r="E35" s="48" t="s">
        <v>49</v>
      </c>
      <c r="F35" s="43" t="s">
        <v>669</v>
      </c>
      <c r="G35" s="39"/>
      <c r="H35" s="492"/>
      <c r="I35" s="492"/>
      <c r="J35" s="767"/>
    </row>
    <row r="36" spans="2:10" x14ac:dyDescent="0.2">
      <c r="B36" s="33">
        <f t="shared" si="1"/>
        <v>30</v>
      </c>
      <c r="C36" s="8" t="s">
        <v>46</v>
      </c>
      <c r="D36" s="47"/>
      <c r="E36" s="48"/>
      <c r="F36" s="38" t="s">
        <v>47</v>
      </c>
      <c r="G36" s="39"/>
      <c r="H36" s="506">
        <f>H37+H40+H41+H42</f>
        <v>501600</v>
      </c>
      <c r="I36" s="506">
        <f t="shared" ref="I36" si="11">I37+I40+I41+I42</f>
        <v>0</v>
      </c>
      <c r="J36" s="768">
        <f t="shared" si="9"/>
        <v>501600</v>
      </c>
    </row>
    <row r="37" spans="2:10" x14ac:dyDescent="0.2">
      <c r="B37" s="33">
        <f t="shared" si="1"/>
        <v>31</v>
      </c>
      <c r="C37" s="47"/>
      <c r="D37" s="36" t="s">
        <v>48</v>
      </c>
      <c r="E37" s="11"/>
      <c r="F37" s="43" t="s">
        <v>458</v>
      </c>
      <c r="G37" s="39"/>
      <c r="H37" s="492">
        <f>SUM(H38:H39)</f>
        <v>330000</v>
      </c>
      <c r="I37" s="492">
        <f t="shared" ref="I37" si="12">SUM(I38:I39)</f>
        <v>0</v>
      </c>
      <c r="J37" s="767">
        <f t="shared" si="9"/>
        <v>330000</v>
      </c>
    </row>
    <row r="38" spans="2:10" x14ac:dyDescent="0.2">
      <c r="B38" s="33">
        <f t="shared" si="1"/>
        <v>32</v>
      </c>
      <c r="C38" s="47"/>
      <c r="D38" s="47"/>
      <c r="E38" s="37" t="s">
        <v>56</v>
      </c>
      <c r="F38" s="31"/>
      <c r="G38" s="39" t="s">
        <v>91</v>
      </c>
      <c r="H38" s="571">
        <v>150000</v>
      </c>
      <c r="I38" s="571"/>
      <c r="J38" s="767">
        <f t="shared" si="9"/>
        <v>150000</v>
      </c>
    </row>
    <row r="39" spans="2:10" x14ac:dyDescent="0.2">
      <c r="B39" s="33">
        <f t="shared" si="1"/>
        <v>33</v>
      </c>
      <c r="C39" s="47"/>
      <c r="D39" s="47"/>
      <c r="E39" s="37" t="s">
        <v>49</v>
      </c>
      <c r="F39" s="31"/>
      <c r="G39" s="39" t="s">
        <v>50</v>
      </c>
      <c r="H39" s="571">
        <v>180000</v>
      </c>
      <c r="I39" s="571"/>
      <c r="J39" s="767">
        <f t="shared" si="9"/>
        <v>180000</v>
      </c>
    </row>
    <row r="40" spans="2:10" x14ac:dyDescent="0.2">
      <c r="B40" s="33">
        <f t="shared" si="1"/>
        <v>34</v>
      </c>
      <c r="C40" s="47"/>
      <c r="D40" s="9" t="s">
        <v>51</v>
      </c>
      <c r="E40" s="37" t="s">
        <v>20</v>
      </c>
      <c r="F40" s="49" t="s">
        <v>52</v>
      </c>
      <c r="G40" s="39"/>
      <c r="H40" s="571">
        <v>90000</v>
      </c>
      <c r="I40" s="571"/>
      <c r="J40" s="767">
        <f t="shared" si="9"/>
        <v>90000</v>
      </c>
    </row>
    <row r="41" spans="2:10" x14ac:dyDescent="0.2">
      <c r="B41" s="33">
        <f t="shared" si="1"/>
        <v>35</v>
      </c>
      <c r="C41" s="47"/>
      <c r="D41" s="36" t="s">
        <v>53</v>
      </c>
      <c r="E41" s="11" t="s">
        <v>26</v>
      </c>
      <c r="F41" s="43" t="s">
        <v>54</v>
      </c>
      <c r="G41" s="39"/>
      <c r="H41" s="571">
        <v>80000</v>
      </c>
      <c r="I41" s="571"/>
      <c r="J41" s="767">
        <f t="shared" si="9"/>
        <v>80000</v>
      </c>
    </row>
    <row r="42" spans="2:10" x14ac:dyDescent="0.2">
      <c r="B42" s="33">
        <f t="shared" si="1"/>
        <v>36</v>
      </c>
      <c r="C42" s="73"/>
      <c r="D42" s="51" t="s">
        <v>55</v>
      </c>
      <c r="E42" s="29" t="s">
        <v>56</v>
      </c>
      <c r="F42" s="30" t="s">
        <v>92</v>
      </c>
      <c r="G42" s="257"/>
      <c r="H42" s="492">
        <v>1600</v>
      </c>
      <c r="I42" s="492"/>
      <c r="J42" s="767">
        <f t="shared" si="9"/>
        <v>1600</v>
      </c>
    </row>
    <row r="43" spans="2:10" x14ac:dyDescent="0.2">
      <c r="B43" s="33">
        <f t="shared" si="1"/>
        <v>37</v>
      </c>
      <c r="C43" s="52"/>
      <c r="D43" s="53"/>
      <c r="E43" s="12"/>
      <c r="F43" s="50"/>
      <c r="G43" s="316"/>
      <c r="H43" s="553"/>
      <c r="I43" s="553"/>
      <c r="J43" s="767"/>
    </row>
    <row r="44" spans="2:10" x14ac:dyDescent="0.2">
      <c r="B44" s="33">
        <f t="shared" si="1"/>
        <v>38</v>
      </c>
      <c r="C44" s="54" t="s">
        <v>57</v>
      </c>
      <c r="D44" s="53"/>
      <c r="E44" s="55"/>
      <c r="F44" s="56" t="s">
        <v>58</v>
      </c>
      <c r="G44" s="316"/>
      <c r="H44" s="506">
        <v>3000</v>
      </c>
      <c r="I44" s="506"/>
      <c r="J44" s="768">
        <f t="shared" si="9"/>
        <v>3000</v>
      </c>
    </row>
    <row r="45" spans="2:10" x14ac:dyDescent="0.2">
      <c r="B45" s="33">
        <f t="shared" si="1"/>
        <v>39</v>
      </c>
      <c r="C45" s="54"/>
      <c r="D45" s="12"/>
      <c r="E45" s="55"/>
      <c r="F45" s="57"/>
      <c r="G45" s="316"/>
      <c r="H45" s="553"/>
      <c r="I45" s="553"/>
      <c r="J45" s="767"/>
    </row>
    <row r="46" spans="2:10" x14ac:dyDescent="0.2">
      <c r="B46" s="33">
        <f t="shared" si="1"/>
        <v>40</v>
      </c>
      <c r="C46" s="54" t="s">
        <v>59</v>
      </c>
      <c r="D46" s="53"/>
      <c r="E46" s="55"/>
      <c r="F46" s="56" t="s">
        <v>60</v>
      </c>
      <c r="G46" s="316"/>
      <c r="H46" s="506">
        <f>SUM(H47:H48)</f>
        <v>405000</v>
      </c>
      <c r="I46" s="506">
        <f t="shared" ref="I46" si="13">SUM(I47:I48)</f>
        <v>0</v>
      </c>
      <c r="J46" s="768">
        <f t="shared" si="9"/>
        <v>405000</v>
      </c>
    </row>
    <row r="47" spans="2:10" ht="12.75" customHeight="1" x14ac:dyDescent="0.2">
      <c r="B47" s="33">
        <f t="shared" si="1"/>
        <v>41</v>
      </c>
      <c r="C47" s="8"/>
      <c r="D47" s="37" t="s">
        <v>61</v>
      </c>
      <c r="E47" s="11" t="s">
        <v>62</v>
      </c>
      <c r="F47" s="43" t="s">
        <v>63</v>
      </c>
      <c r="G47" s="39"/>
      <c r="H47" s="492">
        <v>275000</v>
      </c>
      <c r="I47" s="492"/>
      <c r="J47" s="767">
        <f t="shared" si="9"/>
        <v>275000</v>
      </c>
    </row>
    <row r="48" spans="2:10" x14ac:dyDescent="0.2">
      <c r="B48" s="33">
        <f t="shared" si="1"/>
        <v>42</v>
      </c>
      <c r="C48" s="54"/>
      <c r="D48" s="358"/>
      <c r="E48" s="12"/>
      <c r="F48" s="50" t="s">
        <v>64</v>
      </c>
      <c r="G48" s="316"/>
      <c r="H48" s="554">
        <v>130000</v>
      </c>
      <c r="I48" s="554"/>
      <c r="J48" s="767">
        <f t="shared" si="9"/>
        <v>130000</v>
      </c>
    </row>
    <row r="49" spans="2:10" x14ac:dyDescent="0.2">
      <c r="B49" s="33">
        <f t="shared" si="1"/>
        <v>43</v>
      </c>
      <c r="C49" s="59"/>
      <c r="D49" s="60"/>
      <c r="E49" s="12"/>
      <c r="F49" s="50"/>
      <c r="G49" s="316"/>
      <c r="H49" s="553"/>
      <c r="I49" s="553"/>
      <c r="J49" s="767"/>
    </row>
    <row r="50" spans="2:10" x14ac:dyDescent="0.2">
      <c r="B50" s="33">
        <f t="shared" si="1"/>
        <v>44</v>
      </c>
      <c r="C50" s="61"/>
      <c r="D50" s="62"/>
      <c r="E50" s="61"/>
      <c r="F50" s="115" t="s">
        <v>678</v>
      </c>
      <c r="G50" s="325"/>
      <c r="H50" s="490">
        <f>H52+H83</f>
        <v>603000</v>
      </c>
      <c r="I50" s="490">
        <f>I52+I83+I95+I96</f>
        <v>-102800</v>
      </c>
      <c r="J50" s="490">
        <f>H50+I50</f>
        <v>500200</v>
      </c>
    </row>
    <row r="51" spans="2:10" x14ac:dyDescent="0.2">
      <c r="B51" s="33">
        <f t="shared" si="1"/>
        <v>45</v>
      </c>
      <c r="C51" s="63"/>
      <c r="D51" s="64"/>
      <c r="E51" s="61"/>
      <c r="F51" s="65"/>
      <c r="G51" s="65"/>
      <c r="H51" s="551"/>
      <c r="I51" s="551"/>
      <c r="J51" s="551"/>
    </row>
    <row r="52" spans="2:10" x14ac:dyDescent="0.2">
      <c r="B52" s="33">
        <f t="shared" si="1"/>
        <v>46</v>
      </c>
      <c r="C52" s="8" t="s">
        <v>39</v>
      </c>
      <c r="D52" s="64"/>
      <c r="E52" s="61"/>
      <c r="F52" s="38" t="s">
        <v>40</v>
      </c>
      <c r="G52" s="65"/>
      <c r="H52" s="552">
        <f>SUM(H53:H56)</f>
        <v>89000</v>
      </c>
      <c r="I52" s="552">
        <f t="shared" ref="I52" si="14">SUM(I53:I56)</f>
        <v>2600</v>
      </c>
      <c r="J52" s="552">
        <f>H52+I52</f>
        <v>91600</v>
      </c>
    </row>
    <row r="53" spans="2:10" x14ac:dyDescent="0.2">
      <c r="B53" s="33">
        <f t="shared" si="1"/>
        <v>47</v>
      </c>
      <c r="C53" s="14"/>
      <c r="D53" s="13" t="s">
        <v>41</v>
      </c>
      <c r="E53" s="2" t="s">
        <v>28</v>
      </c>
      <c r="F53" s="67" t="s">
        <v>42</v>
      </c>
      <c r="G53" s="320"/>
      <c r="H53" s="492">
        <v>900</v>
      </c>
      <c r="I53" s="492">
        <v>-400</v>
      </c>
      <c r="J53" s="492">
        <f>H53+I53</f>
        <v>500</v>
      </c>
    </row>
    <row r="54" spans="2:10" x14ac:dyDescent="0.2">
      <c r="B54" s="33">
        <f t="shared" si="1"/>
        <v>48</v>
      </c>
      <c r="C54" s="66"/>
      <c r="D54" s="13" t="s">
        <v>41</v>
      </c>
      <c r="E54" s="2" t="s">
        <v>20</v>
      </c>
      <c r="F54" s="67" t="s">
        <v>43</v>
      </c>
      <c r="G54" s="320"/>
      <c r="H54" s="492">
        <f>900+19700</f>
        <v>20600</v>
      </c>
      <c r="I54" s="492">
        <v>5000</v>
      </c>
      <c r="J54" s="492">
        <f t="shared" ref="J54:J56" si="15">H54+I54</f>
        <v>25600</v>
      </c>
    </row>
    <row r="55" spans="2:10" x14ac:dyDescent="0.2">
      <c r="B55" s="33">
        <f t="shared" si="1"/>
        <v>49</v>
      </c>
      <c r="C55" s="656"/>
      <c r="D55" s="657" t="s">
        <v>81</v>
      </c>
      <c r="E55" s="658" t="s">
        <v>20</v>
      </c>
      <c r="F55" s="659" t="s">
        <v>727</v>
      </c>
      <c r="G55" s="660"/>
      <c r="H55" s="661">
        <v>17500</v>
      </c>
      <c r="I55" s="661">
        <v>-2000</v>
      </c>
      <c r="J55" s="492">
        <f t="shared" si="15"/>
        <v>15500</v>
      </c>
    </row>
    <row r="56" spans="2:10" ht="13.5" thickBot="1" x14ac:dyDescent="0.25">
      <c r="B56" s="33">
        <f t="shared" si="1"/>
        <v>50</v>
      </c>
      <c r="C56" s="627"/>
      <c r="D56" s="628" t="s">
        <v>41</v>
      </c>
      <c r="E56" s="629" t="s">
        <v>20</v>
      </c>
      <c r="F56" s="630" t="s">
        <v>544</v>
      </c>
      <c r="G56" s="326"/>
      <c r="H56" s="631">
        <f>88100-38100</f>
        <v>50000</v>
      </c>
      <c r="I56" s="631"/>
      <c r="J56" s="492">
        <f t="shared" si="15"/>
        <v>50000</v>
      </c>
    </row>
    <row r="57" spans="2:10" x14ac:dyDescent="0.2">
      <c r="B57" s="248"/>
      <c r="C57" s="249"/>
      <c r="D57" s="250"/>
      <c r="E57" s="250"/>
      <c r="F57" s="251"/>
      <c r="G57" s="251"/>
      <c r="H57" s="252"/>
      <c r="I57" s="252"/>
      <c r="J57" s="252"/>
    </row>
    <row r="58" spans="2:10" x14ac:dyDescent="0.2">
      <c r="B58" s="248"/>
      <c r="C58" s="249"/>
      <c r="D58" s="250"/>
      <c r="E58" s="250"/>
      <c r="F58" s="251"/>
      <c r="G58" s="251"/>
      <c r="H58" s="252"/>
      <c r="I58" s="252"/>
      <c r="J58" s="252"/>
    </row>
    <row r="59" spans="2:10" x14ac:dyDescent="0.2">
      <c r="B59" s="248"/>
      <c r="C59" s="249"/>
      <c r="D59" s="250"/>
      <c r="E59" s="250"/>
      <c r="F59" s="251"/>
      <c r="G59" s="251"/>
      <c r="H59" s="252"/>
      <c r="I59" s="252"/>
      <c r="J59" s="252"/>
    </row>
    <row r="60" spans="2:10" x14ac:dyDescent="0.2">
      <c r="B60" s="248"/>
      <c r="C60" s="249"/>
      <c r="D60" s="250"/>
      <c r="E60" s="250"/>
      <c r="F60" s="251"/>
      <c r="G60" s="251"/>
      <c r="H60" s="252"/>
      <c r="I60" s="252"/>
      <c r="J60" s="252"/>
    </row>
    <row r="61" spans="2:10" x14ac:dyDescent="0.2">
      <c r="B61" s="248"/>
      <c r="C61" s="249"/>
      <c r="D61" s="250"/>
      <c r="E61" s="250"/>
      <c r="F61" s="251"/>
      <c r="G61" s="251"/>
      <c r="H61" s="252"/>
      <c r="I61" s="252"/>
      <c r="J61" s="252"/>
    </row>
    <row r="62" spans="2:10" x14ac:dyDescent="0.2">
      <c r="B62" s="248"/>
      <c r="C62" s="249"/>
      <c r="D62" s="250"/>
      <c r="E62" s="250"/>
      <c r="F62" s="251"/>
      <c r="G62" s="251"/>
      <c r="H62" s="252"/>
      <c r="I62" s="252"/>
      <c r="J62" s="252"/>
    </row>
    <row r="63" spans="2:10" x14ac:dyDescent="0.2">
      <c r="B63" s="248"/>
      <c r="C63" s="249"/>
      <c r="D63" s="250"/>
      <c r="E63" s="250"/>
      <c r="F63" s="251"/>
      <c r="G63" s="251"/>
      <c r="H63" s="252"/>
      <c r="I63" s="252"/>
      <c r="J63" s="252"/>
    </row>
    <row r="64" spans="2:10" x14ac:dyDescent="0.2">
      <c r="B64" s="248"/>
      <c r="C64" s="249"/>
      <c r="D64" s="250"/>
      <c r="E64" s="250"/>
      <c r="F64" s="251"/>
      <c r="G64" s="251"/>
      <c r="H64" s="252"/>
      <c r="I64" s="252"/>
      <c r="J64" s="252"/>
    </row>
    <row r="65" spans="2:10" x14ac:dyDescent="0.2">
      <c r="B65" s="248"/>
      <c r="C65" s="249"/>
      <c r="D65" s="250"/>
      <c r="E65" s="250"/>
      <c r="F65" s="251"/>
      <c r="G65" s="251"/>
      <c r="H65" s="252"/>
      <c r="I65" s="252"/>
      <c r="J65" s="252"/>
    </row>
    <row r="66" spans="2:10" x14ac:dyDescent="0.2">
      <c r="B66" s="248"/>
      <c r="C66" s="249"/>
      <c r="D66" s="250"/>
      <c r="E66" s="250"/>
      <c r="F66" s="251"/>
      <c r="G66" s="251"/>
      <c r="H66" s="252"/>
      <c r="I66" s="252"/>
      <c r="J66" s="252"/>
    </row>
    <row r="67" spans="2:10" x14ac:dyDescent="0.2">
      <c r="B67" s="248"/>
      <c r="C67" s="249"/>
      <c r="D67" s="250"/>
      <c r="E67" s="250"/>
      <c r="F67" s="251"/>
      <c r="G67" s="251"/>
      <c r="H67" s="252"/>
      <c r="I67" s="252"/>
      <c r="J67" s="252"/>
    </row>
    <row r="68" spans="2:10" x14ac:dyDescent="0.2">
      <c r="B68" s="248"/>
      <c r="C68" s="249"/>
      <c r="D68" s="250"/>
      <c r="E68" s="250"/>
      <c r="F68" s="251"/>
      <c r="G68" s="251"/>
      <c r="H68" s="252"/>
      <c r="I68" s="252"/>
      <c r="J68" s="252"/>
    </row>
    <row r="69" spans="2:10" x14ac:dyDescent="0.2">
      <c r="B69" s="248"/>
      <c r="C69" s="249"/>
      <c r="D69" s="250"/>
      <c r="E69" s="250"/>
      <c r="F69" s="251"/>
      <c r="G69" s="251"/>
      <c r="H69" s="252"/>
      <c r="I69" s="252"/>
      <c r="J69" s="252"/>
    </row>
    <row r="70" spans="2:10" x14ac:dyDescent="0.2">
      <c r="B70" s="248"/>
      <c r="C70" s="249"/>
      <c r="D70" s="250"/>
      <c r="E70" s="250"/>
      <c r="F70" s="251"/>
      <c r="G70" s="251"/>
      <c r="H70" s="252"/>
      <c r="I70" s="252"/>
      <c r="J70" s="252"/>
    </row>
    <row r="71" spans="2:10" x14ac:dyDescent="0.2">
      <c r="B71" s="248"/>
      <c r="C71" s="249"/>
      <c r="D71" s="250"/>
      <c r="E71" s="250"/>
      <c r="F71" s="251"/>
      <c r="G71" s="251"/>
      <c r="H71" s="252"/>
      <c r="I71" s="252"/>
      <c r="J71" s="252"/>
    </row>
    <row r="72" spans="2:10" x14ac:dyDescent="0.2">
      <c r="B72" s="248"/>
      <c r="C72" s="249"/>
      <c r="D72" s="250"/>
      <c r="E72" s="250"/>
      <c r="F72" s="251"/>
      <c r="G72" s="251"/>
      <c r="H72" s="252"/>
      <c r="I72" s="252"/>
      <c r="J72" s="252"/>
    </row>
    <row r="73" spans="2:10" x14ac:dyDescent="0.2">
      <c r="B73" s="248"/>
      <c r="C73" s="249"/>
      <c r="D73" s="250"/>
      <c r="E73" s="250"/>
      <c r="F73" s="251"/>
      <c r="G73" s="251"/>
      <c r="H73" s="252"/>
      <c r="I73" s="252"/>
      <c r="J73" s="252"/>
    </row>
    <row r="74" spans="2:10" x14ac:dyDescent="0.2">
      <c r="B74" s="248"/>
      <c r="C74" s="249"/>
      <c r="D74" s="250"/>
      <c r="E74" s="250"/>
      <c r="F74" s="251"/>
      <c r="G74" s="251"/>
      <c r="H74" s="252"/>
      <c r="I74" s="252"/>
      <c r="J74" s="252"/>
    </row>
    <row r="75" spans="2:10" x14ac:dyDescent="0.2">
      <c r="B75" s="248"/>
      <c r="C75" s="249"/>
      <c r="D75" s="250"/>
      <c r="E75" s="250"/>
      <c r="F75" s="251"/>
      <c r="G75" s="251"/>
      <c r="H75" s="252"/>
      <c r="I75" s="252"/>
      <c r="J75" s="252"/>
    </row>
    <row r="76" spans="2:10" x14ac:dyDescent="0.2">
      <c r="B76" s="248"/>
      <c r="C76" s="249"/>
      <c r="D76" s="250"/>
      <c r="E76" s="250"/>
      <c r="F76" s="251"/>
      <c r="G76" s="251"/>
      <c r="H76" s="252"/>
      <c r="I76" s="252"/>
      <c r="J76" s="252"/>
    </row>
    <row r="77" spans="2:10" x14ac:dyDescent="0.2">
      <c r="B77" s="248"/>
      <c r="C77" s="249"/>
      <c r="D77" s="250"/>
      <c r="E77" s="250"/>
      <c r="F77" s="251"/>
      <c r="G77" s="251"/>
      <c r="H77" s="252"/>
      <c r="I77" s="252"/>
      <c r="J77" s="252"/>
    </row>
    <row r="78" spans="2:10" ht="13.5" thickBot="1" x14ac:dyDescent="0.25">
      <c r="B78" s="248"/>
      <c r="C78" s="249"/>
      <c r="D78" s="250"/>
      <c r="E78" s="250"/>
      <c r="F78" s="251"/>
      <c r="G78" s="251"/>
      <c r="H78" s="252"/>
      <c r="I78" s="252"/>
      <c r="J78" s="252"/>
    </row>
    <row r="79" spans="2:10" ht="12.75" customHeight="1" x14ac:dyDescent="0.2">
      <c r="B79" s="853" t="s">
        <v>9</v>
      </c>
      <c r="C79" s="859"/>
      <c r="D79" s="859"/>
      <c r="E79" s="859"/>
      <c r="F79" s="859"/>
      <c r="G79" s="859"/>
      <c r="H79" s="850" t="s">
        <v>724</v>
      </c>
      <c r="I79" s="850" t="s">
        <v>842</v>
      </c>
      <c r="J79" s="850" t="s">
        <v>724</v>
      </c>
    </row>
    <row r="80" spans="2:10" ht="11.25" customHeight="1" x14ac:dyDescent="0.2">
      <c r="B80" s="860"/>
      <c r="C80" s="861"/>
      <c r="D80" s="861"/>
      <c r="E80" s="861"/>
      <c r="F80" s="861"/>
      <c r="G80" s="861"/>
      <c r="H80" s="851"/>
      <c r="I80" s="851"/>
      <c r="J80" s="851"/>
    </row>
    <row r="81" spans="2:10" ht="14.25" customHeight="1" x14ac:dyDescent="0.2">
      <c r="B81" s="78"/>
      <c r="C81" s="857" t="s">
        <v>10</v>
      </c>
      <c r="D81" s="79" t="s">
        <v>11</v>
      </c>
      <c r="E81" s="79" t="s">
        <v>12</v>
      </c>
      <c r="F81" s="80"/>
      <c r="G81" s="80"/>
      <c r="H81" s="851"/>
      <c r="I81" s="851"/>
      <c r="J81" s="851"/>
    </row>
    <row r="82" spans="2:10" ht="14.25" customHeight="1" thickBot="1" x14ac:dyDescent="0.25">
      <c r="B82" s="82"/>
      <c r="C82" s="858"/>
      <c r="D82" s="84"/>
      <c r="E82" s="83" t="s">
        <v>13</v>
      </c>
      <c r="F82" s="85" t="s">
        <v>14</v>
      </c>
      <c r="G82" s="307"/>
      <c r="H82" s="852"/>
      <c r="I82" s="852"/>
      <c r="J82" s="852"/>
    </row>
    <row r="83" spans="2:10" ht="14.25" customHeight="1" thickTop="1" x14ac:dyDescent="0.2">
      <c r="B83" s="33">
        <f>B56+1</f>
        <v>51</v>
      </c>
      <c r="C83" s="8" t="s">
        <v>46</v>
      </c>
      <c r="D83" s="183"/>
      <c r="E83" s="184"/>
      <c r="F83" s="38" t="s">
        <v>47</v>
      </c>
      <c r="G83" s="319"/>
      <c r="H83" s="506">
        <f>H84</f>
        <v>514000</v>
      </c>
      <c r="I83" s="506">
        <f t="shared" ref="I83" si="16">I84</f>
        <v>-123400</v>
      </c>
      <c r="J83" s="506">
        <f>H83+I83</f>
        <v>390600</v>
      </c>
    </row>
    <row r="84" spans="2:10" x14ac:dyDescent="0.2">
      <c r="B84" s="33">
        <f>B83+1</f>
        <v>52</v>
      </c>
      <c r="C84" s="63"/>
      <c r="D84" s="13" t="s">
        <v>53</v>
      </c>
      <c r="E84" s="2" t="s">
        <v>26</v>
      </c>
      <c r="F84" s="43" t="s">
        <v>65</v>
      </c>
      <c r="G84" s="320"/>
      <c r="H84" s="492">
        <f>SUM(H85:H93)</f>
        <v>514000</v>
      </c>
      <c r="I84" s="492">
        <f t="shared" ref="I84" si="17">SUM(I85:I93)</f>
        <v>-123400</v>
      </c>
      <c r="J84" s="495">
        <f>H84+I84</f>
        <v>390600</v>
      </c>
    </row>
    <row r="85" spans="2:10" x14ac:dyDescent="0.2">
      <c r="B85" s="33">
        <f t="shared" si="1"/>
        <v>53</v>
      </c>
      <c r="C85" s="66"/>
      <c r="D85" s="2"/>
      <c r="E85" s="2"/>
      <c r="F85" s="43"/>
      <c r="G85" s="319" t="s">
        <v>93</v>
      </c>
      <c r="H85" s="492">
        <v>65000</v>
      </c>
      <c r="I85" s="492"/>
      <c r="J85" s="492">
        <f t="shared" ref="J85:J93" si="18">H85+I85</f>
        <v>65000</v>
      </c>
    </row>
    <row r="86" spans="2:10" x14ac:dyDescent="0.2">
      <c r="B86" s="33">
        <f t="shared" si="1"/>
        <v>54</v>
      </c>
      <c r="C86" s="66"/>
      <c r="D86" s="2"/>
      <c r="E86" s="2"/>
      <c r="F86" s="43"/>
      <c r="G86" s="319" t="s">
        <v>424</v>
      </c>
      <c r="H86" s="492">
        <v>17000</v>
      </c>
      <c r="I86" s="492"/>
      <c r="J86" s="492">
        <f t="shared" si="18"/>
        <v>17000</v>
      </c>
    </row>
    <row r="87" spans="2:10" x14ac:dyDescent="0.2">
      <c r="B87" s="33">
        <f t="shared" si="1"/>
        <v>55</v>
      </c>
      <c r="C87" s="63"/>
      <c r="D87" s="123"/>
      <c r="E87" s="123"/>
      <c r="F87" s="50"/>
      <c r="G87" s="320" t="s">
        <v>543</v>
      </c>
      <c r="H87" s="553">
        <v>70000</v>
      </c>
      <c r="I87" s="553">
        <v>-10000</v>
      </c>
      <c r="J87" s="492">
        <f t="shared" si="18"/>
        <v>60000</v>
      </c>
    </row>
    <row r="88" spans="2:10" x14ac:dyDescent="0.2">
      <c r="B88" s="33">
        <f t="shared" si="1"/>
        <v>56</v>
      </c>
      <c r="C88" s="66"/>
      <c r="D88" s="2"/>
      <c r="E88" s="2"/>
      <c r="F88" s="43"/>
      <c r="G88" s="319" t="s">
        <v>94</v>
      </c>
      <c r="H88" s="492">
        <v>79100</v>
      </c>
      <c r="I88" s="492"/>
      <c r="J88" s="492">
        <f t="shared" si="18"/>
        <v>79100</v>
      </c>
    </row>
    <row r="89" spans="2:10" x14ac:dyDescent="0.2">
      <c r="B89" s="33">
        <f t="shared" si="1"/>
        <v>57</v>
      </c>
      <c r="C89" s="66"/>
      <c r="D89" s="2"/>
      <c r="E89" s="2"/>
      <c r="F89" s="43"/>
      <c r="G89" s="319" t="s">
        <v>264</v>
      </c>
      <c r="H89" s="492">
        <v>145000</v>
      </c>
      <c r="I89" s="492"/>
      <c r="J89" s="492">
        <f t="shared" si="18"/>
        <v>145000</v>
      </c>
    </row>
    <row r="90" spans="2:10" ht="12.75" customHeight="1" x14ac:dyDescent="0.2">
      <c r="B90" s="33">
        <f t="shared" si="1"/>
        <v>58</v>
      </c>
      <c r="C90" s="66"/>
      <c r="D90" s="2"/>
      <c r="E90" s="2"/>
      <c r="F90" s="43"/>
      <c r="G90" s="319" t="s">
        <v>265</v>
      </c>
      <c r="H90" s="554">
        <v>95000</v>
      </c>
      <c r="I90" s="554">
        <v>-95000</v>
      </c>
      <c r="J90" s="492">
        <f t="shared" si="18"/>
        <v>0</v>
      </c>
    </row>
    <row r="91" spans="2:10" ht="12.75" customHeight="1" x14ac:dyDescent="0.2">
      <c r="B91" s="33">
        <f t="shared" si="1"/>
        <v>59</v>
      </c>
      <c r="C91" s="66"/>
      <c r="D91" s="2"/>
      <c r="E91" s="2"/>
      <c r="F91" s="43"/>
      <c r="G91" s="319" t="s">
        <v>266</v>
      </c>
      <c r="H91" s="553">
        <v>10400</v>
      </c>
      <c r="I91" s="553">
        <v>-400</v>
      </c>
      <c r="J91" s="492">
        <f t="shared" si="18"/>
        <v>10000</v>
      </c>
    </row>
    <row r="92" spans="2:10" ht="12.75" customHeight="1" x14ac:dyDescent="0.2">
      <c r="B92" s="33">
        <f t="shared" ref="B92:B149" si="19">B91+1</f>
        <v>60</v>
      </c>
      <c r="C92" s="63"/>
      <c r="D92" s="123"/>
      <c r="E92" s="123"/>
      <c r="F92" s="50"/>
      <c r="G92" s="320" t="s">
        <v>296</v>
      </c>
      <c r="H92" s="553">
        <v>12500</v>
      </c>
      <c r="I92" s="553"/>
      <c r="J92" s="492">
        <f t="shared" si="18"/>
        <v>12500</v>
      </c>
    </row>
    <row r="93" spans="2:10" ht="13.5" customHeight="1" x14ac:dyDescent="0.2">
      <c r="B93" s="33">
        <f t="shared" si="19"/>
        <v>61</v>
      </c>
      <c r="C93" s="63"/>
      <c r="D93" s="123"/>
      <c r="E93" s="123"/>
      <c r="F93" s="50"/>
      <c r="G93" s="320" t="s">
        <v>66</v>
      </c>
      <c r="H93" s="553">
        <v>20000</v>
      </c>
      <c r="I93" s="553">
        <v>-18000</v>
      </c>
      <c r="J93" s="492">
        <f t="shared" si="18"/>
        <v>2000</v>
      </c>
    </row>
    <row r="94" spans="2:10" ht="13.5" customHeight="1" x14ac:dyDescent="0.2">
      <c r="B94" s="33"/>
      <c r="C94" s="66"/>
      <c r="D94" s="2"/>
      <c r="E94" s="2"/>
      <c r="F94" s="43"/>
      <c r="G94" s="319"/>
      <c r="H94" s="492"/>
      <c r="I94" s="492"/>
      <c r="J94" s="492"/>
    </row>
    <row r="95" spans="2:10" ht="13.5" customHeight="1" x14ac:dyDescent="0.2">
      <c r="B95" s="33"/>
      <c r="C95" s="828">
        <v>290</v>
      </c>
      <c r="D95" s="2" t="s">
        <v>61</v>
      </c>
      <c r="E95" s="2" t="s">
        <v>853</v>
      </c>
      <c r="F95" s="43" t="s">
        <v>854</v>
      </c>
      <c r="G95" s="319"/>
      <c r="H95" s="492">
        <v>0</v>
      </c>
      <c r="I95" s="492">
        <v>9000</v>
      </c>
      <c r="J95" s="492">
        <f>I95+H95</f>
        <v>9000</v>
      </c>
    </row>
    <row r="96" spans="2:10" ht="13.5" customHeight="1" x14ac:dyDescent="0.2">
      <c r="B96" s="33"/>
      <c r="C96" s="66"/>
      <c r="D96" s="2" t="s">
        <v>61</v>
      </c>
      <c r="E96" s="2" t="s">
        <v>849</v>
      </c>
      <c r="F96" s="43" t="s">
        <v>855</v>
      </c>
      <c r="G96" s="319"/>
      <c r="H96" s="492">
        <v>0</v>
      </c>
      <c r="I96" s="492">
        <v>9000</v>
      </c>
      <c r="J96" s="492">
        <f>I96+H96</f>
        <v>9000</v>
      </c>
    </row>
    <row r="97" spans="1:10" x14ac:dyDescent="0.2">
      <c r="B97" s="33">
        <f>B93+1</f>
        <v>62</v>
      </c>
      <c r="C97" s="66"/>
      <c r="D97" s="183"/>
      <c r="E97" s="184"/>
      <c r="F97" s="67"/>
      <c r="G97" s="67"/>
      <c r="H97" s="571"/>
      <c r="I97" s="571"/>
      <c r="J97" s="571"/>
    </row>
    <row r="98" spans="1:10" ht="13.5" customHeight="1" x14ac:dyDescent="0.2">
      <c r="B98" s="33">
        <f t="shared" si="19"/>
        <v>63</v>
      </c>
      <c r="C98" s="8"/>
      <c r="D98" s="8"/>
      <c r="E98" s="10"/>
      <c r="F98" s="116" t="s">
        <v>67</v>
      </c>
      <c r="G98" s="312"/>
      <c r="H98" s="576">
        <f>H100+H106+H111+H112+H114+H120+H124</f>
        <v>706000</v>
      </c>
      <c r="I98" s="576">
        <f>I100+I106+I111+I112+I114+I120+I124+I125+I126+I127+I128</f>
        <v>9261</v>
      </c>
      <c r="J98" s="576">
        <f>H98+I98</f>
        <v>715261</v>
      </c>
    </row>
    <row r="99" spans="1:10" s="132" customFormat="1" ht="1.5" customHeight="1" x14ac:dyDescent="0.2">
      <c r="A99" s="173"/>
      <c r="B99" s="33">
        <f t="shared" si="19"/>
        <v>64</v>
      </c>
      <c r="C99" s="185"/>
      <c r="D99" s="185"/>
      <c r="E99" s="186"/>
      <c r="F99" s="187"/>
      <c r="G99" s="321"/>
      <c r="H99" s="577"/>
      <c r="I99" s="577"/>
      <c r="J99" s="577"/>
    </row>
    <row r="100" spans="1:10" ht="12.75" customHeight="1" x14ac:dyDescent="0.2">
      <c r="B100" s="33">
        <f t="shared" si="19"/>
        <v>65</v>
      </c>
      <c r="C100" s="36"/>
      <c r="D100" s="36"/>
      <c r="E100" s="2"/>
      <c r="F100" s="68" t="s">
        <v>68</v>
      </c>
      <c r="G100" s="322"/>
      <c r="H100" s="569">
        <f>SUM(H101:H104)</f>
        <v>125600</v>
      </c>
      <c r="I100" s="569">
        <f t="shared" ref="I100" si="20">SUM(I101:I104)</f>
        <v>0</v>
      </c>
      <c r="J100" s="569">
        <f>H100+I100</f>
        <v>125600</v>
      </c>
    </row>
    <row r="101" spans="1:10" ht="12.75" customHeight="1" x14ac:dyDescent="0.2">
      <c r="B101" s="33">
        <f t="shared" si="19"/>
        <v>66</v>
      </c>
      <c r="C101" s="13"/>
      <c r="D101" s="13" t="s">
        <v>53</v>
      </c>
      <c r="E101" s="2" t="s">
        <v>28</v>
      </c>
      <c r="F101" s="49" t="s">
        <v>148</v>
      </c>
      <c r="G101" s="322"/>
      <c r="H101" s="571">
        <v>109000</v>
      </c>
      <c r="I101" s="571"/>
      <c r="J101" s="769">
        <f t="shared" ref="J101:J128" si="21">H101+I101</f>
        <v>109000</v>
      </c>
    </row>
    <row r="102" spans="1:10" ht="13.5" customHeight="1" x14ac:dyDescent="0.2">
      <c r="B102" s="33">
        <f t="shared" si="19"/>
        <v>67</v>
      </c>
      <c r="C102" s="36"/>
      <c r="D102" s="36" t="s">
        <v>53</v>
      </c>
      <c r="E102" s="37" t="s">
        <v>20</v>
      </c>
      <c r="F102" s="31" t="s">
        <v>149</v>
      </c>
      <c r="G102" s="31"/>
      <c r="H102" s="492">
        <v>9000</v>
      </c>
      <c r="I102" s="492"/>
      <c r="J102" s="769">
        <f t="shared" si="21"/>
        <v>9000</v>
      </c>
    </row>
    <row r="103" spans="1:10" x14ac:dyDescent="0.2">
      <c r="B103" s="33">
        <f t="shared" si="19"/>
        <v>68</v>
      </c>
      <c r="C103" s="36"/>
      <c r="D103" s="36" t="s">
        <v>53</v>
      </c>
      <c r="E103" s="37" t="s">
        <v>20</v>
      </c>
      <c r="F103" s="31" t="s">
        <v>150</v>
      </c>
      <c r="G103" s="31"/>
      <c r="H103" s="492">
        <v>6600</v>
      </c>
      <c r="I103" s="492"/>
      <c r="J103" s="769">
        <f t="shared" si="21"/>
        <v>6600</v>
      </c>
    </row>
    <row r="104" spans="1:10" x14ac:dyDescent="0.2">
      <c r="B104" s="33">
        <f t="shared" si="19"/>
        <v>69</v>
      </c>
      <c r="C104" s="36"/>
      <c r="D104" s="36" t="s">
        <v>53</v>
      </c>
      <c r="E104" s="37" t="s">
        <v>20</v>
      </c>
      <c r="F104" s="31" t="s">
        <v>522</v>
      </c>
      <c r="G104" s="31"/>
      <c r="H104" s="492">
        <v>1000</v>
      </c>
      <c r="I104" s="492"/>
      <c r="J104" s="769">
        <f t="shared" si="21"/>
        <v>1000</v>
      </c>
    </row>
    <row r="105" spans="1:10" x14ac:dyDescent="0.2">
      <c r="B105" s="33">
        <f t="shared" si="19"/>
        <v>70</v>
      </c>
      <c r="C105" s="36"/>
      <c r="D105" s="36"/>
      <c r="E105" s="37"/>
      <c r="F105" s="31"/>
      <c r="G105" s="31"/>
      <c r="H105" s="492"/>
      <c r="I105" s="492"/>
      <c r="J105" s="569"/>
    </row>
    <row r="106" spans="1:10" x14ac:dyDescent="0.2">
      <c r="B106" s="33">
        <f t="shared" si="19"/>
        <v>71</v>
      </c>
      <c r="C106" s="36"/>
      <c r="D106" s="36"/>
      <c r="E106" s="37"/>
      <c r="F106" s="69" t="s">
        <v>70</v>
      </c>
      <c r="G106" s="31"/>
      <c r="H106" s="506">
        <f>SUM(H107:H109)</f>
        <v>108000</v>
      </c>
      <c r="I106" s="506">
        <f t="shared" ref="I106" si="22">SUM(I107:I109)</f>
        <v>0</v>
      </c>
      <c r="J106" s="569">
        <f t="shared" si="21"/>
        <v>108000</v>
      </c>
    </row>
    <row r="107" spans="1:10" x14ac:dyDescent="0.2">
      <c r="B107" s="33">
        <f t="shared" si="19"/>
        <v>72</v>
      </c>
      <c r="C107" s="36"/>
      <c r="D107" s="36" t="s">
        <v>53</v>
      </c>
      <c r="E107" s="37" t="s">
        <v>26</v>
      </c>
      <c r="F107" s="31" t="s">
        <v>300</v>
      </c>
      <c r="G107" s="31"/>
      <c r="H107" s="492">
        <v>95200</v>
      </c>
      <c r="I107" s="492"/>
      <c r="J107" s="769">
        <f t="shared" si="21"/>
        <v>95200</v>
      </c>
    </row>
    <row r="108" spans="1:10" x14ac:dyDescent="0.2">
      <c r="B108" s="33">
        <f t="shared" si="19"/>
        <v>73</v>
      </c>
      <c r="C108" s="36"/>
      <c r="D108" s="36" t="s">
        <v>53</v>
      </c>
      <c r="E108" s="37" t="s">
        <v>26</v>
      </c>
      <c r="F108" s="31" t="s">
        <v>154</v>
      </c>
      <c r="G108" s="31"/>
      <c r="H108" s="492">
        <v>5500</v>
      </c>
      <c r="I108" s="492"/>
      <c r="J108" s="769">
        <f t="shared" si="21"/>
        <v>5500</v>
      </c>
    </row>
    <row r="109" spans="1:10" ht="12.75" customHeight="1" x14ac:dyDescent="0.2">
      <c r="B109" s="33">
        <f t="shared" si="19"/>
        <v>74</v>
      </c>
      <c r="C109" s="36"/>
      <c r="D109" s="36" t="s">
        <v>53</v>
      </c>
      <c r="E109" s="37" t="s">
        <v>26</v>
      </c>
      <c r="F109" s="31" t="s">
        <v>71</v>
      </c>
      <c r="G109" s="31"/>
      <c r="H109" s="492">
        <v>7300</v>
      </c>
      <c r="I109" s="492"/>
      <c r="J109" s="769">
        <f t="shared" si="21"/>
        <v>7300</v>
      </c>
    </row>
    <row r="110" spans="1:10" ht="12.75" customHeight="1" x14ac:dyDescent="0.2">
      <c r="B110" s="33">
        <f t="shared" si="19"/>
        <v>75</v>
      </c>
      <c r="C110" s="36"/>
      <c r="D110" s="36"/>
      <c r="E110" s="37"/>
      <c r="F110" s="31"/>
      <c r="G110" s="31"/>
      <c r="H110" s="492"/>
      <c r="I110" s="492"/>
      <c r="J110" s="569"/>
    </row>
    <row r="111" spans="1:10" ht="12.75" customHeight="1" x14ac:dyDescent="0.2">
      <c r="B111" s="33">
        <f t="shared" si="19"/>
        <v>76</v>
      </c>
      <c r="C111" s="36"/>
      <c r="D111" s="36"/>
      <c r="E111" s="37"/>
      <c r="F111" s="69" t="s">
        <v>125</v>
      </c>
      <c r="G111" s="31"/>
      <c r="H111" s="506">
        <v>2000</v>
      </c>
      <c r="I111" s="506"/>
      <c r="J111" s="770">
        <f t="shared" si="21"/>
        <v>2000</v>
      </c>
    </row>
    <row r="112" spans="1:10" ht="12.75" customHeight="1" x14ac:dyDescent="0.2">
      <c r="B112" s="33">
        <f t="shared" si="19"/>
        <v>77</v>
      </c>
      <c r="C112" s="36"/>
      <c r="D112" s="36"/>
      <c r="E112" s="37"/>
      <c r="F112" s="69" t="s">
        <v>584</v>
      </c>
      <c r="G112" s="31"/>
      <c r="H112" s="506">
        <v>5800</v>
      </c>
      <c r="I112" s="506"/>
      <c r="J112" s="770">
        <f t="shared" si="21"/>
        <v>5800</v>
      </c>
    </row>
    <row r="113" spans="2:10" ht="12.75" customHeight="1" x14ac:dyDescent="0.2">
      <c r="B113" s="33">
        <f t="shared" si="19"/>
        <v>78</v>
      </c>
      <c r="C113" s="36"/>
      <c r="D113" s="36"/>
      <c r="E113" s="37"/>
      <c r="F113" s="69"/>
      <c r="G113" s="31"/>
      <c r="H113" s="505"/>
      <c r="I113" s="505"/>
      <c r="J113" s="569"/>
    </row>
    <row r="114" spans="2:10" ht="12.75" customHeight="1" x14ac:dyDescent="0.2">
      <c r="B114" s="33">
        <f t="shared" si="19"/>
        <v>79</v>
      </c>
      <c r="C114" s="36"/>
      <c r="D114" s="36"/>
      <c r="E114" s="37"/>
      <c r="F114" s="69" t="s">
        <v>69</v>
      </c>
      <c r="G114" s="31"/>
      <c r="H114" s="506">
        <f>SUM(H115:H118)</f>
        <v>334500</v>
      </c>
      <c r="I114" s="506">
        <f t="shared" ref="I114" si="23">SUM(I115:I118)</f>
        <v>0</v>
      </c>
      <c r="J114" s="569">
        <f t="shared" si="21"/>
        <v>334500</v>
      </c>
    </row>
    <row r="115" spans="2:10" ht="13.5" customHeight="1" x14ac:dyDescent="0.2">
      <c r="B115" s="33">
        <f t="shared" si="19"/>
        <v>80</v>
      </c>
      <c r="C115" s="36"/>
      <c r="D115" s="36" t="s">
        <v>53</v>
      </c>
      <c r="E115" s="37" t="s">
        <v>26</v>
      </c>
      <c r="F115" s="31" t="s">
        <v>153</v>
      </c>
      <c r="G115" s="31"/>
      <c r="H115" s="492">
        <v>9300</v>
      </c>
      <c r="I115" s="492"/>
      <c r="J115" s="769">
        <f t="shared" si="21"/>
        <v>9300</v>
      </c>
    </row>
    <row r="116" spans="2:10" x14ac:dyDescent="0.2">
      <c r="B116" s="33">
        <f t="shared" si="19"/>
        <v>81</v>
      </c>
      <c r="C116" s="36"/>
      <c r="D116" s="36" t="s">
        <v>53</v>
      </c>
      <c r="E116" s="37" t="s">
        <v>26</v>
      </c>
      <c r="F116" s="31" t="s">
        <v>152</v>
      </c>
      <c r="G116" s="31"/>
      <c r="H116" s="492">
        <v>134000</v>
      </c>
      <c r="I116" s="492"/>
      <c r="J116" s="769">
        <f t="shared" si="21"/>
        <v>134000</v>
      </c>
    </row>
    <row r="117" spans="2:10" x14ac:dyDescent="0.2">
      <c r="B117" s="33">
        <f t="shared" si="19"/>
        <v>82</v>
      </c>
      <c r="C117" s="36"/>
      <c r="D117" s="36" t="s">
        <v>53</v>
      </c>
      <c r="E117" s="37" t="s">
        <v>26</v>
      </c>
      <c r="F117" s="31" t="s">
        <v>177</v>
      </c>
      <c r="G117" s="31"/>
      <c r="H117" s="492">
        <v>191200</v>
      </c>
      <c r="I117" s="492"/>
      <c r="J117" s="769">
        <f t="shared" si="21"/>
        <v>191200</v>
      </c>
    </row>
    <row r="118" spans="2:10" x14ac:dyDescent="0.2">
      <c r="B118" s="33">
        <f t="shared" si="19"/>
        <v>83</v>
      </c>
      <c r="C118" s="36"/>
      <c r="D118" s="36" t="s">
        <v>41</v>
      </c>
      <c r="E118" s="37" t="s">
        <v>20</v>
      </c>
      <c r="F118" s="49" t="s">
        <v>72</v>
      </c>
      <c r="G118" s="31"/>
      <c r="H118" s="492"/>
      <c r="I118" s="492"/>
      <c r="J118" s="769">
        <f t="shared" si="21"/>
        <v>0</v>
      </c>
    </row>
    <row r="119" spans="2:10" x14ac:dyDescent="0.2">
      <c r="B119" s="33">
        <f t="shared" si="19"/>
        <v>84</v>
      </c>
      <c r="C119" s="36"/>
      <c r="D119" s="36"/>
      <c r="E119" s="37"/>
      <c r="F119" s="49"/>
      <c r="G119" s="31"/>
      <c r="H119" s="492"/>
      <c r="I119" s="492"/>
      <c r="J119" s="569"/>
    </row>
    <row r="120" spans="2:10" x14ac:dyDescent="0.2">
      <c r="B120" s="33">
        <f t="shared" si="19"/>
        <v>85</v>
      </c>
      <c r="C120" s="36"/>
      <c r="D120" s="37"/>
      <c r="E120" s="37"/>
      <c r="F120" s="69" t="s">
        <v>188</v>
      </c>
      <c r="G120" s="31"/>
      <c r="H120" s="506">
        <f>H121+H122</f>
        <v>129100</v>
      </c>
      <c r="I120" s="506">
        <f t="shared" ref="I120" si="24">I121+I122</f>
        <v>0</v>
      </c>
      <c r="J120" s="569">
        <f t="shared" si="21"/>
        <v>129100</v>
      </c>
    </row>
    <row r="121" spans="2:10" ht="12.75" customHeight="1" x14ac:dyDescent="0.2">
      <c r="B121" s="33">
        <f t="shared" si="19"/>
        <v>86</v>
      </c>
      <c r="C121" s="36"/>
      <c r="D121" s="2" t="s">
        <v>53</v>
      </c>
      <c r="E121" s="2" t="s">
        <v>26</v>
      </c>
      <c r="F121" s="31" t="s">
        <v>317</v>
      </c>
      <c r="G121" s="322"/>
      <c r="H121" s="492">
        <v>108000</v>
      </c>
      <c r="I121" s="492"/>
      <c r="J121" s="769">
        <f t="shared" si="21"/>
        <v>108000</v>
      </c>
    </row>
    <row r="122" spans="2:10" ht="13.5" customHeight="1" x14ac:dyDescent="0.2">
      <c r="B122" s="33">
        <f t="shared" si="19"/>
        <v>87</v>
      </c>
      <c r="C122" s="36"/>
      <c r="D122" s="2" t="s">
        <v>53</v>
      </c>
      <c r="E122" s="2" t="s">
        <v>26</v>
      </c>
      <c r="F122" s="31" t="s">
        <v>318</v>
      </c>
      <c r="G122" s="322"/>
      <c r="H122" s="492">
        <v>21100</v>
      </c>
      <c r="I122" s="492"/>
      <c r="J122" s="769">
        <f t="shared" si="21"/>
        <v>21100</v>
      </c>
    </row>
    <row r="123" spans="2:10" x14ac:dyDescent="0.2">
      <c r="B123" s="33">
        <f t="shared" si="19"/>
        <v>88</v>
      </c>
      <c r="C123" s="36"/>
      <c r="D123" s="2"/>
      <c r="E123" s="2"/>
      <c r="F123" s="31"/>
      <c r="G123" s="322"/>
      <c r="H123" s="492"/>
      <c r="I123" s="492"/>
      <c r="J123" s="569"/>
    </row>
    <row r="124" spans="2:10" x14ac:dyDescent="0.2">
      <c r="B124" s="33">
        <f t="shared" si="19"/>
        <v>89</v>
      </c>
      <c r="C124" s="36"/>
      <c r="D124" s="36" t="s">
        <v>41</v>
      </c>
      <c r="E124" s="37" t="s">
        <v>20</v>
      </c>
      <c r="F124" s="49" t="s">
        <v>72</v>
      </c>
      <c r="G124" s="31"/>
      <c r="H124" s="766">
        <v>1000</v>
      </c>
      <c r="I124" s="766"/>
      <c r="J124" s="769">
        <f t="shared" si="21"/>
        <v>1000</v>
      </c>
    </row>
    <row r="125" spans="2:10" x14ac:dyDescent="0.2">
      <c r="B125" s="33">
        <f t="shared" si="19"/>
        <v>90</v>
      </c>
      <c r="C125" s="36"/>
      <c r="D125" s="36" t="s">
        <v>61</v>
      </c>
      <c r="E125" s="37" t="s">
        <v>34</v>
      </c>
      <c r="F125" s="49" t="s">
        <v>847</v>
      </c>
      <c r="G125" s="31"/>
      <c r="H125" s="766"/>
      <c r="I125" s="766">
        <v>3835</v>
      </c>
      <c r="J125" s="769">
        <f t="shared" si="21"/>
        <v>3835</v>
      </c>
    </row>
    <row r="126" spans="2:10" x14ac:dyDescent="0.2">
      <c r="B126" s="33">
        <f t="shared" si="19"/>
        <v>91</v>
      </c>
      <c r="C126" s="36"/>
      <c r="D126" s="36" t="s">
        <v>61</v>
      </c>
      <c r="E126" s="37" t="s">
        <v>849</v>
      </c>
      <c r="F126" s="49" t="s">
        <v>848</v>
      </c>
      <c r="G126" s="31"/>
      <c r="H126" s="766"/>
      <c r="I126" s="766">
        <v>585</v>
      </c>
      <c r="J126" s="769">
        <f t="shared" si="21"/>
        <v>585</v>
      </c>
    </row>
    <row r="127" spans="2:10" x14ac:dyDescent="0.2">
      <c r="B127" s="33">
        <f t="shared" si="19"/>
        <v>92</v>
      </c>
      <c r="C127" s="36"/>
      <c r="D127" s="36" t="s">
        <v>61</v>
      </c>
      <c r="E127" s="37" t="s">
        <v>850</v>
      </c>
      <c r="F127" s="49" t="s">
        <v>851</v>
      </c>
      <c r="G127" s="31"/>
      <c r="H127" s="766"/>
      <c r="I127" s="766">
        <v>2141</v>
      </c>
      <c r="J127" s="769">
        <f t="shared" si="21"/>
        <v>2141</v>
      </c>
    </row>
    <row r="128" spans="2:10" x14ac:dyDescent="0.2">
      <c r="B128" s="33">
        <f t="shared" si="19"/>
        <v>93</v>
      </c>
      <c r="C128" s="36"/>
      <c r="D128" s="36" t="s">
        <v>603</v>
      </c>
      <c r="E128" s="37"/>
      <c r="F128" s="49" t="s">
        <v>852</v>
      </c>
      <c r="G128" s="31"/>
      <c r="H128" s="766"/>
      <c r="I128" s="766">
        <v>2700</v>
      </c>
      <c r="J128" s="769">
        <f t="shared" si="21"/>
        <v>2700</v>
      </c>
    </row>
    <row r="129" spans="1:10" x14ac:dyDescent="0.2">
      <c r="B129" s="33">
        <f t="shared" si="19"/>
        <v>94</v>
      </c>
      <c r="C129" s="36"/>
      <c r="D129" s="36"/>
      <c r="E129" s="37"/>
      <c r="F129" s="49"/>
      <c r="G129" s="31"/>
      <c r="H129" s="492"/>
      <c r="I129" s="492"/>
      <c r="J129" s="492"/>
    </row>
    <row r="130" spans="1:10" ht="12.75" customHeight="1" x14ac:dyDescent="0.2">
      <c r="B130" s="33">
        <f t="shared" si="19"/>
        <v>95</v>
      </c>
      <c r="C130" s="8"/>
      <c r="D130" s="54"/>
      <c r="E130" s="70"/>
      <c r="F130" s="116" t="s">
        <v>73</v>
      </c>
      <c r="G130" s="312"/>
      <c r="H130" s="491">
        <f>H132+H134+H136+H155+H154</f>
        <v>145000</v>
      </c>
      <c r="I130" s="491">
        <f t="shared" ref="I130" si="25">I132+I134+I136+I155+I154</f>
        <v>0</v>
      </c>
      <c r="J130" s="491">
        <f>H130+I130</f>
        <v>145000</v>
      </c>
    </row>
    <row r="131" spans="1:10" ht="1.5" customHeight="1" x14ac:dyDescent="0.2">
      <c r="B131" s="33">
        <f t="shared" si="19"/>
        <v>96</v>
      </c>
      <c r="C131" s="36"/>
      <c r="D131" s="36"/>
      <c r="E131" s="37"/>
      <c r="F131" s="49"/>
      <c r="G131" s="31"/>
      <c r="H131" s="492"/>
      <c r="I131" s="492"/>
      <c r="J131" s="492"/>
    </row>
    <row r="132" spans="1:10" s="154" customFormat="1" ht="12.75" customHeight="1" x14ac:dyDescent="0.2">
      <c r="A132" s="241"/>
      <c r="B132" s="33">
        <f t="shared" si="19"/>
        <v>97</v>
      </c>
      <c r="C132" s="145"/>
      <c r="D132" s="145"/>
      <c r="E132" s="48"/>
      <c r="F132" s="188" t="s">
        <v>437</v>
      </c>
      <c r="G132" s="323"/>
      <c r="H132" s="506">
        <f>H133</f>
        <v>600</v>
      </c>
      <c r="I132" s="506">
        <f t="shared" ref="I132" si="26">I133</f>
        <v>0</v>
      </c>
      <c r="J132" s="506">
        <f>H132+I132</f>
        <v>600</v>
      </c>
    </row>
    <row r="133" spans="1:10" ht="13.5" customHeight="1" x14ac:dyDescent="0.2">
      <c r="B133" s="33">
        <f t="shared" si="19"/>
        <v>98</v>
      </c>
      <c r="C133" s="36" t="s">
        <v>46</v>
      </c>
      <c r="D133" s="36" t="s">
        <v>53</v>
      </c>
      <c r="E133" s="37" t="s">
        <v>28</v>
      </c>
      <c r="F133" s="49" t="s">
        <v>251</v>
      </c>
      <c r="G133" s="31"/>
      <c r="H133" s="554">
        <v>600</v>
      </c>
      <c r="I133" s="554"/>
      <c r="J133" s="766">
        <f t="shared" ref="J133:J155" si="27">H133+I133</f>
        <v>600</v>
      </c>
    </row>
    <row r="134" spans="1:10" x14ac:dyDescent="0.2">
      <c r="B134" s="33">
        <f t="shared" si="19"/>
        <v>99</v>
      </c>
      <c r="C134" s="8" t="s">
        <v>39</v>
      </c>
      <c r="D134" s="8"/>
      <c r="E134" s="10"/>
      <c r="F134" s="38" t="s">
        <v>40</v>
      </c>
      <c r="G134" s="39"/>
      <c r="H134" s="495">
        <f>H135</f>
        <v>8100</v>
      </c>
      <c r="I134" s="495">
        <f t="shared" ref="I134" si="28">I135</f>
        <v>0</v>
      </c>
      <c r="J134" s="506">
        <f t="shared" si="27"/>
        <v>8100</v>
      </c>
    </row>
    <row r="135" spans="1:10" ht="14.25" customHeight="1" x14ac:dyDescent="0.2">
      <c r="B135" s="33">
        <f t="shared" si="19"/>
        <v>100</v>
      </c>
      <c r="C135" s="47"/>
      <c r="D135" s="36" t="s">
        <v>41</v>
      </c>
      <c r="E135" s="11" t="s">
        <v>20</v>
      </c>
      <c r="F135" s="43" t="s">
        <v>76</v>
      </c>
      <c r="G135" s="39"/>
      <c r="H135" s="492">
        <v>8100</v>
      </c>
      <c r="I135" s="492"/>
      <c r="J135" s="766">
        <f t="shared" si="27"/>
        <v>8100</v>
      </c>
    </row>
    <row r="136" spans="1:10" x14ac:dyDescent="0.2">
      <c r="B136" s="33">
        <f t="shared" si="19"/>
        <v>101</v>
      </c>
      <c r="C136" s="8" t="s">
        <v>46</v>
      </c>
      <c r="D136" s="47"/>
      <c r="E136" s="48"/>
      <c r="F136" s="38" t="s">
        <v>47</v>
      </c>
      <c r="G136" s="39"/>
      <c r="H136" s="495">
        <f>H137+H153</f>
        <v>128700</v>
      </c>
      <c r="I136" s="495">
        <f t="shared" ref="I136" si="29">I137+I153</f>
        <v>0</v>
      </c>
      <c r="J136" s="506">
        <f t="shared" si="27"/>
        <v>128700</v>
      </c>
    </row>
    <row r="137" spans="1:10" ht="14.25" customHeight="1" x14ac:dyDescent="0.2">
      <c r="B137" s="33">
        <f t="shared" si="19"/>
        <v>102</v>
      </c>
      <c r="C137" s="47"/>
      <c r="D137" s="37" t="s">
        <v>53</v>
      </c>
      <c r="E137" s="37" t="s">
        <v>28</v>
      </c>
      <c r="F137" s="43" t="s">
        <v>77</v>
      </c>
      <c r="G137" s="39"/>
      <c r="H137" s="492">
        <f>SUM(H138:H152)</f>
        <v>128200</v>
      </c>
      <c r="I137" s="492">
        <f t="shared" ref="I137" si="30">SUM(I138:I152)</f>
        <v>0</v>
      </c>
      <c r="J137" s="766">
        <f t="shared" si="27"/>
        <v>128200</v>
      </c>
    </row>
    <row r="138" spans="1:10" ht="14.25" customHeight="1" x14ac:dyDescent="0.2">
      <c r="B138" s="33">
        <f t="shared" si="19"/>
        <v>103</v>
      </c>
      <c r="C138" s="47"/>
      <c r="D138" s="37"/>
      <c r="E138" s="37"/>
      <c r="F138" s="43"/>
      <c r="G138" s="313" t="s">
        <v>325</v>
      </c>
      <c r="H138" s="492">
        <v>7500</v>
      </c>
      <c r="I138" s="492"/>
      <c r="J138" s="766">
        <f t="shared" si="27"/>
        <v>7500</v>
      </c>
    </row>
    <row r="139" spans="1:10" ht="14.25" customHeight="1" x14ac:dyDescent="0.2">
      <c r="B139" s="33">
        <f t="shared" si="19"/>
        <v>104</v>
      </c>
      <c r="C139" s="47"/>
      <c r="D139" s="37"/>
      <c r="E139" s="37"/>
      <c r="F139" s="43"/>
      <c r="G139" s="313" t="s">
        <v>326</v>
      </c>
      <c r="H139" s="492">
        <v>8900</v>
      </c>
      <c r="I139" s="492"/>
      <c r="J139" s="766">
        <f t="shared" si="27"/>
        <v>8900</v>
      </c>
    </row>
    <row r="140" spans="1:10" ht="14.25" customHeight="1" x14ac:dyDescent="0.2">
      <c r="B140" s="33">
        <f t="shared" si="19"/>
        <v>105</v>
      </c>
      <c r="C140" s="47"/>
      <c r="D140" s="37"/>
      <c r="E140" s="37"/>
      <c r="F140" s="43"/>
      <c r="G140" s="313" t="s">
        <v>327</v>
      </c>
      <c r="H140" s="492">
        <v>6700</v>
      </c>
      <c r="I140" s="492"/>
      <c r="J140" s="766">
        <f t="shared" si="27"/>
        <v>6700</v>
      </c>
    </row>
    <row r="141" spans="1:10" ht="14.25" customHeight="1" x14ac:dyDescent="0.2">
      <c r="B141" s="33">
        <f t="shared" si="19"/>
        <v>106</v>
      </c>
      <c r="C141" s="47"/>
      <c r="D141" s="37"/>
      <c r="E141" s="37"/>
      <c r="F141" s="43"/>
      <c r="G141" s="313" t="s">
        <v>328</v>
      </c>
      <c r="H141" s="492">
        <v>10000</v>
      </c>
      <c r="I141" s="492"/>
      <c r="J141" s="766">
        <f t="shared" si="27"/>
        <v>10000</v>
      </c>
    </row>
    <row r="142" spans="1:10" ht="14.25" customHeight="1" x14ac:dyDescent="0.2">
      <c r="B142" s="33">
        <f t="shared" si="19"/>
        <v>107</v>
      </c>
      <c r="C142" s="47"/>
      <c r="D142" s="37"/>
      <c r="E142" s="37"/>
      <c r="F142" s="43"/>
      <c r="G142" s="313" t="s">
        <v>329</v>
      </c>
      <c r="H142" s="492">
        <v>8400</v>
      </c>
      <c r="I142" s="492"/>
      <c r="J142" s="766">
        <f t="shared" si="27"/>
        <v>8400</v>
      </c>
    </row>
    <row r="143" spans="1:10" ht="14.25" customHeight="1" x14ac:dyDescent="0.2">
      <c r="B143" s="33">
        <f t="shared" si="19"/>
        <v>108</v>
      </c>
      <c r="C143" s="47"/>
      <c r="D143" s="37"/>
      <c r="E143" s="37"/>
      <c r="F143" s="43"/>
      <c r="G143" s="313" t="s">
        <v>330</v>
      </c>
      <c r="H143" s="492">
        <v>14500</v>
      </c>
      <c r="I143" s="492"/>
      <c r="J143" s="766">
        <f t="shared" si="27"/>
        <v>14500</v>
      </c>
    </row>
    <row r="144" spans="1:10" ht="14.25" customHeight="1" x14ac:dyDescent="0.2">
      <c r="B144" s="33">
        <f t="shared" si="19"/>
        <v>109</v>
      </c>
      <c r="C144" s="47"/>
      <c r="D144" s="37"/>
      <c r="E144" s="37"/>
      <c r="F144" s="43"/>
      <c r="G144" s="313" t="s">
        <v>331</v>
      </c>
      <c r="H144" s="492">
        <v>14500</v>
      </c>
      <c r="I144" s="492"/>
      <c r="J144" s="766">
        <f t="shared" si="27"/>
        <v>14500</v>
      </c>
    </row>
    <row r="145" spans="1:10" ht="14.25" customHeight="1" x14ac:dyDescent="0.2">
      <c r="B145" s="33">
        <f t="shared" si="19"/>
        <v>110</v>
      </c>
      <c r="C145" s="47"/>
      <c r="D145" s="37"/>
      <c r="E145" s="37"/>
      <c r="F145" s="43"/>
      <c r="G145" s="313" t="s">
        <v>332</v>
      </c>
      <c r="H145" s="492">
        <v>6000</v>
      </c>
      <c r="I145" s="492"/>
      <c r="J145" s="766">
        <f t="shared" si="27"/>
        <v>6000</v>
      </c>
    </row>
    <row r="146" spans="1:10" ht="14.25" customHeight="1" x14ac:dyDescent="0.2">
      <c r="B146" s="33">
        <f t="shared" si="19"/>
        <v>111</v>
      </c>
      <c r="C146" s="47"/>
      <c r="D146" s="37"/>
      <c r="E146" s="37"/>
      <c r="F146" s="43"/>
      <c r="G146" s="313" t="s">
        <v>333</v>
      </c>
      <c r="H146" s="492">
        <v>11500</v>
      </c>
      <c r="I146" s="492"/>
      <c r="J146" s="766">
        <f t="shared" si="27"/>
        <v>11500</v>
      </c>
    </row>
    <row r="147" spans="1:10" ht="14.25" customHeight="1" x14ac:dyDescent="0.2">
      <c r="B147" s="33">
        <f t="shared" si="19"/>
        <v>112</v>
      </c>
      <c r="C147" s="47"/>
      <c r="D147" s="37"/>
      <c r="E147" s="37"/>
      <c r="F147" s="43"/>
      <c r="G147" s="313" t="s">
        <v>334</v>
      </c>
      <c r="H147" s="492">
        <v>10500</v>
      </c>
      <c r="I147" s="492"/>
      <c r="J147" s="766">
        <f t="shared" si="27"/>
        <v>10500</v>
      </c>
    </row>
    <row r="148" spans="1:10" ht="14.25" customHeight="1" x14ac:dyDescent="0.2">
      <c r="B148" s="33">
        <f t="shared" si="19"/>
        <v>113</v>
      </c>
      <c r="C148" s="47"/>
      <c r="D148" s="37"/>
      <c r="E148" s="37"/>
      <c r="F148" s="43"/>
      <c r="G148" s="313" t="s">
        <v>335</v>
      </c>
      <c r="H148" s="492">
        <v>8600</v>
      </c>
      <c r="I148" s="492"/>
      <c r="J148" s="766">
        <f t="shared" si="27"/>
        <v>8600</v>
      </c>
    </row>
    <row r="149" spans="1:10" ht="14.25" customHeight="1" x14ac:dyDescent="0.2">
      <c r="B149" s="33">
        <f t="shared" si="19"/>
        <v>114</v>
      </c>
      <c r="C149" s="47"/>
      <c r="D149" s="37"/>
      <c r="E149" s="37"/>
      <c r="F149" s="43"/>
      <c r="G149" s="313" t="s">
        <v>336</v>
      </c>
      <c r="H149" s="492">
        <v>3700</v>
      </c>
      <c r="I149" s="492"/>
      <c r="J149" s="766">
        <f t="shared" si="27"/>
        <v>3700</v>
      </c>
    </row>
    <row r="150" spans="1:10" ht="14.25" customHeight="1" x14ac:dyDescent="0.2">
      <c r="B150" s="58">
        <f t="shared" ref="B150:B155" si="31">B149+1</f>
        <v>115</v>
      </c>
      <c r="C150" s="47"/>
      <c r="D150" s="37"/>
      <c r="E150" s="37"/>
      <c r="F150" s="43"/>
      <c r="G150" s="313" t="s">
        <v>337</v>
      </c>
      <c r="H150" s="492">
        <v>4200</v>
      </c>
      <c r="I150" s="492"/>
      <c r="J150" s="766">
        <f t="shared" si="27"/>
        <v>4200</v>
      </c>
    </row>
    <row r="151" spans="1:10" ht="14.25" customHeight="1" x14ac:dyDescent="0.2">
      <c r="B151" s="58">
        <f t="shared" si="31"/>
        <v>116</v>
      </c>
      <c r="C151" s="47"/>
      <c r="D151" s="37"/>
      <c r="E151" s="37"/>
      <c r="F151" s="43"/>
      <c r="G151" s="313" t="s">
        <v>338</v>
      </c>
      <c r="H151" s="492">
        <v>3500</v>
      </c>
      <c r="I151" s="492"/>
      <c r="J151" s="766">
        <f t="shared" si="27"/>
        <v>3500</v>
      </c>
    </row>
    <row r="152" spans="1:10" ht="14.25" customHeight="1" x14ac:dyDescent="0.2">
      <c r="B152" s="58">
        <f t="shared" si="31"/>
        <v>117</v>
      </c>
      <c r="C152" s="47"/>
      <c r="D152" s="37"/>
      <c r="E152" s="37"/>
      <c r="F152" s="43"/>
      <c r="G152" s="313" t="s">
        <v>339</v>
      </c>
      <c r="H152" s="492">
        <v>9700</v>
      </c>
      <c r="I152" s="492"/>
      <c r="J152" s="766">
        <f t="shared" si="27"/>
        <v>9700</v>
      </c>
    </row>
    <row r="153" spans="1:10" ht="14.25" customHeight="1" x14ac:dyDescent="0.2">
      <c r="B153" s="58">
        <f t="shared" si="31"/>
        <v>118</v>
      </c>
      <c r="C153" s="47"/>
      <c r="D153" s="37" t="s">
        <v>53</v>
      </c>
      <c r="E153" s="37" t="s">
        <v>28</v>
      </c>
      <c r="F153" s="43" t="s">
        <v>122</v>
      </c>
      <c r="G153" s="39"/>
      <c r="H153" s="492">
        <v>500</v>
      </c>
      <c r="I153" s="492"/>
      <c r="J153" s="766">
        <f t="shared" si="27"/>
        <v>500</v>
      </c>
    </row>
    <row r="154" spans="1:10" ht="14.25" customHeight="1" x14ac:dyDescent="0.2">
      <c r="B154" s="58">
        <f t="shared" si="31"/>
        <v>119</v>
      </c>
      <c r="C154" s="52"/>
      <c r="D154" s="358"/>
      <c r="E154" s="358"/>
      <c r="F154" s="50" t="s">
        <v>64</v>
      </c>
      <c r="G154" s="316"/>
      <c r="H154" s="553">
        <v>7585</v>
      </c>
      <c r="I154" s="553"/>
      <c r="J154" s="766">
        <f t="shared" si="27"/>
        <v>7585</v>
      </c>
    </row>
    <row r="155" spans="1:10" ht="14.25" customHeight="1" thickBot="1" x14ac:dyDescent="0.25">
      <c r="B155" s="58">
        <f t="shared" si="31"/>
        <v>120</v>
      </c>
      <c r="C155" s="190" t="s">
        <v>57</v>
      </c>
      <c r="D155" s="516" t="s">
        <v>118</v>
      </c>
      <c r="E155" s="517"/>
      <c r="F155" s="191" t="s">
        <v>58</v>
      </c>
      <c r="G155" s="518"/>
      <c r="H155" s="578">
        <v>15</v>
      </c>
      <c r="I155" s="578"/>
      <c r="J155" s="506">
        <f t="shared" si="27"/>
        <v>15</v>
      </c>
    </row>
    <row r="156" spans="1:10" s="19" customFormat="1" ht="12.75" customHeight="1" x14ac:dyDescent="0.2">
      <c r="A156" s="242"/>
      <c r="B156" s="248"/>
      <c r="C156" s="253"/>
      <c r="D156" s="254"/>
      <c r="E156" s="255"/>
      <c r="F156" s="256"/>
      <c r="G156" s="257"/>
      <c r="H156" s="252"/>
      <c r="I156" s="252"/>
      <c r="J156" s="252"/>
    </row>
    <row r="157" spans="1:10" s="19" customFormat="1" ht="12.75" customHeight="1" x14ac:dyDescent="0.2">
      <c r="A157" s="242"/>
      <c r="B157" s="248"/>
      <c r="C157" s="253"/>
      <c r="D157" s="254"/>
      <c r="E157" s="255"/>
      <c r="F157" s="256"/>
      <c r="G157" s="257"/>
      <c r="H157" s="252"/>
      <c r="I157" s="252"/>
      <c r="J157" s="252"/>
    </row>
    <row r="158" spans="1:10" s="19" customFormat="1" ht="12.75" customHeight="1" x14ac:dyDescent="0.2">
      <c r="A158" s="242"/>
      <c r="B158" s="248"/>
      <c r="C158" s="253"/>
      <c r="D158" s="254"/>
      <c r="E158" s="255"/>
      <c r="F158" s="256"/>
      <c r="G158" s="257"/>
      <c r="H158" s="252"/>
      <c r="I158" s="252"/>
      <c r="J158" s="252"/>
    </row>
    <row r="159" spans="1:10" s="19" customFormat="1" ht="12.75" customHeight="1" x14ac:dyDescent="0.2">
      <c r="A159" s="242"/>
      <c r="B159" s="248"/>
      <c r="C159" s="253"/>
      <c r="D159" s="254"/>
      <c r="E159" s="255"/>
      <c r="F159" s="256"/>
      <c r="G159" s="257"/>
      <c r="H159" s="252"/>
      <c r="I159" s="252"/>
      <c r="J159" s="252"/>
    </row>
    <row r="160" spans="1:10" s="19" customFormat="1" ht="12.75" customHeight="1" thickBot="1" x14ac:dyDescent="0.25">
      <c r="A160" s="242"/>
      <c r="B160" s="248"/>
      <c r="C160" s="253"/>
      <c r="D160" s="254"/>
      <c r="E160" s="255"/>
      <c r="F160" s="256"/>
      <c r="G160" s="257"/>
      <c r="H160" s="252"/>
      <c r="I160" s="252"/>
      <c r="J160" s="252"/>
    </row>
    <row r="161" spans="2:10" ht="12.75" customHeight="1" x14ac:dyDescent="0.2">
      <c r="B161" s="853" t="s">
        <v>9</v>
      </c>
      <c r="C161" s="859"/>
      <c r="D161" s="859"/>
      <c r="E161" s="859"/>
      <c r="F161" s="859"/>
      <c r="G161" s="859"/>
      <c r="H161" s="850" t="s">
        <v>724</v>
      </c>
      <c r="I161" s="850" t="s">
        <v>842</v>
      </c>
      <c r="J161" s="850" t="s">
        <v>724</v>
      </c>
    </row>
    <row r="162" spans="2:10" ht="12.75" customHeight="1" x14ac:dyDescent="0.2">
      <c r="B162" s="860"/>
      <c r="C162" s="861"/>
      <c r="D162" s="861"/>
      <c r="E162" s="861"/>
      <c r="F162" s="861"/>
      <c r="G162" s="861"/>
      <c r="H162" s="851"/>
      <c r="I162" s="851"/>
      <c r="J162" s="851"/>
    </row>
    <row r="163" spans="2:10" ht="16.5" customHeight="1" x14ac:dyDescent="0.2">
      <c r="B163" s="78"/>
      <c r="C163" s="857" t="s">
        <v>10</v>
      </c>
      <c r="D163" s="79" t="s">
        <v>11</v>
      </c>
      <c r="E163" s="79" t="s">
        <v>12</v>
      </c>
      <c r="F163" s="80"/>
      <c r="G163" s="80"/>
      <c r="H163" s="851"/>
      <c r="I163" s="851"/>
      <c r="J163" s="851"/>
    </row>
    <row r="164" spans="2:10" ht="19.5" customHeight="1" thickBot="1" x14ac:dyDescent="0.25">
      <c r="B164" s="82"/>
      <c r="C164" s="858"/>
      <c r="D164" s="84"/>
      <c r="E164" s="83" t="s">
        <v>13</v>
      </c>
      <c r="F164" s="85" t="s">
        <v>14</v>
      </c>
      <c r="G164" s="307"/>
      <c r="H164" s="852"/>
      <c r="I164" s="852"/>
      <c r="J164" s="852"/>
    </row>
    <row r="165" spans="2:10" ht="12.75" customHeight="1" thickTop="1" x14ac:dyDescent="0.2">
      <c r="B165" s="58">
        <f>B155+1</f>
        <v>121</v>
      </c>
      <c r="C165" s="8"/>
      <c r="D165" s="14"/>
      <c r="E165" s="71"/>
      <c r="F165" s="189" t="s">
        <v>120</v>
      </c>
      <c r="G165" s="311"/>
      <c r="H165" s="579"/>
      <c r="I165" s="579"/>
      <c r="J165" s="579"/>
    </row>
    <row r="166" spans="2:10" ht="13.5" customHeight="1" x14ac:dyDescent="0.2">
      <c r="B166" s="58">
        <f t="shared" ref="B166:B261" si="32">B165+1</f>
        <v>122</v>
      </c>
      <c r="C166" s="8"/>
      <c r="D166" s="14"/>
      <c r="E166" s="71"/>
      <c r="F166" s="116" t="s">
        <v>121</v>
      </c>
      <c r="G166" s="312"/>
      <c r="H166" s="576">
        <f>H167+H178+H189+H200+H216</f>
        <v>261181</v>
      </c>
      <c r="I166" s="576">
        <f t="shared" ref="I166" si="33">I167+I178+I189+I200+I216</f>
        <v>254</v>
      </c>
      <c r="J166" s="576">
        <f>I166+H166</f>
        <v>261435</v>
      </c>
    </row>
    <row r="167" spans="2:10" x14ac:dyDescent="0.2">
      <c r="B167" s="58">
        <f t="shared" si="32"/>
        <v>123</v>
      </c>
      <c r="C167" s="8" t="s">
        <v>39</v>
      </c>
      <c r="D167" s="8"/>
      <c r="E167" s="10"/>
      <c r="F167" s="38" t="s">
        <v>40</v>
      </c>
      <c r="G167" s="39"/>
      <c r="H167" s="495">
        <f>H168</f>
        <v>86000</v>
      </c>
      <c r="I167" s="495">
        <f t="shared" ref="I167" si="34">I168</f>
        <v>0</v>
      </c>
      <c r="J167" s="495">
        <f>H167+I167</f>
        <v>86000</v>
      </c>
    </row>
    <row r="168" spans="2:10" x14ac:dyDescent="0.2">
      <c r="B168" s="58">
        <f t="shared" si="32"/>
        <v>124</v>
      </c>
      <c r="C168" s="47"/>
      <c r="D168" s="36" t="s">
        <v>41</v>
      </c>
      <c r="E168" s="44" t="s">
        <v>20</v>
      </c>
      <c r="F168" s="43" t="s">
        <v>76</v>
      </c>
      <c r="G168" s="39"/>
      <c r="H168" s="492">
        <f>SUM(H169:H176)</f>
        <v>86000</v>
      </c>
      <c r="I168" s="492">
        <f t="shared" ref="I168" si="35">SUM(I169:I176)</f>
        <v>0</v>
      </c>
      <c r="J168" s="492">
        <f>H168+I168</f>
        <v>86000</v>
      </c>
    </row>
    <row r="169" spans="2:10" x14ac:dyDescent="0.2">
      <c r="B169" s="58">
        <f t="shared" si="32"/>
        <v>125</v>
      </c>
      <c r="C169" s="47"/>
      <c r="D169" s="36"/>
      <c r="E169" s="44"/>
      <c r="F169" s="43"/>
      <c r="G169" s="313" t="s">
        <v>459</v>
      </c>
      <c r="H169" s="492">
        <v>40000</v>
      </c>
      <c r="I169" s="492"/>
      <c r="J169" s="492">
        <f t="shared" ref="J169:J216" si="36">H169+I169</f>
        <v>40000</v>
      </c>
    </row>
    <row r="170" spans="2:10" x14ac:dyDescent="0.2">
      <c r="B170" s="58">
        <f t="shared" si="32"/>
        <v>126</v>
      </c>
      <c r="C170" s="47"/>
      <c r="D170" s="36"/>
      <c r="E170" s="44"/>
      <c r="F170" s="43"/>
      <c r="G170" s="313" t="s">
        <v>460</v>
      </c>
      <c r="H170" s="492">
        <v>2000</v>
      </c>
      <c r="I170" s="492"/>
      <c r="J170" s="492">
        <f t="shared" si="36"/>
        <v>2000</v>
      </c>
    </row>
    <row r="171" spans="2:10" x14ac:dyDescent="0.2">
      <c r="B171" s="58">
        <f t="shared" si="32"/>
        <v>127</v>
      </c>
      <c r="C171" s="47"/>
      <c r="D171" s="36"/>
      <c r="E171" s="44"/>
      <c r="F171" s="43"/>
      <c r="G171" s="313" t="s">
        <v>461</v>
      </c>
      <c r="H171" s="492">
        <v>3000</v>
      </c>
      <c r="I171" s="492"/>
      <c r="J171" s="492">
        <f t="shared" si="36"/>
        <v>3000</v>
      </c>
    </row>
    <row r="172" spans="2:10" x14ac:dyDescent="0.2">
      <c r="B172" s="58">
        <f t="shared" si="32"/>
        <v>128</v>
      </c>
      <c r="C172" s="47"/>
      <c r="D172" s="36"/>
      <c r="E172" s="44"/>
      <c r="F172" s="43"/>
      <c r="G172" s="313" t="s">
        <v>462</v>
      </c>
      <c r="H172" s="492">
        <v>2400</v>
      </c>
      <c r="I172" s="492"/>
      <c r="J172" s="492">
        <f t="shared" si="36"/>
        <v>2400</v>
      </c>
    </row>
    <row r="173" spans="2:10" x14ac:dyDescent="0.2">
      <c r="B173" s="58">
        <f t="shared" si="32"/>
        <v>129</v>
      </c>
      <c r="C173" s="47"/>
      <c r="D173" s="36"/>
      <c r="E173" s="44"/>
      <c r="F173" s="43"/>
      <c r="G173" s="313" t="s">
        <v>463</v>
      </c>
      <c r="H173" s="492">
        <v>1500</v>
      </c>
      <c r="I173" s="492"/>
      <c r="J173" s="492">
        <f t="shared" si="36"/>
        <v>1500</v>
      </c>
    </row>
    <row r="174" spans="2:10" x14ac:dyDescent="0.2">
      <c r="B174" s="58">
        <f t="shared" si="32"/>
        <v>130</v>
      </c>
      <c r="C174" s="47"/>
      <c r="D174" s="36"/>
      <c r="E174" s="44"/>
      <c r="F174" s="43"/>
      <c r="G174" s="313" t="s">
        <v>464</v>
      </c>
      <c r="H174" s="492">
        <v>6000</v>
      </c>
      <c r="I174" s="492"/>
      <c r="J174" s="492">
        <f t="shared" si="36"/>
        <v>6000</v>
      </c>
    </row>
    <row r="175" spans="2:10" x14ac:dyDescent="0.2">
      <c r="B175" s="58">
        <f t="shared" si="32"/>
        <v>131</v>
      </c>
      <c r="C175" s="47"/>
      <c r="D175" s="36"/>
      <c r="E175" s="44"/>
      <c r="F175" s="43"/>
      <c r="G175" s="313" t="s">
        <v>465</v>
      </c>
      <c r="H175" s="492">
        <v>15000</v>
      </c>
      <c r="I175" s="492"/>
      <c r="J175" s="492">
        <f t="shared" si="36"/>
        <v>15000</v>
      </c>
    </row>
    <row r="176" spans="2:10" x14ac:dyDescent="0.2">
      <c r="B176" s="58">
        <f t="shared" si="32"/>
        <v>132</v>
      </c>
      <c r="C176" s="47"/>
      <c r="D176" s="36"/>
      <c r="E176" s="44"/>
      <c r="F176" s="43"/>
      <c r="G176" s="313" t="s">
        <v>466</v>
      </c>
      <c r="H176" s="492">
        <v>16100</v>
      </c>
      <c r="I176" s="492"/>
      <c r="J176" s="492">
        <f t="shared" si="36"/>
        <v>16100</v>
      </c>
    </row>
    <row r="177" spans="2:10" x14ac:dyDescent="0.2">
      <c r="B177" s="58">
        <f t="shared" si="32"/>
        <v>133</v>
      </c>
      <c r="C177" s="47"/>
      <c r="D177" s="36"/>
      <c r="E177" s="44"/>
      <c r="F177" s="43"/>
      <c r="G177" s="313"/>
      <c r="H177" s="492"/>
      <c r="I177" s="492"/>
      <c r="J177" s="492"/>
    </row>
    <row r="178" spans="2:10" x14ac:dyDescent="0.2">
      <c r="B178" s="58">
        <f t="shared" si="32"/>
        <v>134</v>
      </c>
      <c r="C178" s="8" t="s">
        <v>46</v>
      </c>
      <c r="D178" s="47"/>
      <c r="E178" s="48"/>
      <c r="F178" s="38" t="s">
        <v>47</v>
      </c>
      <c r="G178" s="39"/>
      <c r="H178" s="495">
        <f>H179</f>
        <v>77200</v>
      </c>
      <c r="I178" s="495">
        <f t="shared" ref="I178" si="37">I179</f>
        <v>0</v>
      </c>
      <c r="J178" s="495">
        <f t="shared" si="36"/>
        <v>77200</v>
      </c>
    </row>
    <row r="179" spans="2:10" x14ac:dyDescent="0.2">
      <c r="B179" s="58">
        <f t="shared" si="32"/>
        <v>135</v>
      </c>
      <c r="C179" s="47"/>
      <c r="D179" s="37" t="s">
        <v>53</v>
      </c>
      <c r="E179" s="37" t="s">
        <v>28</v>
      </c>
      <c r="F179" s="165" t="s">
        <v>78</v>
      </c>
      <c r="G179" s="39"/>
      <c r="H179" s="492">
        <f>SUM(H180:H187)</f>
        <v>77200</v>
      </c>
      <c r="I179" s="492">
        <f t="shared" ref="I179" si="38">SUM(I180:I187)</f>
        <v>0</v>
      </c>
      <c r="J179" s="492">
        <f t="shared" si="36"/>
        <v>77200</v>
      </c>
    </row>
    <row r="180" spans="2:10" x14ac:dyDescent="0.2">
      <c r="B180" s="58">
        <f t="shared" si="32"/>
        <v>136</v>
      </c>
      <c r="C180" s="47"/>
      <c r="D180" s="37"/>
      <c r="E180" s="37"/>
      <c r="F180" s="43"/>
      <c r="G180" s="313" t="s">
        <v>459</v>
      </c>
      <c r="H180" s="492">
        <v>10300</v>
      </c>
      <c r="I180" s="492"/>
      <c r="J180" s="492">
        <f t="shared" si="36"/>
        <v>10300</v>
      </c>
    </row>
    <row r="181" spans="2:10" x14ac:dyDescent="0.2">
      <c r="B181" s="58">
        <f t="shared" si="32"/>
        <v>137</v>
      </c>
      <c r="C181" s="47"/>
      <c r="D181" s="37"/>
      <c r="E181" s="37"/>
      <c r="F181" s="43"/>
      <c r="G181" s="313" t="s">
        <v>460</v>
      </c>
      <c r="H181" s="492">
        <v>11000</v>
      </c>
      <c r="I181" s="492"/>
      <c r="J181" s="492">
        <f t="shared" si="36"/>
        <v>11000</v>
      </c>
    </row>
    <row r="182" spans="2:10" x14ac:dyDescent="0.2">
      <c r="B182" s="58">
        <f t="shared" si="32"/>
        <v>138</v>
      </c>
      <c r="C182" s="47"/>
      <c r="D182" s="37"/>
      <c r="E182" s="37"/>
      <c r="F182" s="43"/>
      <c r="G182" s="314" t="s">
        <v>461</v>
      </c>
      <c r="H182" s="492">
        <v>8100</v>
      </c>
      <c r="I182" s="492"/>
      <c r="J182" s="492">
        <f t="shared" si="36"/>
        <v>8100</v>
      </c>
    </row>
    <row r="183" spans="2:10" ht="12.75" customHeight="1" x14ac:dyDescent="0.2">
      <c r="B183" s="58">
        <f t="shared" si="32"/>
        <v>139</v>
      </c>
      <c r="C183" s="47"/>
      <c r="D183" s="37"/>
      <c r="E183" s="37"/>
      <c r="F183" s="43"/>
      <c r="G183" s="314" t="s">
        <v>462</v>
      </c>
      <c r="H183" s="492">
        <v>6500</v>
      </c>
      <c r="I183" s="492"/>
      <c r="J183" s="492">
        <f t="shared" si="36"/>
        <v>6500</v>
      </c>
    </row>
    <row r="184" spans="2:10" ht="12.75" customHeight="1" x14ac:dyDescent="0.2">
      <c r="B184" s="58">
        <f t="shared" si="32"/>
        <v>140</v>
      </c>
      <c r="C184" s="47"/>
      <c r="D184" s="37"/>
      <c r="E184" s="37"/>
      <c r="F184" s="43"/>
      <c r="G184" s="314" t="s">
        <v>463</v>
      </c>
      <c r="H184" s="492">
        <v>12000</v>
      </c>
      <c r="I184" s="492"/>
      <c r="J184" s="492">
        <f t="shared" si="36"/>
        <v>12000</v>
      </c>
    </row>
    <row r="185" spans="2:10" ht="12.75" customHeight="1" x14ac:dyDescent="0.2">
      <c r="B185" s="58">
        <f t="shared" si="32"/>
        <v>141</v>
      </c>
      <c r="C185" s="47"/>
      <c r="D185" s="37"/>
      <c r="E185" s="37"/>
      <c r="F185" s="43"/>
      <c r="G185" s="314" t="s">
        <v>464</v>
      </c>
      <c r="H185" s="492">
        <v>4400</v>
      </c>
      <c r="I185" s="492"/>
      <c r="J185" s="492">
        <f t="shared" si="36"/>
        <v>4400</v>
      </c>
    </row>
    <row r="186" spans="2:10" ht="12.75" customHeight="1" x14ac:dyDescent="0.2">
      <c r="B186" s="58">
        <f t="shared" si="32"/>
        <v>142</v>
      </c>
      <c r="C186" s="47"/>
      <c r="D186" s="37"/>
      <c r="E186" s="37"/>
      <c r="F186" s="43"/>
      <c r="G186" s="313" t="s">
        <v>465</v>
      </c>
      <c r="H186" s="492">
        <v>4900</v>
      </c>
      <c r="I186" s="492"/>
      <c r="J186" s="492">
        <f t="shared" si="36"/>
        <v>4900</v>
      </c>
    </row>
    <row r="187" spans="2:10" ht="12.75" customHeight="1" x14ac:dyDescent="0.2">
      <c r="B187" s="58">
        <f t="shared" si="32"/>
        <v>143</v>
      </c>
      <c r="C187" s="47"/>
      <c r="D187" s="37"/>
      <c r="E187" s="37"/>
      <c r="F187" s="43"/>
      <c r="G187" s="313" t="s">
        <v>466</v>
      </c>
      <c r="H187" s="492">
        <v>20000</v>
      </c>
      <c r="I187" s="492"/>
      <c r="J187" s="492">
        <f t="shared" si="36"/>
        <v>20000</v>
      </c>
    </row>
    <row r="188" spans="2:10" x14ac:dyDescent="0.2">
      <c r="B188" s="58">
        <f t="shared" si="32"/>
        <v>144</v>
      </c>
      <c r="C188" s="47"/>
      <c r="D188" s="37"/>
      <c r="E188" s="37"/>
      <c r="F188" s="39"/>
      <c r="G188" s="313"/>
      <c r="H188" s="492"/>
      <c r="I188" s="492"/>
      <c r="J188" s="492"/>
    </row>
    <row r="189" spans="2:10" x14ac:dyDescent="0.2">
      <c r="B189" s="58">
        <f t="shared" si="32"/>
        <v>145</v>
      </c>
      <c r="C189" s="54" t="s">
        <v>57</v>
      </c>
      <c r="D189" s="53"/>
      <c r="E189" s="55"/>
      <c r="F189" s="56" t="s">
        <v>58</v>
      </c>
      <c r="G189" s="327"/>
      <c r="H189" s="506">
        <f>H190</f>
        <v>30</v>
      </c>
      <c r="I189" s="506">
        <f t="shared" ref="I189" si="39">I190</f>
        <v>0</v>
      </c>
      <c r="J189" s="495">
        <f t="shared" si="36"/>
        <v>30</v>
      </c>
    </row>
    <row r="190" spans="2:10" x14ac:dyDescent="0.2">
      <c r="B190" s="58">
        <f t="shared" si="32"/>
        <v>146</v>
      </c>
      <c r="C190" s="47"/>
      <c r="D190" s="37" t="s">
        <v>503</v>
      </c>
      <c r="E190" s="37"/>
      <c r="F190" s="164" t="s">
        <v>504</v>
      </c>
      <c r="G190" s="313"/>
      <c r="H190" s="492">
        <f>SUM(H191:H198)</f>
        <v>30</v>
      </c>
      <c r="I190" s="492">
        <f t="shared" ref="I190" si="40">SUM(I191:I198)</f>
        <v>0</v>
      </c>
      <c r="J190" s="492">
        <f t="shared" si="36"/>
        <v>30</v>
      </c>
    </row>
    <row r="191" spans="2:10" x14ac:dyDescent="0.2">
      <c r="B191" s="58">
        <f t="shared" si="32"/>
        <v>147</v>
      </c>
      <c r="C191" s="47"/>
      <c r="D191" s="37"/>
      <c r="E191" s="37"/>
      <c r="F191" s="39"/>
      <c r="G191" s="313" t="s">
        <v>459</v>
      </c>
      <c r="H191" s="492">
        <v>5</v>
      </c>
      <c r="I191" s="492"/>
      <c r="J191" s="492">
        <f t="shared" si="36"/>
        <v>5</v>
      </c>
    </row>
    <row r="192" spans="2:10" x14ac:dyDescent="0.2">
      <c r="B192" s="58">
        <f t="shared" si="32"/>
        <v>148</v>
      </c>
      <c r="C192" s="47"/>
      <c r="D192" s="37"/>
      <c r="E192" s="37"/>
      <c r="F192" s="39"/>
      <c r="G192" s="313" t="s">
        <v>460</v>
      </c>
      <c r="H192" s="492">
        <v>2</v>
      </c>
      <c r="I192" s="492"/>
      <c r="J192" s="492">
        <f t="shared" si="36"/>
        <v>2</v>
      </c>
    </row>
    <row r="193" spans="2:10" x14ac:dyDescent="0.2">
      <c r="B193" s="58">
        <f t="shared" si="32"/>
        <v>149</v>
      </c>
      <c r="C193" s="47"/>
      <c r="D193" s="37"/>
      <c r="E193" s="37"/>
      <c r="F193" s="39"/>
      <c r="G193" s="313" t="s">
        <v>461</v>
      </c>
      <c r="H193" s="492">
        <v>5</v>
      </c>
      <c r="I193" s="492"/>
      <c r="J193" s="492">
        <f t="shared" si="36"/>
        <v>5</v>
      </c>
    </row>
    <row r="194" spans="2:10" x14ac:dyDescent="0.2">
      <c r="B194" s="58">
        <f t="shared" si="32"/>
        <v>150</v>
      </c>
      <c r="C194" s="47"/>
      <c r="D194" s="37"/>
      <c r="E194" s="37"/>
      <c r="F194" s="39"/>
      <c r="G194" s="313" t="s">
        <v>462</v>
      </c>
      <c r="H194" s="492">
        <v>3</v>
      </c>
      <c r="I194" s="492"/>
      <c r="J194" s="492">
        <f t="shared" si="36"/>
        <v>3</v>
      </c>
    </row>
    <row r="195" spans="2:10" x14ac:dyDescent="0.2">
      <c r="B195" s="58">
        <f t="shared" si="32"/>
        <v>151</v>
      </c>
      <c r="C195" s="47"/>
      <c r="D195" s="37"/>
      <c r="E195" s="37"/>
      <c r="F195" s="39"/>
      <c r="G195" s="313" t="s">
        <v>464</v>
      </c>
      <c r="H195" s="492">
        <v>2</v>
      </c>
      <c r="I195" s="492"/>
      <c r="J195" s="492">
        <f t="shared" si="36"/>
        <v>2</v>
      </c>
    </row>
    <row r="196" spans="2:10" x14ac:dyDescent="0.2">
      <c r="B196" s="58">
        <f t="shared" si="32"/>
        <v>152</v>
      </c>
      <c r="C196" s="47"/>
      <c r="D196" s="37"/>
      <c r="E196" s="37"/>
      <c r="F196" s="39"/>
      <c r="G196" s="313" t="s">
        <v>463</v>
      </c>
      <c r="H196" s="492">
        <v>2</v>
      </c>
      <c r="I196" s="492"/>
      <c r="J196" s="492">
        <f t="shared" si="36"/>
        <v>2</v>
      </c>
    </row>
    <row r="197" spans="2:10" x14ac:dyDescent="0.2">
      <c r="B197" s="58">
        <f t="shared" si="32"/>
        <v>153</v>
      </c>
      <c r="C197" s="47"/>
      <c r="D197" s="37"/>
      <c r="E197" s="37"/>
      <c r="F197" s="39"/>
      <c r="G197" s="313" t="s">
        <v>465</v>
      </c>
      <c r="H197" s="492">
        <v>5</v>
      </c>
      <c r="I197" s="492"/>
      <c r="J197" s="492">
        <f t="shared" si="36"/>
        <v>5</v>
      </c>
    </row>
    <row r="198" spans="2:10" x14ac:dyDescent="0.2">
      <c r="B198" s="58">
        <f t="shared" si="32"/>
        <v>154</v>
      </c>
      <c r="C198" s="47"/>
      <c r="D198" s="37"/>
      <c r="E198" s="37"/>
      <c r="F198" s="39"/>
      <c r="G198" s="313" t="s">
        <v>466</v>
      </c>
      <c r="H198" s="492">
        <v>6</v>
      </c>
      <c r="I198" s="492"/>
      <c r="J198" s="492">
        <f t="shared" si="36"/>
        <v>6</v>
      </c>
    </row>
    <row r="199" spans="2:10" x14ac:dyDescent="0.2">
      <c r="B199" s="58">
        <f t="shared" si="32"/>
        <v>155</v>
      </c>
      <c r="C199" s="47"/>
      <c r="D199" s="37"/>
      <c r="E199" s="37"/>
      <c r="F199" s="39"/>
      <c r="G199" s="313"/>
      <c r="H199" s="492"/>
      <c r="I199" s="492"/>
      <c r="J199" s="492">
        <f t="shared" si="36"/>
        <v>0</v>
      </c>
    </row>
    <row r="200" spans="2:10" x14ac:dyDescent="0.2">
      <c r="B200" s="58">
        <f t="shared" si="32"/>
        <v>156</v>
      </c>
      <c r="C200" s="8" t="s">
        <v>79</v>
      </c>
      <c r="D200" s="47"/>
      <c r="E200" s="48"/>
      <c r="F200" s="38" t="s">
        <v>598</v>
      </c>
      <c r="G200" s="39"/>
      <c r="H200" s="495">
        <f>H201+H210+H213</f>
        <v>73726</v>
      </c>
      <c r="I200" s="495">
        <f t="shared" ref="I200" si="41">I201+I210+I213</f>
        <v>254</v>
      </c>
      <c r="J200" s="495">
        <f t="shared" si="36"/>
        <v>73980</v>
      </c>
    </row>
    <row r="201" spans="2:10" x14ac:dyDescent="0.2">
      <c r="B201" s="58">
        <f t="shared" si="32"/>
        <v>157</v>
      </c>
      <c r="C201" s="47"/>
      <c r="D201" s="37" t="s">
        <v>81</v>
      </c>
      <c r="E201" s="37" t="s">
        <v>599</v>
      </c>
      <c r="F201" s="165" t="s">
        <v>600</v>
      </c>
      <c r="G201" s="39"/>
      <c r="H201" s="492">
        <f>SUM(H202:H208)</f>
        <v>72545</v>
      </c>
      <c r="I201" s="492">
        <f t="shared" ref="I201" si="42">SUM(I202:I208)</f>
        <v>0</v>
      </c>
      <c r="J201" s="492">
        <f t="shared" si="36"/>
        <v>72545</v>
      </c>
    </row>
    <row r="202" spans="2:10" x14ac:dyDescent="0.2">
      <c r="B202" s="58">
        <f t="shared" si="32"/>
        <v>158</v>
      </c>
      <c r="C202" s="47"/>
      <c r="D202" s="37"/>
      <c r="E202" s="37"/>
      <c r="F202" s="43"/>
      <c r="G202" s="313" t="s">
        <v>459</v>
      </c>
      <c r="H202" s="492">
        <v>14645</v>
      </c>
      <c r="I202" s="492"/>
      <c r="J202" s="492">
        <f t="shared" si="36"/>
        <v>14645</v>
      </c>
    </row>
    <row r="203" spans="2:10" x14ac:dyDescent="0.2">
      <c r="B203" s="58">
        <f t="shared" si="32"/>
        <v>159</v>
      </c>
      <c r="C203" s="47"/>
      <c r="D203" s="37"/>
      <c r="E203" s="37"/>
      <c r="F203" s="43"/>
      <c r="G203" s="313" t="s">
        <v>460</v>
      </c>
      <c r="H203" s="492">
        <v>12000</v>
      </c>
      <c r="I203" s="492"/>
      <c r="J203" s="492">
        <f t="shared" si="36"/>
        <v>12000</v>
      </c>
    </row>
    <row r="204" spans="2:10" x14ac:dyDescent="0.2">
      <c r="B204" s="58">
        <f t="shared" si="32"/>
        <v>160</v>
      </c>
      <c r="C204" s="47"/>
      <c r="D204" s="37"/>
      <c r="E204" s="37"/>
      <c r="F204" s="43"/>
      <c r="G204" s="314" t="s">
        <v>461</v>
      </c>
      <c r="H204" s="492">
        <v>8200</v>
      </c>
      <c r="I204" s="492"/>
      <c r="J204" s="492">
        <f t="shared" si="36"/>
        <v>8200</v>
      </c>
    </row>
    <row r="205" spans="2:10" x14ac:dyDescent="0.2">
      <c r="B205" s="58">
        <f t="shared" si="32"/>
        <v>161</v>
      </c>
      <c r="C205" s="47"/>
      <c r="D205" s="37"/>
      <c r="E205" s="37"/>
      <c r="F205" s="43"/>
      <c r="G205" s="314" t="s">
        <v>462</v>
      </c>
      <c r="H205" s="492">
        <v>5400</v>
      </c>
      <c r="I205" s="492"/>
      <c r="J205" s="492">
        <f t="shared" si="36"/>
        <v>5400</v>
      </c>
    </row>
    <row r="206" spans="2:10" x14ac:dyDescent="0.2">
      <c r="B206" s="58">
        <f t="shared" si="32"/>
        <v>162</v>
      </c>
      <c r="C206" s="47"/>
      <c r="D206" s="37"/>
      <c r="E206" s="37"/>
      <c r="F206" s="43"/>
      <c r="G206" s="314" t="s">
        <v>463</v>
      </c>
      <c r="H206" s="492">
        <v>11000</v>
      </c>
      <c r="I206" s="492"/>
      <c r="J206" s="492">
        <f t="shared" si="36"/>
        <v>11000</v>
      </c>
    </row>
    <row r="207" spans="2:10" x14ac:dyDescent="0.2">
      <c r="B207" s="58">
        <f t="shared" si="32"/>
        <v>163</v>
      </c>
      <c r="C207" s="47"/>
      <c r="D207" s="37"/>
      <c r="E207" s="37"/>
      <c r="F207" s="43"/>
      <c r="G207" s="314" t="s">
        <v>464</v>
      </c>
      <c r="H207" s="492">
        <v>8300</v>
      </c>
      <c r="I207" s="492"/>
      <c r="J207" s="492">
        <f t="shared" si="36"/>
        <v>8300</v>
      </c>
    </row>
    <row r="208" spans="2:10" x14ac:dyDescent="0.2">
      <c r="B208" s="58">
        <f t="shared" si="32"/>
        <v>164</v>
      </c>
      <c r="C208" s="47"/>
      <c r="D208" s="37"/>
      <c r="E208" s="37"/>
      <c r="F208" s="43"/>
      <c r="G208" s="313" t="s">
        <v>465</v>
      </c>
      <c r="H208" s="492">
        <v>13000</v>
      </c>
      <c r="I208" s="492"/>
      <c r="J208" s="492">
        <f t="shared" si="36"/>
        <v>13000</v>
      </c>
    </row>
    <row r="209" spans="2:10" x14ac:dyDescent="0.2">
      <c r="B209" s="58">
        <f t="shared" si="32"/>
        <v>165</v>
      </c>
      <c r="C209" s="47"/>
      <c r="D209" s="37"/>
      <c r="E209" s="37"/>
      <c r="F209" s="43"/>
      <c r="G209" s="313"/>
      <c r="H209" s="492"/>
      <c r="I209" s="492"/>
      <c r="J209" s="492"/>
    </row>
    <row r="210" spans="2:10" x14ac:dyDescent="0.2">
      <c r="B210" s="58">
        <f t="shared" si="32"/>
        <v>166</v>
      </c>
      <c r="C210" s="47"/>
      <c r="D210" s="37" t="s">
        <v>603</v>
      </c>
      <c r="E210" s="37"/>
      <c r="F210" s="165" t="s">
        <v>746</v>
      </c>
      <c r="G210" s="313"/>
      <c r="H210" s="492">
        <f>H211+H212</f>
        <v>285</v>
      </c>
      <c r="I210" s="492">
        <f t="shared" ref="I210" si="43">I211+I212</f>
        <v>254</v>
      </c>
      <c r="J210" s="492">
        <f t="shared" si="36"/>
        <v>539</v>
      </c>
    </row>
    <row r="211" spans="2:10" x14ac:dyDescent="0.2">
      <c r="B211" s="58">
        <f t="shared" si="32"/>
        <v>167</v>
      </c>
      <c r="C211" s="47"/>
      <c r="D211" s="37"/>
      <c r="E211" s="37"/>
      <c r="F211" s="43"/>
      <c r="G211" s="314" t="s">
        <v>464</v>
      </c>
      <c r="H211" s="492">
        <v>85</v>
      </c>
      <c r="I211" s="492">
        <v>54</v>
      </c>
      <c r="J211" s="492">
        <f t="shared" si="36"/>
        <v>139</v>
      </c>
    </row>
    <row r="212" spans="2:10" x14ac:dyDescent="0.2">
      <c r="B212" s="58">
        <f t="shared" si="32"/>
        <v>168</v>
      </c>
      <c r="C212" s="47"/>
      <c r="D212" s="37"/>
      <c r="E212" s="37"/>
      <c r="F212" s="43"/>
      <c r="G212" s="313" t="s">
        <v>460</v>
      </c>
      <c r="H212" s="492">
        <v>200</v>
      </c>
      <c r="I212" s="492">
        <v>200</v>
      </c>
      <c r="J212" s="492">
        <f t="shared" si="36"/>
        <v>400</v>
      </c>
    </row>
    <row r="213" spans="2:10" x14ac:dyDescent="0.2">
      <c r="B213" s="58">
        <f t="shared" si="32"/>
        <v>169</v>
      </c>
      <c r="C213" s="47"/>
      <c r="D213" s="37" t="s">
        <v>81</v>
      </c>
      <c r="E213" s="37"/>
      <c r="F213" s="165" t="s">
        <v>268</v>
      </c>
      <c r="G213" s="314"/>
      <c r="H213" s="492">
        <f>H214</f>
        <v>896</v>
      </c>
      <c r="I213" s="492">
        <f t="shared" ref="I213" si="44">I214</f>
        <v>0</v>
      </c>
      <c r="J213" s="492">
        <f t="shared" si="36"/>
        <v>896</v>
      </c>
    </row>
    <row r="214" spans="2:10" x14ac:dyDescent="0.2">
      <c r="B214" s="58">
        <f t="shared" si="32"/>
        <v>170</v>
      </c>
      <c r="C214" s="47"/>
      <c r="D214" s="37"/>
      <c r="E214" s="37"/>
      <c r="F214" s="43"/>
      <c r="G214" s="314" t="s">
        <v>461</v>
      </c>
      <c r="H214" s="492">
        <v>896</v>
      </c>
      <c r="I214" s="492"/>
      <c r="J214" s="492">
        <f t="shared" si="36"/>
        <v>896</v>
      </c>
    </row>
    <row r="215" spans="2:10" x14ac:dyDescent="0.2">
      <c r="B215" s="58"/>
      <c r="C215" s="47"/>
      <c r="D215" s="37"/>
      <c r="E215" s="37"/>
      <c r="F215" s="43"/>
      <c r="G215" s="314"/>
      <c r="H215" s="492"/>
      <c r="I215" s="492"/>
      <c r="J215" s="492"/>
    </row>
    <row r="216" spans="2:10" x14ac:dyDescent="0.2">
      <c r="B216" s="58">
        <f>B214+1</f>
        <v>171</v>
      </c>
      <c r="C216" s="47"/>
      <c r="D216" s="37"/>
      <c r="E216" s="37"/>
      <c r="F216" s="43" t="s">
        <v>665</v>
      </c>
      <c r="G216" s="313"/>
      <c r="H216" s="495">
        <v>24225</v>
      </c>
      <c r="I216" s="495"/>
      <c r="J216" s="495">
        <f t="shared" si="36"/>
        <v>24225</v>
      </c>
    </row>
    <row r="217" spans="2:10" x14ac:dyDescent="0.2">
      <c r="B217" s="58">
        <f t="shared" si="32"/>
        <v>172</v>
      </c>
      <c r="C217" s="47"/>
      <c r="D217" s="37"/>
      <c r="E217" s="37"/>
      <c r="F217" s="39"/>
      <c r="G217" s="313"/>
      <c r="H217" s="492"/>
      <c r="I217" s="492"/>
      <c r="J217" s="492"/>
    </row>
    <row r="218" spans="2:10" ht="12.75" customHeight="1" x14ac:dyDescent="0.2">
      <c r="B218" s="58">
        <f t="shared" si="32"/>
        <v>173</v>
      </c>
      <c r="C218" s="8"/>
      <c r="D218" s="14"/>
      <c r="E218" s="10"/>
      <c r="F218" s="116" t="s">
        <v>119</v>
      </c>
      <c r="G218" s="312"/>
      <c r="H218" s="491">
        <v>91000</v>
      </c>
      <c r="I218" s="491">
        <v>194</v>
      </c>
      <c r="J218" s="491">
        <f>H218+I218</f>
        <v>91194</v>
      </c>
    </row>
    <row r="219" spans="2:10" ht="12.75" customHeight="1" x14ac:dyDescent="0.2">
      <c r="B219" s="58">
        <f t="shared" si="32"/>
        <v>174</v>
      </c>
      <c r="C219" s="8"/>
      <c r="D219" s="14"/>
      <c r="E219" s="10"/>
      <c r="F219" s="116" t="s">
        <v>679</v>
      </c>
      <c r="G219" s="312"/>
      <c r="H219" s="491">
        <v>2364</v>
      </c>
      <c r="I219" s="491">
        <v>4130</v>
      </c>
      <c r="J219" s="491">
        <f t="shared" ref="J219:J220" si="45">H219+I219</f>
        <v>6494</v>
      </c>
    </row>
    <row r="220" spans="2:10" ht="12.75" customHeight="1" thickBot="1" x14ac:dyDescent="0.25">
      <c r="B220" s="598">
        <f t="shared" si="32"/>
        <v>175</v>
      </c>
      <c r="C220" s="301"/>
      <c r="D220" s="355"/>
      <c r="E220" s="356"/>
      <c r="F220" s="189" t="s">
        <v>680</v>
      </c>
      <c r="G220" s="311"/>
      <c r="H220" s="599">
        <v>20400</v>
      </c>
      <c r="I220" s="599"/>
      <c r="J220" s="491">
        <f t="shared" si="45"/>
        <v>20400</v>
      </c>
    </row>
    <row r="221" spans="2:10" ht="12" customHeight="1" x14ac:dyDescent="0.2">
      <c r="B221" s="600"/>
      <c r="C221" s="601"/>
      <c r="D221" s="602"/>
      <c r="E221" s="603"/>
      <c r="F221" s="604"/>
      <c r="G221" s="605"/>
      <c r="H221" s="606"/>
      <c r="I221" s="606"/>
      <c r="J221" s="606"/>
    </row>
    <row r="222" spans="2:10" ht="12" customHeight="1" x14ac:dyDescent="0.2">
      <c r="B222" s="607"/>
      <c r="C222" s="253"/>
      <c r="D222" s="608"/>
      <c r="E222" s="255"/>
      <c r="F222" s="609"/>
      <c r="G222" s="257"/>
      <c r="H222" s="252"/>
      <c r="I222" s="252"/>
      <c r="J222" s="252"/>
    </row>
    <row r="223" spans="2:10" ht="12" customHeight="1" x14ac:dyDescent="0.2">
      <c r="B223" s="607"/>
      <c r="C223" s="253"/>
      <c r="D223" s="608"/>
      <c r="E223" s="255"/>
      <c r="F223" s="609"/>
      <c r="G223" s="257"/>
      <c r="H223" s="252"/>
      <c r="I223" s="252"/>
      <c r="J223" s="252"/>
    </row>
    <row r="224" spans="2:10" ht="12" customHeight="1" x14ac:dyDescent="0.2">
      <c r="B224" s="607"/>
      <c r="C224" s="253"/>
      <c r="D224" s="608"/>
      <c r="E224" s="255"/>
      <c r="F224" s="609"/>
      <c r="G224" s="257"/>
      <c r="H224" s="252"/>
      <c r="I224" s="252"/>
      <c r="J224" s="252"/>
    </row>
    <row r="225" spans="2:10" ht="12" customHeight="1" x14ac:dyDescent="0.2">
      <c r="B225" s="607"/>
      <c r="C225" s="253"/>
      <c r="D225" s="608"/>
      <c r="E225" s="255"/>
      <c r="F225" s="609"/>
      <c r="G225" s="257"/>
      <c r="H225" s="252"/>
      <c r="I225" s="252"/>
      <c r="J225" s="252"/>
    </row>
    <row r="226" spans="2:10" ht="12" customHeight="1" x14ac:dyDescent="0.2">
      <c r="B226" s="607"/>
      <c r="C226" s="253"/>
      <c r="D226" s="608"/>
      <c r="E226" s="255"/>
      <c r="F226" s="609"/>
      <c r="G226" s="257"/>
      <c r="H226" s="252"/>
      <c r="I226" s="252"/>
      <c r="J226" s="252"/>
    </row>
    <row r="227" spans="2:10" ht="12" customHeight="1" x14ac:dyDescent="0.2">
      <c r="B227" s="607"/>
      <c r="C227" s="253"/>
      <c r="D227" s="608"/>
      <c r="E227" s="255"/>
      <c r="F227" s="609"/>
      <c r="G227" s="257"/>
      <c r="H227" s="252"/>
      <c r="I227" s="252"/>
      <c r="J227" s="252"/>
    </row>
    <row r="228" spans="2:10" ht="12" customHeight="1" x14ac:dyDescent="0.2">
      <c r="B228" s="607"/>
      <c r="C228" s="253"/>
      <c r="D228" s="608"/>
      <c r="E228" s="255"/>
      <c r="F228" s="609"/>
      <c r="G228" s="257"/>
      <c r="H228" s="252"/>
      <c r="I228" s="252"/>
      <c r="J228" s="252"/>
    </row>
    <row r="229" spans="2:10" ht="12" customHeight="1" x14ac:dyDescent="0.2">
      <c r="B229" s="607"/>
      <c r="C229" s="253"/>
      <c r="D229" s="608"/>
      <c r="E229" s="255"/>
      <c r="F229" s="609"/>
      <c r="G229" s="257"/>
      <c r="H229" s="252"/>
      <c r="I229" s="252"/>
      <c r="J229" s="252"/>
    </row>
    <row r="230" spans="2:10" ht="12" customHeight="1" x14ac:dyDescent="0.2">
      <c r="B230" s="607"/>
      <c r="C230" s="253"/>
      <c r="D230" s="608"/>
      <c r="E230" s="255"/>
      <c r="F230" s="609"/>
      <c r="G230" s="257"/>
      <c r="H230" s="252"/>
      <c r="I230" s="252"/>
      <c r="J230" s="252"/>
    </row>
    <row r="231" spans="2:10" ht="12" customHeight="1" x14ac:dyDescent="0.2">
      <c r="B231" s="607"/>
      <c r="C231" s="253"/>
      <c r="D231" s="608"/>
      <c r="E231" s="255"/>
      <c r="F231" s="609"/>
      <c r="G231" s="257"/>
      <c r="H231" s="252"/>
      <c r="I231" s="252"/>
      <c r="J231" s="252"/>
    </row>
    <row r="232" spans="2:10" ht="12" customHeight="1" x14ac:dyDescent="0.2">
      <c r="B232" s="607"/>
      <c r="C232" s="253"/>
      <c r="D232" s="608"/>
      <c r="E232" s="255"/>
      <c r="F232" s="609"/>
      <c r="G232" s="257"/>
      <c r="H232" s="252"/>
      <c r="I232" s="252"/>
      <c r="J232" s="252"/>
    </row>
    <row r="233" spans="2:10" ht="12" customHeight="1" x14ac:dyDescent="0.2">
      <c r="B233" s="607"/>
      <c r="C233" s="253"/>
      <c r="D233" s="608"/>
      <c r="E233" s="255"/>
      <c r="F233" s="609"/>
      <c r="G233" s="257"/>
      <c r="H233" s="252"/>
      <c r="I233" s="252"/>
      <c r="J233" s="252"/>
    </row>
    <row r="234" spans="2:10" ht="12" customHeight="1" x14ac:dyDescent="0.2">
      <c r="B234" s="607"/>
      <c r="C234" s="253"/>
      <c r="D234" s="608"/>
      <c r="E234" s="255"/>
      <c r="F234" s="609"/>
      <c r="G234" s="257"/>
      <c r="H234" s="252"/>
      <c r="I234" s="252"/>
      <c r="J234" s="252"/>
    </row>
    <row r="235" spans="2:10" ht="12" customHeight="1" x14ac:dyDescent="0.2">
      <c r="B235" s="607"/>
      <c r="C235" s="253"/>
      <c r="D235" s="608"/>
      <c r="E235" s="255"/>
      <c r="F235" s="609"/>
      <c r="G235" s="257"/>
      <c r="H235" s="252"/>
      <c r="I235" s="252"/>
      <c r="J235" s="252"/>
    </row>
    <row r="236" spans="2:10" ht="12" customHeight="1" x14ac:dyDescent="0.2">
      <c r="B236" s="607"/>
      <c r="C236" s="253"/>
      <c r="D236" s="608"/>
      <c r="E236" s="255"/>
      <c r="F236" s="609"/>
      <c r="G236" s="257"/>
      <c r="H236" s="252"/>
      <c r="I236" s="252"/>
      <c r="J236" s="252"/>
    </row>
    <row r="237" spans="2:10" ht="12" customHeight="1" x14ac:dyDescent="0.2">
      <c r="B237" s="607"/>
      <c r="C237" s="253"/>
      <c r="D237" s="608"/>
      <c r="E237" s="255"/>
      <c r="F237" s="609"/>
      <c r="G237" s="257"/>
      <c r="H237" s="252"/>
      <c r="I237" s="252"/>
      <c r="J237" s="252"/>
    </row>
    <row r="238" spans="2:10" ht="12" customHeight="1" x14ac:dyDescent="0.2">
      <c r="B238" s="607"/>
      <c r="C238" s="253"/>
      <c r="D238" s="608"/>
      <c r="E238" s="255"/>
      <c r="F238" s="609"/>
      <c r="G238" s="257"/>
      <c r="H238" s="252"/>
      <c r="I238" s="252"/>
      <c r="J238" s="252"/>
    </row>
    <row r="239" spans="2:10" ht="12" customHeight="1" x14ac:dyDescent="0.2">
      <c r="B239" s="607"/>
      <c r="C239" s="253"/>
      <c r="D239" s="608"/>
      <c r="E239" s="255"/>
      <c r="F239" s="609"/>
      <c r="G239" s="257"/>
      <c r="H239" s="252"/>
      <c r="I239" s="252"/>
      <c r="J239" s="252"/>
    </row>
    <row r="240" spans="2:10" ht="12" customHeight="1" x14ac:dyDescent="0.2">
      <c r="B240" s="607"/>
      <c r="C240" s="253"/>
      <c r="D240" s="608"/>
      <c r="E240" s="255"/>
      <c r="F240" s="609"/>
      <c r="G240" s="257"/>
      <c r="H240" s="252"/>
      <c r="I240" s="252"/>
      <c r="J240" s="252"/>
    </row>
    <row r="241" spans="2:10" ht="12" customHeight="1" x14ac:dyDescent="0.2">
      <c r="B241" s="607"/>
      <c r="C241" s="253"/>
      <c r="D241" s="608"/>
      <c r="E241" s="255"/>
      <c r="F241" s="609"/>
      <c r="G241" s="257"/>
      <c r="H241" s="252"/>
      <c r="I241" s="252"/>
      <c r="J241" s="252"/>
    </row>
    <row r="242" spans="2:10" ht="12" customHeight="1" thickBot="1" x14ac:dyDescent="0.25">
      <c r="B242" s="610"/>
      <c r="C242" s="611"/>
      <c r="D242" s="612"/>
      <c r="E242" s="613"/>
      <c r="F242" s="614"/>
      <c r="G242" s="518"/>
      <c r="H242" s="615"/>
      <c r="I242" s="615"/>
      <c r="J242" s="615"/>
    </row>
    <row r="243" spans="2:10" ht="12" customHeight="1" x14ac:dyDescent="0.2">
      <c r="B243" s="853" t="s">
        <v>9</v>
      </c>
      <c r="C243" s="859"/>
      <c r="D243" s="859"/>
      <c r="E243" s="859"/>
      <c r="F243" s="859"/>
      <c r="G243" s="859"/>
      <c r="H243" s="850" t="s">
        <v>724</v>
      </c>
      <c r="I243" s="850" t="s">
        <v>842</v>
      </c>
      <c r="J243" s="850" t="s">
        <v>724</v>
      </c>
    </row>
    <row r="244" spans="2:10" ht="12" customHeight="1" x14ac:dyDescent="0.2">
      <c r="B244" s="860"/>
      <c r="C244" s="861"/>
      <c r="D244" s="861"/>
      <c r="E244" s="861"/>
      <c r="F244" s="861"/>
      <c r="G244" s="861"/>
      <c r="H244" s="851"/>
      <c r="I244" s="851"/>
      <c r="J244" s="851"/>
    </row>
    <row r="245" spans="2:10" ht="12" customHeight="1" x14ac:dyDescent="0.2">
      <c r="B245" s="78"/>
      <c r="C245" s="857" t="s">
        <v>10</v>
      </c>
      <c r="D245" s="79" t="s">
        <v>11</v>
      </c>
      <c r="E245" s="79" t="s">
        <v>12</v>
      </c>
      <c r="F245" s="80"/>
      <c r="G245" s="80"/>
      <c r="H245" s="851"/>
      <c r="I245" s="851"/>
      <c r="J245" s="851"/>
    </row>
    <row r="246" spans="2:10" ht="12" customHeight="1" thickBot="1" x14ac:dyDescent="0.25">
      <c r="B246" s="82"/>
      <c r="C246" s="858"/>
      <c r="D246" s="84"/>
      <c r="E246" s="83" t="s">
        <v>13</v>
      </c>
      <c r="F246" s="85" t="s">
        <v>14</v>
      </c>
      <c r="G246" s="307"/>
      <c r="H246" s="852"/>
      <c r="I246" s="852"/>
      <c r="J246" s="852"/>
    </row>
    <row r="247" spans="2:10" ht="19.5" customHeight="1" thickTop="1" x14ac:dyDescent="0.2">
      <c r="B247" s="58">
        <f>B220+1</f>
        <v>176</v>
      </c>
      <c r="C247" s="105" t="s">
        <v>79</v>
      </c>
      <c r="D247" s="106"/>
      <c r="E247" s="107"/>
      <c r="F247" s="108" t="s">
        <v>80</v>
      </c>
      <c r="G247" s="315"/>
      <c r="H247" s="493">
        <f>H251+H249</f>
        <v>7179023</v>
      </c>
      <c r="I247" s="493">
        <f t="shared" ref="I247" si="46">I251+I249</f>
        <v>2265</v>
      </c>
      <c r="J247" s="493">
        <f>H247+I247</f>
        <v>7181288</v>
      </c>
    </row>
    <row r="248" spans="2:10" x14ac:dyDescent="0.2">
      <c r="B248" s="58">
        <f t="shared" si="32"/>
        <v>177</v>
      </c>
      <c r="C248" s="8"/>
      <c r="D248" s="9"/>
      <c r="E248" s="11"/>
      <c r="F248" s="68"/>
      <c r="G248" s="39"/>
      <c r="H248" s="494"/>
      <c r="I248" s="494"/>
      <c r="J248" s="494"/>
    </row>
    <row r="249" spans="2:10" x14ac:dyDescent="0.2">
      <c r="B249" s="58">
        <f t="shared" si="32"/>
        <v>178</v>
      </c>
      <c r="C249" s="8"/>
      <c r="D249" s="9" t="s">
        <v>603</v>
      </c>
      <c r="E249" s="11"/>
      <c r="F249" s="68" t="s">
        <v>666</v>
      </c>
      <c r="G249" s="39"/>
      <c r="H249" s="684">
        <f>H250</f>
        <v>600</v>
      </c>
      <c r="I249" s="684">
        <f t="shared" ref="I249" si="47">I250</f>
        <v>0</v>
      </c>
      <c r="J249" s="684">
        <f>H249+I249</f>
        <v>600</v>
      </c>
    </row>
    <row r="250" spans="2:10" x14ac:dyDescent="0.2">
      <c r="B250" s="58">
        <f t="shared" si="32"/>
        <v>179</v>
      </c>
      <c r="C250" s="8"/>
      <c r="D250" s="9"/>
      <c r="E250" s="11"/>
      <c r="F250" s="548" t="s">
        <v>817</v>
      </c>
      <c r="G250" s="39"/>
      <c r="H250" s="494">
        <v>600</v>
      </c>
      <c r="I250" s="494"/>
      <c r="J250" s="494">
        <f>H250+I250</f>
        <v>600</v>
      </c>
    </row>
    <row r="251" spans="2:10" ht="12.75" customHeight="1" x14ac:dyDescent="0.2">
      <c r="B251" s="58">
        <f t="shared" si="32"/>
        <v>180</v>
      </c>
      <c r="C251" s="8"/>
      <c r="D251" s="9" t="s">
        <v>81</v>
      </c>
      <c r="E251" s="11"/>
      <c r="F251" s="68" t="s">
        <v>82</v>
      </c>
      <c r="G251" s="39"/>
      <c r="H251" s="495">
        <f>H252</f>
        <v>7178423</v>
      </c>
      <c r="I251" s="495">
        <f t="shared" ref="I251:J251" si="48">I252</f>
        <v>2265</v>
      </c>
      <c r="J251" s="495">
        <f t="shared" si="48"/>
        <v>7180688</v>
      </c>
    </row>
    <row r="252" spans="2:10" x14ac:dyDescent="0.2">
      <c r="B252" s="58">
        <f t="shared" si="32"/>
        <v>181</v>
      </c>
      <c r="C252" s="8"/>
      <c r="D252" s="11"/>
      <c r="E252" s="7"/>
      <c r="F252" s="31" t="s">
        <v>83</v>
      </c>
      <c r="G252" s="39"/>
      <c r="H252" s="494">
        <f>SUM(H253:H267)</f>
        <v>7178423</v>
      </c>
      <c r="I252" s="494">
        <f t="shared" ref="I252" si="49">SUM(I253:I267)</f>
        <v>2265</v>
      </c>
      <c r="J252" s="494">
        <f>H252+I252</f>
        <v>7180688</v>
      </c>
    </row>
    <row r="253" spans="2:10" x14ac:dyDescent="0.2">
      <c r="B253" s="58">
        <f t="shared" si="32"/>
        <v>182</v>
      </c>
      <c r="C253" s="54"/>
      <c r="D253" s="12"/>
      <c r="E253" s="515"/>
      <c r="F253" s="74" t="s">
        <v>84</v>
      </c>
      <c r="G253" s="316"/>
      <c r="H253" s="553">
        <f>5919630+85036</f>
        <v>6004666</v>
      </c>
      <c r="I253" s="553"/>
      <c r="J253" s="494">
        <f t="shared" ref="J253:J266" si="50">H253+I253</f>
        <v>6004666</v>
      </c>
    </row>
    <row r="254" spans="2:10" ht="12.75" customHeight="1" x14ac:dyDescent="0.2">
      <c r="B254" s="58">
        <f t="shared" si="32"/>
        <v>183</v>
      </c>
      <c r="C254" s="8"/>
      <c r="D254" s="11"/>
      <c r="E254" s="11"/>
      <c r="F254" s="35" t="s">
        <v>155</v>
      </c>
      <c r="G254" s="39"/>
      <c r="H254" s="492">
        <v>81540</v>
      </c>
      <c r="I254" s="492"/>
      <c r="J254" s="494">
        <f t="shared" si="50"/>
        <v>81540</v>
      </c>
    </row>
    <row r="255" spans="2:10" ht="12.75" customHeight="1" x14ac:dyDescent="0.2">
      <c r="B255" s="58">
        <f t="shared" si="32"/>
        <v>184</v>
      </c>
      <c r="C255" s="8"/>
      <c r="D255" s="11"/>
      <c r="E255" s="11"/>
      <c r="F255" s="43" t="s">
        <v>85</v>
      </c>
      <c r="G255" s="39"/>
      <c r="H255" s="554">
        <v>833090</v>
      </c>
      <c r="I255" s="554"/>
      <c r="J255" s="494">
        <f t="shared" si="50"/>
        <v>833090</v>
      </c>
    </row>
    <row r="256" spans="2:10" x14ac:dyDescent="0.2">
      <c r="B256" s="58">
        <f t="shared" si="32"/>
        <v>185</v>
      </c>
      <c r="C256" s="8"/>
      <c r="D256" s="14"/>
      <c r="E256" s="10"/>
      <c r="F256" s="43" t="s">
        <v>86</v>
      </c>
      <c r="G256" s="39"/>
      <c r="H256" s="492">
        <f>71500+13500</f>
        <v>85000</v>
      </c>
      <c r="I256" s="492">
        <v>2265</v>
      </c>
      <c r="J256" s="494">
        <f t="shared" si="50"/>
        <v>87265</v>
      </c>
    </row>
    <row r="257" spans="2:12" x14ac:dyDescent="0.2">
      <c r="B257" s="58">
        <f t="shared" si="32"/>
        <v>186</v>
      </c>
      <c r="C257" s="8"/>
      <c r="D257" s="14"/>
      <c r="E257" s="10"/>
      <c r="F257" s="43" t="s">
        <v>75</v>
      </c>
      <c r="G257" s="39"/>
      <c r="H257" s="492">
        <v>52000</v>
      </c>
      <c r="I257" s="492"/>
      <c r="J257" s="494">
        <f t="shared" si="50"/>
        <v>52000</v>
      </c>
    </row>
    <row r="258" spans="2:12" x14ac:dyDescent="0.2">
      <c r="B258" s="58">
        <f t="shared" si="32"/>
        <v>187</v>
      </c>
      <c r="C258" s="8"/>
      <c r="D258" s="14"/>
      <c r="E258" s="10"/>
      <c r="F258" s="43" t="s">
        <v>87</v>
      </c>
      <c r="G258" s="39"/>
      <c r="H258" s="492">
        <v>38040</v>
      </c>
      <c r="I258" s="492"/>
      <c r="J258" s="494">
        <f t="shared" si="50"/>
        <v>38040</v>
      </c>
    </row>
    <row r="259" spans="2:12" x14ac:dyDescent="0.2">
      <c r="B259" s="58">
        <f t="shared" si="32"/>
        <v>188</v>
      </c>
      <c r="C259" s="8"/>
      <c r="D259" s="14"/>
      <c r="E259" s="10"/>
      <c r="F259" s="43" t="s">
        <v>1</v>
      </c>
      <c r="G259" s="39"/>
      <c r="H259" s="492">
        <v>18500</v>
      </c>
      <c r="I259" s="492"/>
      <c r="J259" s="494">
        <f t="shared" si="50"/>
        <v>18500</v>
      </c>
    </row>
    <row r="260" spans="2:12" ht="14.25" customHeight="1" x14ac:dyDescent="0.2">
      <c r="B260" s="58">
        <f t="shared" si="32"/>
        <v>189</v>
      </c>
      <c r="C260" s="8"/>
      <c r="D260" s="14"/>
      <c r="E260" s="10"/>
      <c r="F260" s="43" t="s">
        <v>88</v>
      </c>
      <c r="G260" s="39"/>
      <c r="H260" s="492">
        <v>24500</v>
      </c>
      <c r="I260" s="492"/>
      <c r="J260" s="494">
        <f t="shared" si="50"/>
        <v>24500</v>
      </c>
    </row>
    <row r="261" spans="2:12" x14ac:dyDescent="0.2">
      <c r="B261" s="58">
        <f t="shared" si="32"/>
        <v>190</v>
      </c>
      <c r="C261" s="481"/>
      <c r="D261" s="482"/>
      <c r="E261" s="483"/>
      <c r="F261" s="484" t="s">
        <v>653</v>
      </c>
      <c r="G261" s="485"/>
      <c r="H261" s="580">
        <f>4000+6000</f>
        <v>10000</v>
      </c>
      <c r="I261" s="580"/>
      <c r="J261" s="494">
        <f t="shared" si="50"/>
        <v>10000</v>
      </c>
    </row>
    <row r="262" spans="2:12" x14ac:dyDescent="0.2">
      <c r="B262" s="58">
        <f t="shared" ref="B262:B269" si="51">B261+1</f>
        <v>191</v>
      </c>
      <c r="C262" s="481"/>
      <c r="D262" s="482"/>
      <c r="E262" s="483"/>
      <c r="F262" s="484" t="s">
        <v>642</v>
      </c>
      <c r="G262" s="485"/>
      <c r="H262" s="580">
        <v>6694</v>
      </c>
      <c r="I262" s="580"/>
      <c r="J262" s="494">
        <f t="shared" si="50"/>
        <v>6694</v>
      </c>
    </row>
    <row r="263" spans="2:12" x14ac:dyDescent="0.2">
      <c r="B263" s="58">
        <f t="shared" si="51"/>
        <v>192</v>
      </c>
      <c r="C263" s="481"/>
      <c r="D263" s="482"/>
      <c r="E263" s="483"/>
      <c r="F263" s="763" t="s">
        <v>762</v>
      </c>
      <c r="G263" s="316"/>
      <c r="H263" s="553">
        <v>14893</v>
      </c>
      <c r="I263" s="553"/>
      <c r="J263" s="494">
        <f t="shared" si="50"/>
        <v>14893</v>
      </c>
    </row>
    <row r="264" spans="2:12" x14ac:dyDescent="0.2">
      <c r="B264" s="58">
        <f t="shared" si="51"/>
        <v>193</v>
      </c>
      <c r="C264" s="481"/>
      <c r="D264" s="482"/>
      <c r="E264" s="483"/>
      <c r="F264" s="30" t="s">
        <v>836</v>
      </c>
      <c r="G264" s="683"/>
      <c r="H264" s="661">
        <v>7000</v>
      </c>
      <c r="I264" s="661"/>
      <c r="J264" s="494">
        <f t="shared" si="50"/>
        <v>7000</v>
      </c>
    </row>
    <row r="265" spans="2:12" x14ac:dyDescent="0.2">
      <c r="B265" s="58">
        <f t="shared" si="51"/>
        <v>194</v>
      </c>
      <c r="C265" s="481"/>
      <c r="D265" s="482"/>
      <c r="E265" s="483"/>
      <c r="F265" s="484" t="s">
        <v>837</v>
      </c>
      <c r="G265" s="485"/>
      <c r="H265" s="580">
        <v>500</v>
      </c>
      <c r="I265" s="580"/>
      <c r="J265" s="494">
        <f t="shared" si="50"/>
        <v>500</v>
      </c>
    </row>
    <row r="266" spans="2:12" x14ac:dyDescent="0.2">
      <c r="B266" s="58">
        <f t="shared" si="51"/>
        <v>195</v>
      </c>
      <c r="C266" s="481"/>
      <c r="D266" s="482"/>
      <c r="E266" s="483"/>
      <c r="F266" s="484" t="s">
        <v>835</v>
      </c>
      <c r="G266" s="485"/>
      <c r="H266" s="580">
        <v>2000</v>
      </c>
      <c r="I266" s="580"/>
      <c r="J266" s="494">
        <f t="shared" si="50"/>
        <v>2000</v>
      </c>
    </row>
    <row r="267" spans="2:12" ht="12.75" customHeight="1" thickBot="1" x14ac:dyDescent="0.25">
      <c r="B267" s="58">
        <f t="shared" si="51"/>
        <v>196</v>
      </c>
      <c r="C267" s="111"/>
      <c r="D267" s="112"/>
      <c r="E267" s="113"/>
      <c r="F267" s="114"/>
      <c r="G267" s="317"/>
      <c r="H267" s="581"/>
      <c r="I267" s="581"/>
      <c r="J267" s="581"/>
    </row>
    <row r="268" spans="2:12" ht="12.75" customHeight="1" thickTop="1" x14ac:dyDescent="0.2">
      <c r="B268" s="58">
        <f t="shared" si="51"/>
        <v>197</v>
      </c>
      <c r="C268" s="301"/>
      <c r="D268" s="29"/>
      <c r="E268" s="356"/>
      <c r="F268" s="30"/>
      <c r="G268" s="683"/>
      <c r="H268" s="661"/>
      <c r="I268" s="661"/>
      <c r="J268" s="661"/>
    </row>
    <row r="269" spans="2:12" ht="31.5" customHeight="1" thickBot="1" x14ac:dyDescent="0.35">
      <c r="B269" s="58">
        <f t="shared" si="51"/>
        <v>198</v>
      </c>
      <c r="C269" s="117"/>
      <c r="D269" s="118"/>
      <c r="E269" s="119"/>
      <c r="F269" s="120" t="s">
        <v>89</v>
      </c>
      <c r="G269" s="318"/>
      <c r="H269" s="582">
        <f>H247+H24+H7</f>
        <v>32809868</v>
      </c>
      <c r="I269" s="582">
        <f t="shared" ref="I269:J269" si="52">I247+I24+I7</f>
        <v>-105696</v>
      </c>
      <c r="J269" s="582">
        <f t="shared" si="52"/>
        <v>32704172</v>
      </c>
      <c r="L269" s="17"/>
    </row>
    <row r="270" spans="2:12" ht="15.75" customHeight="1" x14ac:dyDescent="0.2">
      <c r="H270" s="17"/>
      <c r="I270" s="17"/>
      <c r="J270" s="17"/>
    </row>
    <row r="271" spans="2:12" ht="15.75" customHeight="1" thickBot="1" x14ac:dyDescent="0.25"/>
    <row r="272" spans="2:12" ht="13.5" customHeight="1" x14ac:dyDescent="0.2">
      <c r="B272" s="853" t="s">
        <v>179</v>
      </c>
      <c r="C272" s="854"/>
      <c r="D272" s="854"/>
      <c r="E272" s="854"/>
      <c r="F272" s="854"/>
      <c r="G272" s="854"/>
      <c r="H272" s="850" t="s">
        <v>724</v>
      </c>
      <c r="I272" s="850" t="s">
        <v>842</v>
      </c>
      <c r="J272" s="850" t="s">
        <v>724</v>
      </c>
    </row>
    <row r="273" spans="2:12" ht="15" customHeight="1" x14ac:dyDescent="0.2">
      <c r="B273" s="855"/>
      <c r="C273" s="856"/>
      <c r="D273" s="856"/>
      <c r="E273" s="856"/>
      <c r="F273" s="856"/>
      <c r="G273" s="856"/>
      <c r="H273" s="851"/>
      <c r="I273" s="851"/>
      <c r="J273" s="851"/>
    </row>
    <row r="274" spans="2:12" ht="12.75" customHeight="1" x14ac:dyDescent="0.2">
      <c r="B274" s="78"/>
      <c r="C274" s="862" t="s">
        <v>10</v>
      </c>
      <c r="D274" s="79" t="s">
        <v>11</v>
      </c>
      <c r="E274" s="79" t="s">
        <v>12</v>
      </c>
      <c r="F274" s="81"/>
      <c r="G274" s="80"/>
      <c r="H274" s="851"/>
      <c r="I274" s="851"/>
      <c r="J274" s="851"/>
    </row>
    <row r="275" spans="2:12" ht="18.75" customHeight="1" thickBot="1" x14ac:dyDescent="0.25">
      <c r="B275" s="82"/>
      <c r="C275" s="858"/>
      <c r="D275" s="84"/>
      <c r="E275" s="83" t="s">
        <v>13</v>
      </c>
      <c r="F275" s="86" t="s">
        <v>14</v>
      </c>
      <c r="G275" s="307"/>
      <c r="H275" s="852"/>
      <c r="I275" s="852"/>
      <c r="J275" s="852"/>
    </row>
    <row r="276" spans="2:12" ht="16.5" thickTop="1" x14ac:dyDescent="0.2">
      <c r="B276" s="87">
        <v>1</v>
      </c>
      <c r="C276" s="88" t="s">
        <v>37</v>
      </c>
      <c r="D276" s="89"/>
      <c r="E276" s="297"/>
      <c r="F276" s="298" t="s">
        <v>38</v>
      </c>
      <c r="G276" s="310"/>
      <c r="H276" s="568">
        <f>H278</f>
        <v>769745</v>
      </c>
      <c r="I276" s="568">
        <f t="shared" ref="I276" si="53">I278</f>
        <v>16255</v>
      </c>
      <c r="J276" s="568">
        <f>H276+I276</f>
        <v>786000</v>
      </c>
      <c r="L276" s="17"/>
    </row>
    <row r="277" spans="2:12" ht="15" x14ac:dyDescent="0.25">
      <c r="B277" s="90">
        <f t="shared" ref="B277:B286" si="54">B276+1</f>
        <v>2</v>
      </c>
      <c r="C277" s="14"/>
      <c r="D277" s="8"/>
      <c r="E277" s="71"/>
      <c r="F277" s="38"/>
      <c r="G277" s="38"/>
      <c r="H277" s="583"/>
      <c r="I277" s="583"/>
      <c r="J277" s="583"/>
    </row>
    <row r="278" spans="2:12" x14ac:dyDescent="0.2">
      <c r="B278" s="90">
        <f t="shared" si="54"/>
        <v>3</v>
      </c>
      <c r="C278" s="54" t="s">
        <v>180</v>
      </c>
      <c r="D278" s="54"/>
      <c r="E278" s="71"/>
      <c r="F278" s="91" t="s">
        <v>181</v>
      </c>
      <c r="G278" s="43"/>
      <c r="H278" s="584">
        <f>H279+H282</f>
        <v>769745</v>
      </c>
      <c r="I278" s="584">
        <f t="shared" ref="I278" si="55">I279+I282</f>
        <v>16255</v>
      </c>
      <c r="J278" s="584">
        <f>J279+J282</f>
        <v>786000</v>
      </c>
    </row>
    <row r="279" spans="2:12" ht="13.5" customHeight="1" x14ac:dyDescent="0.2">
      <c r="B279" s="90">
        <f t="shared" si="54"/>
        <v>4</v>
      </c>
      <c r="C279" s="8"/>
      <c r="D279" s="45" t="s">
        <v>182</v>
      </c>
      <c r="E279" s="9" t="s">
        <v>26</v>
      </c>
      <c r="F279" s="296" t="s">
        <v>183</v>
      </c>
      <c r="G279" s="50"/>
      <c r="H279" s="542">
        <f>SUM(H280:H281)</f>
        <v>762945</v>
      </c>
      <c r="I279" s="542">
        <f t="shared" ref="I279" si="56">SUM(I280:I281)</f>
        <v>16255</v>
      </c>
      <c r="J279" s="542">
        <f>H279+I279</f>
        <v>779200</v>
      </c>
    </row>
    <row r="280" spans="2:12" x14ac:dyDescent="0.2">
      <c r="B280" s="90">
        <f t="shared" si="54"/>
        <v>5</v>
      </c>
      <c r="C280" s="9"/>
      <c r="D280" s="12"/>
      <c r="E280" s="45"/>
      <c r="F280" s="18" t="s">
        <v>184</v>
      </c>
      <c r="G280" s="43"/>
      <c r="H280" s="585">
        <f>350000+167000</f>
        <v>517000</v>
      </c>
      <c r="I280" s="585"/>
      <c r="J280" s="542">
        <f t="shared" ref="J280:J284" si="57">H280+I280</f>
        <v>517000</v>
      </c>
    </row>
    <row r="281" spans="2:12" x14ac:dyDescent="0.2">
      <c r="B281" s="90">
        <f t="shared" si="54"/>
        <v>6</v>
      </c>
      <c r="C281" s="9"/>
      <c r="D281" s="11"/>
      <c r="E281" s="45"/>
      <c r="F281" s="18" t="s">
        <v>763</v>
      </c>
      <c r="G281" s="43"/>
      <c r="H281" s="585">
        <v>245945</v>
      </c>
      <c r="I281" s="585">
        <f>20255-5000+1000</f>
        <v>16255</v>
      </c>
      <c r="J281" s="542">
        <f t="shared" si="57"/>
        <v>262200</v>
      </c>
    </row>
    <row r="282" spans="2:12" x14ac:dyDescent="0.2">
      <c r="B282" s="90">
        <f t="shared" si="54"/>
        <v>7</v>
      </c>
      <c r="C282" s="9"/>
      <c r="D282" s="11" t="s">
        <v>764</v>
      </c>
      <c r="E282" s="45"/>
      <c r="F282" s="18" t="s">
        <v>765</v>
      </c>
      <c r="G282" s="43"/>
      <c r="H282" s="585">
        <f>H283+H284</f>
        <v>6800</v>
      </c>
      <c r="I282" s="585">
        <f t="shared" ref="I282" si="58">I283+I284</f>
        <v>0</v>
      </c>
      <c r="J282" s="542">
        <f t="shared" si="57"/>
        <v>6800</v>
      </c>
    </row>
    <row r="283" spans="2:12" x14ac:dyDescent="0.2">
      <c r="B283" s="90">
        <f t="shared" si="54"/>
        <v>8</v>
      </c>
      <c r="C283" s="9"/>
      <c r="D283" s="11"/>
      <c r="E283" s="45"/>
      <c r="F283" s="18" t="s">
        <v>766</v>
      </c>
      <c r="G283" s="43"/>
      <c r="H283" s="585">
        <v>1500</v>
      </c>
      <c r="I283" s="585"/>
      <c r="J283" s="542">
        <f t="shared" si="57"/>
        <v>1500</v>
      </c>
    </row>
    <row r="284" spans="2:12" x14ac:dyDescent="0.2">
      <c r="B284" s="90">
        <f t="shared" si="54"/>
        <v>9</v>
      </c>
      <c r="C284" s="9"/>
      <c r="D284" s="11"/>
      <c r="E284" s="45"/>
      <c r="F284" s="18" t="s">
        <v>767</v>
      </c>
      <c r="G284" s="43"/>
      <c r="H284" s="585">
        <v>5300</v>
      </c>
      <c r="I284" s="585"/>
      <c r="J284" s="542">
        <f t="shared" si="57"/>
        <v>5300</v>
      </c>
    </row>
    <row r="285" spans="2:12" ht="15.75" customHeight="1" x14ac:dyDescent="0.25">
      <c r="B285" s="90">
        <f t="shared" si="54"/>
        <v>10</v>
      </c>
      <c r="C285" s="92"/>
      <c r="D285" s="7"/>
      <c r="E285" s="25"/>
      <c r="F285" s="18"/>
      <c r="G285" s="43"/>
      <c r="H285" s="586"/>
      <c r="I285" s="586"/>
      <c r="J285" s="586"/>
    </row>
    <row r="286" spans="2:12" ht="25.5" customHeight="1" thickBot="1" x14ac:dyDescent="0.35">
      <c r="B286" s="93">
        <f t="shared" si="54"/>
        <v>11</v>
      </c>
      <c r="C286" s="294"/>
      <c r="D286" s="295"/>
      <c r="E286" s="299"/>
      <c r="F286" s="633" t="s">
        <v>185</v>
      </c>
      <c r="G286" s="300"/>
      <c r="H286" s="632">
        <f>H276</f>
        <v>769745</v>
      </c>
      <c r="I286" s="632">
        <f t="shared" ref="I286" si="59">I276</f>
        <v>16255</v>
      </c>
      <c r="J286" s="632">
        <f>H286+I286</f>
        <v>786000</v>
      </c>
    </row>
    <row r="287" spans="2:12" ht="13.5" customHeight="1" x14ac:dyDescent="0.2">
      <c r="B287" s="248"/>
      <c r="C287" s="254"/>
      <c r="D287" s="254"/>
      <c r="E287" s="254"/>
      <c r="F287" s="258"/>
      <c r="G287" s="258"/>
      <c r="H287" s="132"/>
      <c r="I287" s="132"/>
      <c r="J287" s="132"/>
    </row>
    <row r="288" spans="2:12" ht="13.5" customHeight="1" x14ac:dyDescent="0.2">
      <c r="B288" s="248"/>
      <c r="C288" s="254"/>
      <c r="D288" s="254"/>
      <c r="E288" s="254"/>
      <c r="F288" s="258"/>
      <c r="G288" s="258"/>
      <c r="H288" s="132"/>
      <c r="I288" s="132"/>
      <c r="J288" s="132"/>
    </row>
    <row r="289" spans="2:10" ht="13.5" customHeight="1" x14ac:dyDescent="0.2">
      <c r="B289" s="248"/>
      <c r="C289" s="254"/>
      <c r="D289" s="254"/>
      <c r="E289" s="254"/>
      <c r="F289" s="258"/>
      <c r="G289" s="258"/>
      <c r="H289" s="132"/>
      <c r="I289" s="132"/>
      <c r="J289" s="132"/>
    </row>
    <row r="290" spans="2:10" ht="13.5" thickBot="1" x14ac:dyDescent="0.25">
      <c r="B290" s="248"/>
      <c r="C290" s="254"/>
      <c r="D290" s="254"/>
      <c r="E290" s="254"/>
      <c r="F290" s="258"/>
      <c r="G290" s="259"/>
      <c r="H290" s="132"/>
      <c r="I290" s="132"/>
      <c r="J290" s="132"/>
    </row>
    <row r="291" spans="2:10" ht="12.75" customHeight="1" x14ac:dyDescent="0.2">
      <c r="B291" s="853" t="s">
        <v>191</v>
      </c>
      <c r="C291" s="854"/>
      <c r="D291" s="854"/>
      <c r="E291" s="854"/>
      <c r="F291" s="854"/>
      <c r="G291" s="854"/>
      <c r="H291" s="850" t="s">
        <v>724</v>
      </c>
      <c r="I291" s="850" t="s">
        <v>842</v>
      </c>
      <c r="J291" s="850" t="s">
        <v>724</v>
      </c>
    </row>
    <row r="292" spans="2:10" ht="12.75" customHeight="1" x14ac:dyDescent="0.2">
      <c r="B292" s="855"/>
      <c r="C292" s="856"/>
      <c r="D292" s="856"/>
      <c r="E292" s="856"/>
      <c r="F292" s="856"/>
      <c r="G292" s="856"/>
      <c r="H292" s="851"/>
      <c r="I292" s="851"/>
      <c r="J292" s="851"/>
    </row>
    <row r="293" spans="2:10" ht="17.25" customHeight="1" x14ac:dyDescent="0.2">
      <c r="B293" s="78"/>
      <c r="C293" s="79" t="s">
        <v>10</v>
      </c>
      <c r="D293" s="79" t="s">
        <v>11</v>
      </c>
      <c r="E293" s="79" t="s">
        <v>12</v>
      </c>
      <c r="F293" s="81"/>
      <c r="G293" s="80"/>
      <c r="H293" s="851"/>
      <c r="I293" s="851"/>
      <c r="J293" s="851"/>
    </row>
    <row r="294" spans="2:10" ht="20.25" customHeight="1" thickBot="1" x14ac:dyDescent="0.25">
      <c r="B294" s="82"/>
      <c r="C294" s="83"/>
      <c r="D294" s="84"/>
      <c r="E294" s="83" t="s">
        <v>13</v>
      </c>
      <c r="F294" s="86"/>
      <c r="G294" s="307"/>
      <c r="H294" s="852"/>
      <c r="I294" s="852"/>
      <c r="J294" s="852"/>
    </row>
    <row r="295" spans="2:10" ht="16.5" thickTop="1" x14ac:dyDescent="0.25">
      <c r="B295" s="90">
        <v>1</v>
      </c>
      <c r="C295" s="94"/>
      <c r="D295" s="94"/>
      <c r="E295" s="95"/>
      <c r="F295" s="96" t="s">
        <v>89</v>
      </c>
      <c r="G295" s="308"/>
      <c r="H295" s="587">
        <f>H269</f>
        <v>32809868</v>
      </c>
      <c r="I295" s="587">
        <f t="shared" ref="I295" si="60">I269</f>
        <v>-105696</v>
      </c>
      <c r="J295" s="587">
        <f>H295+I295</f>
        <v>32704172</v>
      </c>
    </row>
    <row r="296" spans="2:10" ht="16.5" thickBot="1" x14ac:dyDescent="0.3">
      <c r="B296" s="97">
        <f>B295+1</f>
        <v>2</v>
      </c>
      <c r="C296" s="98"/>
      <c r="D296" s="98"/>
      <c r="E296" s="99"/>
      <c r="F296" s="100" t="s">
        <v>185</v>
      </c>
      <c r="G296" s="309"/>
      <c r="H296" s="588">
        <f>H286</f>
        <v>769745</v>
      </c>
      <c r="I296" s="588">
        <f t="shared" ref="I296" si="61">I286</f>
        <v>16255</v>
      </c>
      <c r="J296" s="588">
        <f>H296+I296</f>
        <v>786000</v>
      </c>
    </row>
    <row r="297" spans="2:10" ht="17.25" thickTop="1" thickBot="1" x14ac:dyDescent="0.3">
      <c r="B297" s="101">
        <f>B296+1</f>
        <v>3</v>
      </c>
      <c r="C297" s="289"/>
      <c r="D297" s="290"/>
      <c r="E297" s="291"/>
      <c r="F297" s="292" t="s">
        <v>186</v>
      </c>
      <c r="G297" s="293"/>
      <c r="H297" s="589">
        <f>H295+H296</f>
        <v>33579613</v>
      </c>
      <c r="I297" s="589">
        <f t="shared" ref="I297:J297" si="62">I295+I296</f>
        <v>-89441</v>
      </c>
      <c r="J297" s="589">
        <f t="shared" si="62"/>
        <v>33490172</v>
      </c>
    </row>
    <row r="298" spans="2:10" x14ac:dyDescent="0.2">
      <c r="F298" s="6"/>
      <c r="G298" s="6"/>
    </row>
  </sheetData>
  <sheetProtection selectLockedCells="1" selectUnlockedCells="1"/>
  <mergeCells count="30">
    <mergeCell ref="I243:I246"/>
    <mergeCell ref="J243:J246"/>
    <mergeCell ref="I272:I275"/>
    <mergeCell ref="J272:J275"/>
    <mergeCell ref="I291:I294"/>
    <mergeCell ref="J291:J294"/>
    <mergeCell ref="B161:G162"/>
    <mergeCell ref="C81:C82"/>
    <mergeCell ref="I3:I6"/>
    <mergeCell ref="J3:J6"/>
    <mergeCell ref="I79:I82"/>
    <mergeCell ref="J79:J82"/>
    <mergeCell ref="I161:I164"/>
    <mergeCell ref="J161:J164"/>
    <mergeCell ref="B2:J2"/>
    <mergeCell ref="H291:H294"/>
    <mergeCell ref="B291:G292"/>
    <mergeCell ref="C163:C164"/>
    <mergeCell ref="B243:G244"/>
    <mergeCell ref="C274:C275"/>
    <mergeCell ref="B272:G273"/>
    <mergeCell ref="H272:H275"/>
    <mergeCell ref="H161:H164"/>
    <mergeCell ref="H3:H6"/>
    <mergeCell ref="H79:H82"/>
    <mergeCell ref="C245:C246"/>
    <mergeCell ref="H243:H246"/>
    <mergeCell ref="C5:C6"/>
    <mergeCell ref="B3:G4"/>
    <mergeCell ref="B79:G80"/>
  </mergeCells>
  <phoneticPr fontId="1" type="noConversion"/>
  <pageMargins left="0.19685039370078741" right="0.19685039370078741" top="0.15748031496062992" bottom="0.15748031496062992" header="0.15748031496062992" footer="0.1574803149606299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740"/>
  <sheetViews>
    <sheetView workbookViewId="0"/>
  </sheetViews>
  <sheetFormatPr defaultRowHeight="12.75" x14ac:dyDescent="0.2"/>
  <cols>
    <col min="1" max="1" width="2.85546875" style="243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32.85546875" customWidth="1"/>
    <col min="8" max="8" width="12.7109375" style="77" customWidth="1"/>
    <col min="9" max="9" width="11.28515625" style="77" customWidth="1"/>
    <col min="10" max="10" width="13.7109375" style="77" customWidth="1"/>
    <col min="11" max="11" width="0.85546875" style="247" customWidth="1"/>
    <col min="12" max="12" width="13.140625" style="77" customWidth="1"/>
    <col min="13" max="13" width="11.85546875" style="77" customWidth="1"/>
    <col min="14" max="14" width="14" style="77" customWidth="1"/>
    <col min="15" max="15" width="0.7109375" style="247" customWidth="1"/>
    <col min="16" max="16" width="12.85546875" style="77" customWidth="1"/>
    <col min="17" max="17" width="12.7109375" customWidth="1"/>
    <col min="18" max="18" width="13.5703125" customWidth="1"/>
  </cols>
  <sheetData>
    <row r="1" spans="1:18" ht="42.75" customHeight="1" thickBot="1" x14ac:dyDescent="0.25">
      <c r="A1" s="17"/>
      <c r="B1" s="866" t="s">
        <v>723</v>
      </c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</row>
    <row r="2" spans="1:18" ht="15" customHeight="1" thickBot="1" x14ac:dyDescent="0.25">
      <c r="B2" s="874" t="s">
        <v>632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6"/>
      <c r="O2" s="787"/>
      <c r="P2" s="867" t="s">
        <v>724</v>
      </c>
      <c r="Q2" s="867" t="s">
        <v>842</v>
      </c>
      <c r="R2" s="867" t="s">
        <v>724</v>
      </c>
    </row>
    <row r="3" spans="1:18" ht="38.25" customHeight="1" thickTop="1" x14ac:dyDescent="0.2">
      <c r="B3" s="523"/>
      <c r="C3" s="863" t="s">
        <v>478</v>
      </c>
      <c r="D3" s="863" t="s">
        <v>477</v>
      </c>
      <c r="E3" s="863" t="s">
        <v>475</v>
      </c>
      <c r="F3" s="863" t="s">
        <v>476</v>
      </c>
      <c r="G3" s="826" t="s">
        <v>3</v>
      </c>
      <c r="H3" s="870" t="s">
        <v>725</v>
      </c>
      <c r="I3" s="870" t="s">
        <v>842</v>
      </c>
      <c r="J3" s="870" t="s">
        <v>725</v>
      </c>
      <c r="K3" s="790"/>
      <c r="L3" s="872" t="s">
        <v>726</v>
      </c>
      <c r="M3" s="872" t="s">
        <v>842</v>
      </c>
      <c r="N3" s="872" t="s">
        <v>726</v>
      </c>
      <c r="O3" s="781"/>
      <c r="P3" s="868"/>
      <c r="Q3" s="868"/>
      <c r="R3" s="868"/>
    </row>
    <row r="4" spans="1:18" ht="31.5" customHeight="1" thickBot="1" x14ac:dyDescent="0.25">
      <c r="B4" s="523"/>
      <c r="C4" s="864"/>
      <c r="D4" s="864"/>
      <c r="E4" s="864"/>
      <c r="F4" s="864"/>
      <c r="G4" s="522"/>
      <c r="H4" s="871"/>
      <c r="I4" s="871"/>
      <c r="J4" s="871"/>
      <c r="K4" s="790"/>
      <c r="L4" s="873"/>
      <c r="M4" s="873"/>
      <c r="N4" s="873"/>
      <c r="O4" s="781"/>
      <c r="P4" s="869"/>
      <c r="Q4" s="869"/>
      <c r="R4" s="869"/>
    </row>
    <row r="5" spans="1:18" ht="21" customHeight="1" thickTop="1" thickBot="1" x14ac:dyDescent="0.25">
      <c r="B5" s="524">
        <v>1</v>
      </c>
      <c r="C5" s="236" t="s">
        <v>204</v>
      </c>
      <c r="D5" s="110"/>
      <c r="E5" s="110"/>
      <c r="F5" s="110"/>
      <c r="G5" s="192"/>
      <c r="H5" s="400">
        <f>H6+H25+H51+H52+H53+H54+H61+H72+H36</f>
        <v>414233</v>
      </c>
      <c r="I5" s="400">
        <f>I6+I25+I36+I51+I52+I53+I54+I61</f>
        <v>-28000</v>
      </c>
      <c r="J5" s="400">
        <f>I5+H5</f>
        <v>386233</v>
      </c>
      <c r="K5" s="794"/>
      <c r="L5" s="525">
        <f>L6+L25+L51+L52+L53+L54+L61+L72+L36</f>
        <v>231937</v>
      </c>
      <c r="M5" s="525">
        <f>M6+M25+M50+M51+M52+M53+M60+M71+M36</f>
        <v>-20000</v>
      </c>
      <c r="N5" s="525">
        <f>L5+M5</f>
        <v>211937</v>
      </c>
      <c r="O5" s="788"/>
      <c r="P5" s="409">
        <f t="shared" ref="P5:P13" si="0">H5+L5</f>
        <v>646170</v>
      </c>
      <c r="Q5" s="777">
        <f>I5+M5</f>
        <v>-48000</v>
      </c>
      <c r="R5" s="777">
        <f>P5+Q5</f>
        <v>598170</v>
      </c>
    </row>
    <row r="6" spans="1:18" ht="15" customHeight="1" thickTop="1" x14ac:dyDescent="0.25">
      <c r="B6" s="172">
        <f t="shared" ref="B6:B51" si="1">B5+1</f>
        <v>2</v>
      </c>
      <c r="C6" s="22">
        <v>1</v>
      </c>
      <c r="D6" s="126" t="s">
        <v>126</v>
      </c>
      <c r="E6" s="280"/>
      <c r="F6" s="280"/>
      <c r="G6" s="281"/>
      <c r="H6" s="521">
        <f>H7+H13+H15+H17+H19</f>
        <v>192870</v>
      </c>
      <c r="I6" s="771">
        <f t="shared" ref="I6" si="2">I7+I13+I15+I17+I19</f>
        <v>0</v>
      </c>
      <c r="J6" s="771">
        <f t="shared" ref="J6:J49" si="3">I6+H6</f>
        <v>192870</v>
      </c>
      <c r="K6" s="791"/>
      <c r="L6" s="366">
        <f>L7+L13+L15+L17+L19</f>
        <v>0</v>
      </c>
      <c r="M6" s="366">
        <f t="shared" ref="M6" si="4">M7+M13+M15+M17+M19</f>
        <v>0</v>
      </c>
      <c r="N6" s="366">
        <f t="shared" ref="N6:N48" si="5">L6+M6</f>
        <v>0</v>
      </c>
      <c r="O6" s="782"/>
      <c r="P6" s="360">
        <f t="shared" si="0"/>
        <v>192870</v>
      </c>
      <c r="Q6" s="360">
        <f t="shared" ref="Q6:Q69" si="6">I6+M6</f>
        <v>0</v>
      </c>
      <c r="R6" s="360">
        <f t="shared" ref="R6:R48" si="7">Q6+P6</f>
        <v>192870</v>
      </c>
    </row>
    <row r="7" spans="1:18" ht="15" customHeight="1" x14ac:dyDescent="0.25">
      <c r="B7" s="172">
        <f t="shared" si="1"/>
        <v>3</v>
      </c>
      <c r="C7" s="75"/>
      <c r="D7" s="514" t="s">
        <v>4</v>
      </c>
      <c r="E7" s="865" t="s">
        <v>95</v>
      </c>
      <c r="F7" s="865"/>
      <c r="G7" s="865"/>
      <c r="H7" s="364">
        <f>SUM(H8:H12)</f>
        <v>14500</v>
      </c>
      <c r="I7" s="364">
        <f t="shared" ref="I7" si="8">SUM(I8:I12)</f>
        <v>0</v>
      </c>
      <c r="J7" s="364">
        <f t="shared" si="3"/>
        <v>14500</v>
      </c>
      <c r="K7" s="792"/>
      <c r="L7" s="367"/>
      <c r="M7" s="367"/>
      <c r="N7" s="367">
        <f t="shared" si="5"/>
        <v>0</v>
      </c>
      <c r="O7" s="478"/>
      <c r="P7" s="211">
        <f t="shared" si="0"/>
        <v>14500</v>
      </c>
      <c r="Q7" s="211">
        <f t="shared" si="6"/>
        <v>0</v>
      </c>
      <c r="R7" s="211">
        <f t="shared" si="7"/>
        <v>14500</v>
      </c>
    </row>
    <row r="8" spans="1:18" s="152" customFormat="1" ht="12" customHeight="1" x14ac:dyDescent="0.2">
      <c r="A8" s="244"/>
      <c r="B8" s="172">
        <f t="shared" si="1"/>
        <v>4</v>
      </c>
      <c r="C8" s="129"/>
      <c r="D8" s="170"/>
      <c r="E8" s="288" t="s">
        <v>671</v>
      </c>
      <c r="F8" s="288" t="s">
        <v>200</v>
      </c>
      <c r="G8" s="539" t="s">
        <v>592</v>
      </c>
      <c r="H8" s="540">
        <v>6000</v>
      </c>
      <c r="I8" s="540">
        <v>3000</v>
      </c>
      <c r="J8" s="540">
        <f t="shared" si="3"/>
        <v>9000</v>
      </c>
      <c r="K8" s="473"/>
      <c r="L8" s="541"/>
      <c r="M8" s="541"/>
      <c r="N8" s="541">
        <f t="shared" si="5"/>
        <v>0</v>
      </c>
      <c r="O8" s="478"/>
      <c r="P8" s="136">
        <f t="shared" si="0"/>
        <v>6000</v>
      </c>
      <c r="Q8" s="136">
        <f t="shared" si="6"/>
        <v>3000</v>
      </c>
      <c r="R8" s="136">
        <f t="shared" si="7"/>
        <v>9000</v>
      </c>
    </row>
    <row r="9" spans="1:18" s="152" customFormat="1" ht="12" customHeight="1" x14ac:dyDescent="0.2">
      <c r="A9" s="244"/>
      <c r="B9" s="172">
        <f t="shared" si="1"/>
        <v>5</v>
      </c>
      <c r="C9" s="129"/>
      <c r="D9" s="170"/>
      <c r="E9" s="288" t="s">
        <v>671</v>
      </c>
      <c r="F9" s="288" t="s">
        <v>201</v>
      </c>
      <c r="G9" s="539" t="s">
        <v>260</v>
      </c>
      <c r="H9" s="540">
        <v>500</v>
      </c>
      <c r="I9" s="540"/>
      <c r="J9" s="540">
        <f t="shared" si="3"/>
        <v>500</v>
      </c>
      <c r="K9" s="473"/>
      <c r="L9" s="541"/>
      <c r="M9" s="541"/>
      <c r="N9" s="541">
        <f t="shared" si="5"/>
        <v>0</v>
      </c>
      <c r="O9" s="478"/>
      <c r="P9" s="136">
        <f t="shared" si="0"/>
        <v>500</v>
      </c>
      <c r="Q9" s="136">
        <f t="shared" si="6"/>
        <v>0</v>
      </c>
      <c r="R9" s="136">
        <f t="shared" si="7"/>
        <v>500</v>
      </c>
    </row>
    <row r="10" spans="1:18" s="152" customFormat="1" ht="12" customHeight="1" x14ac:dyDescent="0.2">
      <c r="A10" s="244"/>
      <c r="B10" s="172">
        <f t="shared" si="1"/>
        <v>6</v>
      </c>
      <c r="C10" s="129"/>
      <c r="D10" s="170"/>
      <c r="E10" s="288" t="s">
        <v>671</v>
      </c>
      <c r="F10" s="288" t="s">
        <v>215</v>
      </c>
      <c r="G10" s="539" t="s">
        <v>347</v>
      </c>
      <c r="H10" s="540">
        <v>500</v>
      </c>
      <c r="I10" s="540"/>
      <c r="J10" s="540">
        <f t="shared" si="3"/>
        <v>500</v>
      </c>
      <c r="K10" s="473"/>
      <c r="L10" s="541"/>
      <c r="M10" s="541"/>
      <c r="N10" s="541">
        <f t="shared" si="5"/>
        <v>0</v>
      </c>
      <c r="O10" s="478"/>
      <c r="P10" s="136">
        <f t="shared" si="0"/>
        <v>500</v>
      </c>
      <c r="Q10" s="136">
        <f t="shared" si="6"/>
        <v>0</v>
      </c>
      <c r="R10" s="136">
        <f t="shared" si="7"/>
        <v>500</v>
      </c>
    </row>
    <row r="11" spans="1:18" s="152" customFormat="1" ht="12" customHeight="1" x14ac:dyDescent="0.2">
      <c r="A11" s="244"/>
      <c r="B11" s="172">
        <f t="shared" si="1"/>
        <v>7</v>
      </c>
      <c r="C11" s="129"/>
      <c r="D11" s="170"/>
      <c r="E11" s="288" t="s">
        <v>671</v>
      </c>
      <c r="F11" s="538">
        <v>637</v>
      </c>
      <c r="G11" s="539" t="s">
        <v>571</v>
      </c>
      <c r="H11" s="540">
        <v>5500</v>
      </c>
      <c r="I11" s="540">
        <v>-3000</v>
      </c>
      <c r="J11" s="540">
        <f t="shared" si="3"/>
        <v>2500</v>
      </c>
      <c r="K11" s="473"/>
      <c r="L11" s="540"/>
      <c r="M11" s="540"/>
      <c r="N11" s="540">
        <f t="shared" si="5"/>
        <v>0</v>
      </c>
      <c r="O11" s="478"/>
      <c r="P11" s="136">
        <f t="shared" si="0"/>
        <v>5500</v>
      </c>
      <c r="Q11" s="136">
        <f t="shared" si="6"/>
        <v>-3000</v>
      </c>
      <c r="R11" s="136">
        <f t="shared" si="7"/>
        <v>2500</v>
      </c>
    </row>
    <row r="12" spans="1:18" s="152" customFormat="1" ht="12" customHeight="1" x14ac:dyDescent="0.2">
      <c r="A12" s="244"/>
      <c r="B12" s="172">
        <f t="shared" si="1"/>
        <v>8</v>
      </c>
      <c r="C12" s="129"/>
      <c r="D12" s="161"/>
      <c r="E12" s="288" t="s">
        <v>671</v>
      </c>
      <c r="F12" s="538">
        <v>631</v>
      </c>
      <c r="G12" s="539" t="s">
        <v>440</v>
      </c>
      <c r="H12" s="540">
        <v>2000</v>
      </c>
      <c r="I12" s="540"/>
      <c r="J12" s="540">
        <f t="shared" si="3"/>
        <v>2000</v>
      </c>
      <c r="K12" s="473"/>
      <c r="L12" s="540"/>
      <c r="M12" s="540"/>
      <c r="N12" s="540">
        <f t="shared" si="5"/>
        <v>0</v>
      </c>
      <c r="O12" s="478"/>
      <c r="P12" s="136">
        <f t="shared" si="0"/>
        <v>2000</v>
      </c>
      <c r="Q12" s="136">
        <f t="shared" si="6"/>
        <v>0</v>
      </c>
      <c r="R12" s="136">
        <f t="shared" si="7"/>
        <v>2000</v>
      </c>
    </row>
    <row r="13" spans="1:18" ht="15" customHeight="1" x14ac:dyDescent="0.25">
      <c r="B13" s="172">
        <f t="shared" si="1"/>
        <v>9</v>
      </c>
      <c r="C13" s="75"/>
      <c r="D13" s="514" t="s">
        <v>5</v>
      </c>
      <c r="E13" s="865" t="s">
        <v>316</v>
      </c>
      <c r="F13" s="865"/>
      <c r="G13" s="865"/>
      <c r="H13" s="364">
        <f>H14</f>
        <v>500</v>
      </c>
      <c r="I13" s="364">
        <f t="shared" ref="I13" si="9">I14</f>
        <v>0</v>
      </c>
      <c r="J13" s="364">
        <f t="shared" si="3"/>
        <v>500</v>
      </c>
      <c r="K13" s="792"/>
      <c r="L13" s="367"/>
      <c r="M13" s="367"/>
      <c r="N13" s="367">
        <f t="shared" si="5"/>
        <v>0</v>
      </c>
      <c r="O13" s="478"/>
      <c r="P13" s="211">
        <f t="shared" si="0"/>
        <v>500</v>
      </c>
      <c r="Q13" s="211">
        <f t="shared" si="6"/>
        <v>0</v>
      </c>
      <c r="R13" s="211">
        <f t="shared" si="7"/>
        <v>500</v>
      </c>
    </row>
    <row r="14" spans="1:18" s="152" customFormat="1" ht="12" customHeight="1" x14ac:dyDescent="0.2">
      <c r="A14" s="244"/>
      <c r="B14" s="172">
        <f t="shared" si="1"/>
        <v>10</v>
      </c>
      <c r="C14" s="129"/>
      <c r="D14" s="170"/>
      <c r="E14" s="288" t="s">
        <v>671</v>
      </c>
      <c r="F14" s="288" t="s">
        <v>200</v>
      </c>
      <c r="G14" s="539" t="s">
        <v>496</v>
      </c>
      <c r="H14" s="540">
        <v>500</v>
      </c>
      <c r="I14" s="540"/>
      <c r="J14" s="540">
        <f t="shared" si="3"/>
        <v>500</v>
      </c>
      <c r="K14" s="473"/>
      <c r="L14" s="541"/>
      <c r="M14" s="541"/>
      <c r="N14" s="541">
        <f t="shared" si="5"/>
        <v>0</v>
      </c>
      <c r="O14" s="478"/>
      <c r="P14" s="136">
        <f t="shared" ref="P14:P45" si="10">H14+L14</f>
        <v>500</v>
      </c>
      <c r="Q14" s="136">
        <f t="shared" si="6"/>
        <v>0</v>
      </c>
      <c r="R14" s="136">
        <f t="shared" si="7"/>
        <v>500</v>
      </c>
    </row>
    <row r="15" spans="1:18" ht="15" customHeight="1" x14ac:dyDescent="0.25">
      <c r="B15" s="172">
        <f t="shared" si="1"/>
        <v>11</v>
      </c>
      <c r="C15" s="76"/>
      <c r="D15" s="514" t="s">
        <v>6</v>
      </c>
      <c r="E15" s="865" t="s">
        <v>117</v>
      </c>
      <c r="F15" s="865"/>
      <c r="G15" s="865"/>
      <c r="H15" s="364">
        <f>H16</f>
        <v>670</v>
      </c>
      <c r="I15" s="364">
        <f t="shared" ref="I15" si="11">I16</f>
        <v>0</v>
      </c>
      <c r="J15" s="364">
        <f t="shared" si="3"/>
        <v>670</v>
      </c>
      <c r="K15" s="792"/>
      <c r="L15" s="367"/>
      <c r="M15" s="367"/>
      <c r="N15" s="367">
        <f t="shared" si="5"/>
        <v>0</v>
      </c>
      <c r="O15" s="478"/>
      <c r="P15" s="211">
        <f t="shared" si="10"/>
        <v>670</v>
      </c>
      <c r="Q15" s="211">
        <f t="shared" si="6"/>
        <v>0</v>
      </c>
      <c r="R15" s="211">
        <f t="shared" si="7"/>
        <v>670</v>
      </c>
    </row>
    <row r="16" spans="1:18" s="132" customFormat="1" ht="12" customHeight="1" x14ac:dyDescent="0.2">
      <c r="A16" s="243"/>
      <c r="B16" s="172">
        <f t="shared" si="1"/>
        <v>12</v>
      </c>
      <c r="C16" s="129"/>
      <c r="D16" s="161"/>
      <c r="E16" s="288" t="s">
        <v>671</v>
      </c>
      <c r="F16" s="288" t="s">
        <v>200</v>
      </c>
      <c r="G16" s="539" t="s">
        <v>496</v>
      </c>
      <c r="H16" s="540">
        <v>670</v>
      </c>
      <c r="I16" s="540"/>
      <c r="J16" s="540">
        <f>I16+H16</f>
        <v>670</v>
      </c>
      <c r="K16" s="473"/>
      <c r="L16" s="541"/>
      <c r="M16" s="541"/>
      <c r="N16" s="541">
        <f t="shared" si="5"/>
        <v>0</v>
      </c>
      <c r="O16" s="478"/>
      <c r="P16" s="136">
        <f t="shared" si="10"/>
        <v>670</v>
      </c>
      <c r="Q16" s="136">
        <f t="shared" si="6"/>
        <v>0</v>
      </c>
      <c r="R16" s="136">
        <f t="shared" si="7"/>
        <v>670</v>
      </c>
    </row>
    <row r="17" spans="1:18" ht="15" customHeight="1" x14ac:dyDescent="0.25">
      <c r="B17" s="172">
        <f t="shared" si="1"/>
        <v>13</v>
      </c>
      <c r="C17" s="76"/>
      <c r="D17" s="514" t="s">
        <v>7</v>
      </c>
      <c r="E17" s="865" t="s">
        <v>166</v>
      </c>
      <c r="F17" s="865"/>
      <c r="G17" s="865"/>
      <c r="H17" s="364">
        <f>H18</f>
        <v>1000</v>
      </c>
      <c r="I17" s="364">
        <f t="shared" ref="I17" si="12">I18</f>
        <v>0</v>
      </c>
      <c r="J17" s="364">
        <f t="shared" si="3"/>
        <v>1000</v>
      </c>
      <c r="K17" s="792"/>
      <c r="L17" s="367"/>
      <c r="M17" s="367"/>
      <c r="N17" s="367">
        <f t="shared" si="5"/>
        <v>0</v>
      </c>
      <c r="O17" s="478"/>
      <c r="P17" s="211">
        <f t="shared" si="10"/>
        <v>1000</v>
      </c>
      <c r="Q17" s="211">
        <f t="shared" si="6"/>
        <v>0</v>
      </c>
      <c r="R17" s="211">
        <f t="shared" si="7"/>
        <v>1000</v>
      </c>
    </row>
    <row r="18" spans="1:18" s="132" customFormat="1" ht="12" customHeight="1" x14ac:dyDescent="0.2">
      <c r="A18" s="243"/>
      <c r="B18" s="172">
        <f t="shared" si="1"/>
        <v>14</v>
      </c>
      <c r="C18" s="134"/>
      <c r="D18" s="170"/>
      <c r="E18" s="288" t="s">
        <v>671</v>
      </c>
      <c r="F18" s="288" t="s">
        <v>216</v>
      </c>
      <c r="G18" s="539" t="s">
        <v>524</v>
      </c>
      <c r="H18" s="540">
        <v>1000</v>
      </c>
      <c r="I18" s="540"/>
      <c r="J18" s="540">
        <f t="shared" si="3"/>
        <v>1000</v>
      </c>
      <c r="K18" s="473"/>
      <c r="L18" s="541"/>
      <c r="M18" s="541"/>
      <c r="N18" s="541">
        <f t="shared" si="5"/>
        <v>0</v>
      </c>
      <c r="O18" s="478"/>
      <c r="P18" s="136">
        <f t="shared" si="10"/>
        <v>1000</v>
      </c>
      <c r="Q18" s="136">
        <f t="shared" si="6"/>
        <v>0</v>
      </c>
      <c r="R18" s="136">
        <f t="shared" si="7"/>
        <v>1000</v>
      </c>
    </row>
    <row r="19" spans="1:18" ht="15" customHeight="1" x14ac:dyDescent="0.25">
      <c r="B19" s="172">
        <f t="shared" si="1"/>
        <v>15</v>
      </c>
      <c r="C19" s="76"/>
      <c r="D19" s="514" t="s">
        <v>8</v>
      </c>
      <c r="E19" s="865" t="s">
        <v>96</v>
      </c>
      <c r="F19" s="865"/>
      <c r="G19" s="865"/>
      <c r="H19" s="364">
        <f>SUM(H20:H24)</f>
        <v>176200</v>
      </c>
      <c r="I19" s="364">
        <f t="shared" ref="I19" si="13">SUM(I20:I24)</f>
        <v>0</v>
      </c>
      <c r="J19" s="364">
        <f t="shared" si="3"/>
        <v>176200</v>
      </c>
      <c r="K19" s="792"/>
      <c r="L19" s="367"/>
      <c r="M19" s="367"/>
      <c r="N19" s="367">
        <f t="shared" si="5"/>
        <v>0</v>
      </c>
      <c r="O19" s="478"/>
      <c r="P19" s="211">
        <f t="shared" si="10"/>
        <v>176200</v>
      </c>
      <c r="Q19" s="211">
        <f t="shared" si="6"/>
        <v>0</v>
      </c>
      <c r="R19" s="211">
        <f t="shared" si="7"/>
        <v>176200</v>
      </c>
    </row>
    <row r="20" spans="1:18" s="152" customFormat="1" ht="12" customHeight="1" x14ac:dyDescent="0.2">
      <c r="A20" s="244"/>
      <c r="B20" s="172">
        <f t="shared" si="1"/>
        <v>16</v>
      </c>
      <c r="C20" s="129"/>
      <c r="D20" s="170"/>
      <c r="E20" s="288" t="s">
        <v>671</v>
      </c>
      <c r="F20" s="288" t="s">
        <v>212</v>
      </c>
      <c r="G20" s="539" t="s">
        <v>240</v>
      </c>
      <c r="H20" s="540">
        <v>36700</v>
      </c>
      <c r="I20" s="540"/>
      <c r="J20" s="540">
        <f t="shared" si="3"/>
        <v>36700</v>
      </c>
      <c r="K20" s="473"/>
      <c r="L20" s="541"/>
      <c r="M20" s="541"/>
      <c r="N20" s="541">
        <f t="shared" si="5"/>
        <v>0</v>
      </c>
      <c r="O20" s="478"/>
      <c r="P20" s="136">
        <f t="shared" si="10"/>
        <v>36700</v>
      </c>
      <c r="Q20" s="136">
        <f t="shared" si="6"/>
        <v>0</v>
      </c>
      <c r="R20" s="136">
        <f t="shared" si="7"/>
        <v>36700</v>
      </c>
    </row>
    <row r="21" spans="1:18" s="152" customFormat="1" ht="12" customHeight="1" x14ac:dyDescent="0.2">
      <c r="A21" s="244"/>
      <c r="B21" s="172">
        <f t="shared" si="1"/>
        <v>17</v>
      </c>
      <c r="C21" s="129"/>
      <c r="D21" s="170"/>
      <c r="E21" s="288" t="s">
        <v>671</v>
      </c>
      <c r="F21" s="288" t="s">
        <v>199</v>
      </c>
      <c r="G21" s="539" t="s">
        <v>438</v>
      </c>
      <c r="H21" s="540">
        <v>14000</v>
      </c>
      <c r="I21" s="540"/>
      <c r="J21" s="540">
        <f t="shared" si="3"/>
        <v>14000</v>
      </c>
      <c r="K21" s="473"/>
      <c r="L21" s="541"/>
      <c r="M21" s="541"/>
      <c r="N21" s="541">
        <f t="shared" si="5"/>
        <v>0</v>
      </c>
      <c r="O21" s="478"/>
      <c r="P21" s="136">
        <f t="shared" si="10"/>
        <v>14000</v>
      </c>
      <c r="Q21" s="136">
        <f t="shared" si="6"/>
        <v>0</v>
      </c>
      <c r="R21" s="136">
        <f t="shared" si="7"/>
        <v>14000</v>
      </c>
    </row>
    <row r="22" spans="1:18" s="152" customFormat="1" ht="12" customHeight="1" x14ac:dyDescent="0.2">
      <c r="A22" s="244"/>
      <c r="B22" s="172">
        <f t="shared" si="1"/>
        <v>18</v>
      </c>
      <c r="C22" s="129"/>
      <c r="D22" s="170"/>
      <c r="E22" s="288" t="s">
        <v>671</v>
      </c>
      <c r="F22" s="288" t="s">
        <v>200</v>
      </c>
      <c r="G22" s="539" t="s">
        <v>668</v>
      </c>
      <c r="H22" s="540">
        <f>200+20000</f>
        <v>20200</v>
      </c>
      <c r="I22" s="540"/>
      <c r="J22" s="540">
        <f t="shared" si="3"/>
        <v>20200</v>
      </c>
      <c r="K22" s="473"/>
      <c r="L22" s="540"/>
      <c r="M22" s="540"/>
      <c r="N22" s="540">
        <f t="shared" si="5"/>
        <v>0</v>
      </c>
      <c r="O22" s="478"/>
      <c r="P22" s="136">
        <f t="shared" si="10"/>
        <v>20200</v>
      </c>
      <c r="Q22" s="136">
        <f t="shared" si="6"/>
        <v>0</v>
      </c>
      <c r="R22" s="136">
        <f t="shared" si="7"/>
        <v>20200</v>
      </c>
    </row>
    <row r="23" spans="1:18" s="152" customFormat="1" ht="12" customHeight="1" x14ac:dyDescent="0.2">
      <c r="A23" s="244"/>
      <c r="B23" s="172">
        <f t="shared" si="1"/>
        <v>19</v>
      </c>
      <c r="C23" s="129"/>
      <c r="D23" s="170"/>
      <c r="E23" s="288" t="s">
        <v>671</v>
      </c>
      <c r="F23" s="288" t="s">
        <v>216</v>
      </c>
      <c r="G23" s="539" t="s">
        <v>439</v>
      </c>
      <c r="H23" s="540">
        <v>105000</v>
      </c>
      <c r="I23" s="540"/>
      <c r="J23" s="540">
        <f t="shared" si="3"/>
        <v>105000</v>
      </c>
      <c r="K23" s="473"/>
      <c r="L23" s="540"/>
      <c r="M23" s="540"/>
      <c r="N23" s="540">
        <f t="shared" si="5"/>
        <v>0</v>
      </c>
      <c r="O23" s="478"/>
      <c r="P23" s="136">
        <f t="shared" si="10"/>
        <v>105000</v>
      </c>
      <c r="Q23" s="136">
        <f t="shared" si="6"/>
        <v>0</v>
      </c>
      <c r="R23" s="136">
        <f t="shared" si="7"/>
        <v>105000</v>
      </c>
    </row>
    <row r="24" spans="1:18" s="152" customFormat="1" ht="12" customHeight="1" x14ac:dyDescent="0.2">
      <c r="A24" s="244"/>
      <c r="B24" s="172">
        <f t="shared" si="1"/>
        <v>20</v>
      </c>
      <c r="C24" s="129"/>
      <c r="D24" s="179"/>
      <c r="E24" s="288" t="s">
        <v>671</v>
      </c>
      <c r="F24" s="288" t="s">
        <v>217</v>
      </c>
      <c r="G24" s="539" t="s">
        <v>268</v>
      </c>
      <c r="H24" s="540">
        <v>300</v>
      </c>
      <c r="I24" s="540"/>
      <c r="J24" s="540">
        <f t="shared" si="3"/>
        <v>300</v>
      </c>
      <c r="K24" s="473"/>
      <c r="L24" s="540"/>
      <c r="M24" s="540"/>
      <c r="N24" s="540">
        <f t="shared" si="5"/>
        <v>0</v>
      </c>
      <c r="O24" s="478"/>
      <c r="P24" s="136">
        <f t="shared" si="10"/>
        <v>300</v>
      </c>
      <c r="Q24" s="136">
        <f t="shared" si="6"/>
        <v>0</v>
      </c>
      <c r="R24" s="136">
        <f t="shared" si="7"/>
        <v>300</v>
      </c>
    </row>
    <row r="25" spans="1:18" ht="15" customHeight="1" x14ac:dyDescent="0.25">
      <c r="B25" s="172">
        <f t="shared" si="1"/>
        <v>21</v>
      </c>
      <c r="C25" s="22">
        <v>2</v>
      </c>
      <c r="D25" s="126" t="s">
        <v>174</v>
      </c>
      <c r="E25" s="23"/>
      <c r="F25" s="23"/>
      <c r="G25" s="193"/>
      <c r="H25" s="405">
        <f>SUM(H26:H35)</f>
        <v>63040</v>
      </c>
      <c r="I25" s="772">
        <f t="shared" ref="I25" si="14">SUM(I26:I35)</f>
        <v>-22949</v>
      </c>
      <c r="J25" s="772">
        <f t="shared" si="3"/>
        <v>40091</v>
      </c>
      <c r="K25" s="791"/>
      <c r="L25" s="368">
        <f>SUM(L33:L35)</f>
        <v>42000</v>
      </c>
      <c r="M25" s="368">
        <f t="shared" ref="M25" si="15">SUM(M33:M35)</f>
        <v>-20000</v>
      </c>
      <c r="N25" s="368">
        <f t="shared" si="5"/>
        <v>22000</v>
      </c>
      <c r="O25" s="782"/>
      <c r="P25" s="361">
        <f t="shared" si="10"/>
        <v>105040</v>
      </c>
      <c r="Q25" s="361">
        <f t="shared" si="6"/>
        <v>-42949</v>
      </c>
      <c r="R25" s="361">
        <f t="shared" si="7"/>
        <v>62091</v>
      </c>
    </row>
    <row r="26" spans="1:18" s="152" customFormat="1" ht="12" customHeight="1" x14ac:dyDescent="0.2">
      <c r="A26" s="244"/>
      <c r="B26" s="172">
        <f t="shared" si="1"/>
        <v>22</v>
      </c>
      <c r="C26" s="129"/>
      <c r="D26" s="129"/>
      <c r="E26" s="538" t="s">
        <v>244</v>
      </c>
      <c r="F26" s="538">
        <v>637</v>
      </c>
      <c r="G26" s="194" t="s">
        <v>242</v>
      </c>
      <c r="H26" s="540">
        <f>35000-2030</f>
        <v>32970</v>
      </c>
      <c r="I26" s="540">
        <v>-22949</v>
      </c>
      <c r="J26" s="540">
        <f t="shared" si="3"/>
        <v>10021</v>
      </c>
      <c r="K26" s="473"/>
      <c r="L26" s="540"/>
      <c r="M26" s="540"/>
      <c r="N26" s="540">
        <f t="shared" si="5"/>
        <v>0</v>
      </c>
      <c r="O26" s="478"/>
      <c r="P26" s="136">
        <f t="shared" si="10"/>
        <v>32970</v>
      </c>
      <c r="Q26" s="136">
        <f t="shared" si="6"/>
        <v>-22949</v>
      </c>
      <c r="R26" s="136">
        <f t="shared" si="7"/>
        <v>10021</v>
      </c>
    </row>
    <row r="27" spans="1:18" s="152" customFormat="1" ht="12" customHeight="1" x14ac:dyDescent="0.2">
      <c r="A27" s="244"/>
      <c r="B27" s="172">
        <f t="shared" si="1"/>
        <v>23</v>
      </c>
      <c r="C27" s="129"/>
      <c r="D27" s="129"/>
      <c r="E27" s="538" t="s">
        <v>244</v>
      </c>
      <c r="F27" s="133">
        <v>635</v>
      </c>
      <c r="G27" s="194" t="s">
        <v>243</v>
      </c>
      <c r="H27" s="540">
        <v>2000</v>
      </c>
      <c r="I27" s="540"/>
      <c r="J27" s="540">
        <f t="shared" si="3"/>
        <v>2000</v>
      </c>
      <c r="K27" s="473"/>
      <c r="L27" s="540"/>
      <c r="M27" s="540"/>
      <c r="N27" s="540">
        <f t="shared" si="5"/>
        <v>0</v>
      </c>
      <c r="O27" s="478"/>
      <c r="P27" s="136">
        <f t="shared" si="10"/>
        <v>2000</v>
      </c>
      <c r="Q27" s="136">
        <f t="shared" si="6"/>
        <v>0</v>
      </c>
      <c r="R27" s="136">
        <f t="shared" si="7"/>
        <v>2000</v>
      </c>
    </row>
    <row r="28" spans="1:18" s="512" customFormat="1" ht="24.75" customHeight="1" x14ac:dyDescent="0.2">
      <c r="A28" s="510"/>
      <c r="B28" s="685">
        <f t="shared" si="1"/>
        <v>24</v>
      </c>
      <c r="C28" s="466"/>
      <c r="D28" s="466"/>
      <c r="E28" s="470" t="s">
        <v>244</v>
      </c>
      <c r="F28" s="463">
        <v>637</v>
      </c>
      <c r="G28" s="511" t="s">
        <v>711</v>
      </c>
      <c r="H28" s="546">
        <v>9000</v>
      </c>
      <c r="I28" s="546"/>
      <c r="J28" s="546">
        <f t="shared" si="3"/>
        <v>9000</v>
      </c>
      <c r="K28" s="795"/>
      <c r="L28" s="477"/>
      <c r="M28" s="477"/>
      <c r="N28" s="477">
        <f t="shared" si="5"/>
        <v>0</v>
      </c>
      <c r="O28" s="775"/>
      <c r="P28" s="677">
        <f t="shared" si="10"/>
        <v>9000</v>
      </c>
      <c r="Q28" s="677">
        <f t="shared" si="6"/>
        <v>0</v>
      </c>
      <c r="R28" s="677">
        <f t="shared" si="7"/>
        <v>9000</v>
      </c>
    </row>
    <row r="29" spans="1:18" s="152" customFormat="1" ht="12" customHeight="1" x14ac:dyDescent="0.2">
      <c r="A29" s="244"/>
      <c r="B29" s="172">
        <f t="shared" si="1"/>
        <v>25</v>
      </c>
      <c r="C29" s="129"/>
      <c r="D29" s="129"/>
      <c r="E29" s="538" t="s">
        <v>244</v>
      </c>
      <c r="F29" s="133">
        <v>637</v>
      </c>
      <c r="G29" s="194" t="s">
        <v>713</v>
      </c>
      <c r="H29" s="540">
        <v>8000</v>
      </c>
      <c r="I29" s="540"/>
      <c r="J29" s="540">
        <f t="shared" si="3"/>
        <v>8000</v>
      </c>
      <c r="K29" s="473"/>
      <c r="L29" s="369"/>
      <c r="M29" s="369"/>
      <c r="N29" s="369">
        <f t="shared" si="5"/>
        <v>0</v>
      </c>
      <c r="O29" s="478"/>
      <c r="P29" s="136">
        <f t="shared" si="10"/>
        <v>8000</v>
      </c>
      <c r="Q29" s="136">
        <f t="shared" si="6"/>
        <v>0</v>
      </c>
      <c r="R29" s="136">
        <f t="shared" si="7"/>
        <v>8000</v>
      </c>
    </row>
    <row r="30" spans="1:18" s="152" customFormat="1" ht="12" customHeight="1" x14ac:dyDescent="0.2">
      <c r="A30" s="244"/>
      <c r="B30" s="172">
        <f t="shared" si="1"/>
        <v>26</v>
      </c>
      <c r="C30" s="129"/>
      <c r="D30" s="161"/>
      <c r="E30" s="538" t="s">
        <v>244</v>
      </c>
      <c r="F30" s="133">
        <v>637</v>
      </c>
      <c r="G30" s="194" t="s">
        <v>710</v>
      </c>
      <c r="H30" s="540">
        <v>9000</v>
      </c>
      <c r="I30" s="540"/>
      <c r="J30" s="540">
        <f t="shared" si="3"/>
        <v>9000</v>
      </c>
      <c r="K30" s="473"/>
      <c r="L30" s="369"/>
      <c r="M30" s="369"/>
      <c r="N30" s="369">
        <f t="shared" si="5"/>
        <v>0</v>
      </c>
      <c r="O30" s="478"/>
      <c r="P30" s="136">
        <f t="shared" si="10"/>
        <v>9000</v>
      </c>
      <c r="Q30" s="136">
        <f t="shared" si="6"/>
        <v>0</v>
      </c>
      <c r="R30" s="136">
        <f t="shared" si="7"/>
        <v>9000</v>
      </c>
    </row>
    <row r="31" spans="1:18" s="152" customFormat="1" ht="12" customHeight="1" x14ac:dyDescent="0.2">
      <c r="A31" s="244"/>
      <c r="B31" s="172">
        <f t="shared" si="1"/>
        <v>27</v>
      </c>
      <c r="C31" s="129"/>
      <c r="D31" s="161"/>
      <c r="E31" s="538" t="s">
        <v>244</v>
      </c>
      <c r="F31" s="133">
        <v>620</v>
      </c>
      <c r="G31" s="194" t="s">
        <v>240</v>
      </c>
      <c r="H31" s="540">
        <v>2030</v>
      </c>
      <c r="I31" s="540"/>
      <c r="J31" s="540">
        <f t="shared" si="3"/>
        <v>2030</v>
      </c>
      <c r="K31" s="473"/>
      <c r="L31" s="369"/>
      <c r="M31" s="369"/>
      <c r="N31" s="369">
        <f t="shared" si="5"/>
        <v>0</v>
      </c>
      <c r="O31" s="478"/>
      <c r="P31" s="136">
        <f t="shared" si="10"/>
        <v>2030</v>
      </c>
      <c r="Q31" s="136">
        <f t="shared" si="6"/>
        <v>0</v>
      </c>
      <c r="R31" s="136">
        <f t="shared" si="7"/>
        <v>2030</v>
      </c>
    </row>
    <row r="32" spans="1:18" s="152" customFormat="1" ht="12" customHeight="1" x14ac:dyDescent="0.2">
      <c r="A32" s="244"/>
      <c r="B32" s="172">
        <f t="shared" si="1"/>
        <v>28</v>
      </c>
      <c r="C32" s="129"/>
      <c r="D32" s="161"/>
      <c r="E32" s="538" t="s">
        <v>244</v>
      </c>
      <c r="F32" s="133">
        <v>637</v>
      </c>
      <c r="G32" s="194" t="s">
        <v>768</v>
      </c>
      <c r="H32" s="540">
        <v>40</v>
      </c>
      <c r="I32" s="540"/>
      <c r="J32" s="540">
        <f t="shared" si="3"/>
        <v>40</v>
      </c>
      <c r="K32" s="473"/>
      <c r="L32" s="369"/>
      <c r="M32" s="369"/>
      <c r="N32" s="369">
        <f t="shared" si="5"/>
        <v>0</v>
      </c>
      <c r="O32" s="478"/>
      <c r="P32" s="136">
        <f t="shared" si="10"/>
        <v>40</v>
      </c>
      <c r="Q32" s="136">
        <f t="shared" si="6"/>
        <v>0</v>
      </c>
      <c r="R32" s="136">
        <f t="shared" si="7"/>
        <v>40</v>
      </c>
    </row>
    <row r="33" spans="1:18" s="152" customFormat="1" ht="12" customHeight="1" x14ac:dyDescent="0.2">
      <c r="A33" s="244"/>
      <c r="B33" s="172">
        <f t="shared" si="1"/>
        <v>29</v>
      </c>
      <c r="C33" s="129"/>
      <c r="D33" s="161"/>
      <c r="E33" s="538" t="s">
        <v>244</v>
      </c>
      <c r="F33" s="133">
        <v>711</v>
      </c>
      <c r="G33" s="194" t="s">
        <v>587</v>
      </c>
      <c r="H33" s="540"/>
      <c r="I33" s="540"/>
      <c r="J33" s="540">
        <f t="shared" si="3"/>
        <v>0</v>
      </c>
      <c r="K33" s="473"/>
      <c r="L33" s="369">
        <v>12000</v>
      </c>
      <c r="M33" s="369"/>
      <c r="N33" s="369">
        <f t="shared" si="5"/>
        <v>12000</v>
      </c>
      <c r="O33" s="478"/>
      <c r="P33" s="136">
        <f t="shared" si="10"/>
        <v>12000</v>
      </c>
      <c r="Q33" s="136">
        <f t="shared" si="6"/>
        <v>0</v>
      </c>
      <c r="R33" s="136">
        <f t="shared" si="7"/>
        <v>12000</v>
      </c>
    </row>
    <row r="34" spans="1:18" s="152" customFormat="1" ht="12" customHeight="1" x14ac:dyDescent="0.2">
      <c r="A34" s="244"/>
      <c r="B34" s="172">
        <f t="shared" si="1"/>
        <v>30</v>
      </c>
      <c r="C34" s="129"/>
      <c r="D34" s="161"/>
      <c r="E34" s="538" t="s">
        <v>244</v>
      </c>
      <c r="F34" s="133">
        <v>711</v>
      </c>
      <c r="G34" s="194" t="s">
        <v>242</v>
      </c>
      <c r="H34" s="540"/>
      <c r="I34" s="540"/>
      <c r="J34" s="540">
        <f t="shared" si="3"/>
        <v>0</v>
      </c>
      <c r="K34" s="473"/>
      <c r="L34" s="369">
        <v>20000</v>
      </c>
      <c r="M34" s="369">
        <v>-20000</v>
      </c>
      <c r="N34" s="369">
        <f t="shared" si="5"/>
        <v>0</v>
      </c>
      <c r="O34" s="478"/>
      <c r="P34" s="136">
        <f t="shared" si="10"/>
        <v>20000</v>
      </c>
      <c r="Q34" s="136">
        <f t="shared" si="6"/>
        <v>-20000</v>
      </c>
      <c r="R34" s="136">
        <f t="shared" si="7"/>
        <v>0</v>
      </c>
    </row>
    <row r="35" spans="1:18" s="152" customFormat="1" ht="12" customHeight="1" x14ac:dyDescent="0.2">
      <c r="A35" s="244"/>
      <c r="B35" s="172">
        <f t="shared" si="1"/>
        <v>31</v>
      </c>
      <c r="C35" s="129"/>
      <c r="D35" s="161"/>
      <c r="E35" s="538" t="s">
        <v>244</v>
      </c>
      <c r="F35" s="133">
        <v>716</v>
      </c>
      <c r="G35" s="194" t="s">
        <v>242</v>
      </c>
      <c r="H35" s="540"/>
      <c r="I35" s="540"/>
      <c r="J35" s="540">
        <f t="shared" si="3"/>
        <v>0</v>
      </c>
      <c r="K35" s="473"/>
      <c r="L35" s="369">
        <v>10000</v>
      </c>
      <c r="M35" s="369"/>
      <c r="N35" s="369">
        <f t="shared" si="5"/>
        <v>10000</v>
      </c>
      <c r="O35" s="478"/>
      <c r="P35" s="136">
        <f t="shared" si="10"/>
        <v>10000</v>
      </c>
      <c r="Q35" s="136">
        <f t="shared" si="6"/>
        <v>0</v>
      </c>
      <c r="R35" s="136">
        <f t="shared" si="7"/>
        <v>10000</v>
      </c>
    </row>
    <row r="36" spans="1:18" s="152" customFormat="1" ht="15" customHeight="1" x14ac:dyDescent="0.25">
      <c r="A36" s="244"/>
      <c r="B36" s="172">
        <f t="shared" si="1"/>
        <v>32</v>
      </c>
      <c r="C36" s="22">
        <v>3</v>
      </c>
      <c r="D36" s="879" t="s">
        <v>419</v>
      </c>
      <c r="E36" s="880"/>
      <c r="F36" s="880"/>
      <c r="G36" s="881"/>
      <c r="H36" s="402">
        <f>SUM(H37:H47)</f>
        <v>62600</v>
      </c>
      <c r="I36" s="404">
        <f t="shared" ref="I36" si="16">SUM(I37:I46)</f>
        <v>-5051</v>
      </c>
      <c r="J36" s="404">
        <f t="shared" si="3"/>
        <v>57549</v>
      </c>
      <c r="K36" s="791"/>
      <c r="L36" s="366">
        <f>SUM(L37:L53)</f>
        <v>189937</v>
      </c>
      <c r="M36" s="366">
        <f>SUM(M37:M52)</f>
        <v>0</v>
      </c>
      <c r="N36" s="366">
        <f t="shared" si="5"/>
        <v>189937</v>
      </c>
      <c r="O36" s="782"/>
      <c r="P36" s="362">
        <f t="shared" si="10"/>
        <v>252537</v>
      </c>
      <c r="Q36" s="848">
        <f t="shared" si="6"/>
        <v>-5051</v>
      </c>
      <c r="R36" s="362">
        <f t="shared" si="7"/>
        <v>247486</v>
      </c>
    </row>
    <row r="37" spans="1:18" s="152" customFormat="1" ht="12" customHeight="1" x14ac:dyDescent="0.2">
      <c r="A37" s="244"/>
      <c r="B37" s="172">
        <f t="shared" si="1"/>
        <v>33</v>
      </c>
      <c r="C37" s="129"/>
      <c r="D37" s="161"/>
      <c r="E37" s="288" t="s">
        <v>671</v>
      </c>
      <c r="F37" s="538">
        <v>637</v>
      </c>
      <c r="G37" s="194" t="s">
        <v>568</v>
      </c>
      <c r="H37" s="540">
        <f>15500-1450</f>
        <v>14050</v>
      </c>
      <c r="I37" s="540">
        <v>-2051</v>
      </c>
      <c r="J37" s="540">
        <f t="shared" si="3"/>
        <v>11999</v>
      </c>
      <c r="K37" s="473"/>
      <c r="L37" s="369"/>
      <c r="M37" s="369"/>
      <c r="N37" s="369">
        <f t="shared" si="5"/>
        <v>0</v>
      </c>
      <c r="O37" s="478"/>
      <c r="P37" s="136">
        <f t="shared" si="10"/>
        <v>14050</v>
      </c>
      <c r="Q37" s="136">
        <f t="shared" si="6"/>
        <v>-2051</v>
      </c>
      <c r="R37" s="136">
        <f t="shared" si="7"/>
        <v>11999</v>
      </c>
    </row>
    <row r="38" spans="1:18" s="152" customFormat="1" ht="12" customHeight="1" x14ac:dyDescent="0.2">
      <c r="A38" s="244"/>
      <c r="B38" s="172">
        <f t="shared" si="1"/>
        <v>34</v>
      </c>
      <c r="C38" s="129"/>
      <c r="D38" s="161"/>
      <c r="E38" s="288" t="s">
        <v>671</v>
      </c>
      <c r="F38" s="133">
        <v>637</v>
      </c>
      <c r="G38" s="194" t="s">
        <v>636</v>
      </c>
      <c r="H38" s="540">
        <f>20000-260-500</f>
        <v>19240</v>
      </c>
      <c r="I38" s="540"/>
      <c r="J38" s="540">
        <f t="shared" si="3"/>
        <v>19240</v>
      </c>
      <c r="K38" s="473"/>
      <c r="L38" s="369"/>
      <c r="M38" s="369"/>
      <c r="N38" s="369">
        <f t="shared" si="5"/>
        <v>0</v>
      </c>
      <c r="O38" s="478"/>
      <c r="P38" s="136">
        <f t="shared" si="10"/>
        <v>19240</v>
      </c>
      <c r="Q38" s="136">
        <f t="shared" si="6"/>
        <v>0</v>
      </c>
      <c r="R38" s="136">
        <f t="shared" si="7"/>
        <v>19240</v>
      </c>
    </row>
    <row r="39" spans="1:18" s="152" customFormat="1" ht="12" customHeight="1" x14ac:dyDescent="0.2">
      <c r="A39" s="244"/>
      <c r="B39" s="172">
        <f t="shared" si="1"/>
        <v>35</v>
      </c>
      <c r="C39" s="129"/>
      <c r="D39" s="161"/>
      <c r="E39" s="288" t="s">
        <v>671</v>
      </c>
      <c r="F39" s="133">
        <v>637</v>
      </c>
      <c r="G39" s="194" t="s">
        <v>585</v>
      </c>
      <c r="H39" s="540">
        <v>800</v>
      </c>
      <c r="I39" s="540"/>
      <c r="J39" s="540">
        <f t="shared" si="3"/>
        <v>800</v>
      </c>
      <c r="K39" s="473"/>
      <c r="L39" s="369"/>
      <c r="M39" s="369"/>
      <c r="N39" s="369">
        <f t="shared" si="5"/>
        <v>0</v>
      </c>
      <c r="O39" s="478"/>
      <c r="P39" s="136">
        <f t="shared" si="10"/>
        <v>800</v>
      </c>
      <c r="Q39" s="136">
        <f t="shared" si="6"/>
        <v>0</v>
      </c>
      <c r="R39" s="136">
        <f t="shared" si="7"/>
        <v>800</v>
      </c>
    </row>
    <row r="40" spans="1:18" s="152" customFormat="1" ht="12" customHeight="1" x14ac:dyDescent="0.2">
      <c r="A40" s="244"/>
      <c r="B40" s="172">
        <f t="shared" si="1"/>
        <v>36</v>
      </c>
      <c r="C40" s="129"/>
      <c r="D40" s="161"/>
      <c r="E40" s="288" t="s">
        <v>671</v>
      </c>
      <c r="F40" s="133">
        <v>637</v>
      </c>
      <c r="G40" s="194" t="s">
        <v>586</v>
      </c>
      <c r="H40" s="540">
        <v>2000</v>
      </c>
      <c r="I40" s="540">
        <v>-1000</v>
      </c>
      <c r="J40" s="540">
        <f t="shared" si="3"/>
        <v>1000</v>
      </c>
      <c r="K40" s="473"/>
      <c r="L40" s="369"/>
      <c r="M40" s="369"/>
      <c r="N40" s="369">
        <f t="shared" si="5"/>
        <v>0</v>
      </c>
      <c r="O40" s="478"/>
      <c r="P40" s="136">
        <f t="shared" si="10"/>
        <v>2000</v>
      </c>
      <c r="Q40" s="136">
        <f t="shared" si="6"/>
        <v>-1000</v>
      </c>
      <c r="R40" s="136">
        <f t="shared" si="7"/>
        <v>1000</v>
      </c>
    </row>
    <row r="41" spans="1:18" s="152" customFormat="1" ht="12" customHeight="1" x14ac:dyDescent="0.2">
      <c r="A41" s="244"/>
      <c r="B41" s="172">
        <f t="shared" si="1"/>
        <v>37</v>
      </c>
      <c r="C41" s="129"/>
      <c r="D41" s="161"/>
      <c r="E41" s="288" t="s">
        <v>671</v>
      </c>
      <c r="F41" s="133">
        <v>633</v>
      </c>
      <c r="G41" s="194" t="s">
        <v>537</v>
      </c>
      <c r="H41" s="540">
        <v>1000</v>
      </c>
      <c r="I41" s="540"/>
      <c r="J41" s="540">
        <f t="shared" si="3"/>
        <v>1000</v>
      </c>
      <c r="K41" s="473"/>
      <c r="L41" s="369"/>
      <c r="M41" s="369"/>
      <c r="N41" s="369">
        <f t="shared" si="5"/>
        <v>0</v>
      </c>
      <c r="O41" s="478"/>
      <c r="P41" s="136">
        <f t="shared" si="10"/>
        <v>1000</v>
      </c>
      <c r="Q41" s="136">
        <f t="shared" si="6"/>
        <v>0</v>
      </c>
      <c r="R41" s="136">
        <f t="shared" si="7"/>
        <v>1000</v>
      </c>
    </row>
    <row r="42" spans="1:18" s="152" customFormat="1" ht="12" customHeight="1" x14ac:dyDescent="0.2">
      <c r="A42" s="244"/>
      <c r="B42" s="172">
        <f t="shared" si="1"/>
        <v>38</v>
      </c>
      <c r="C42" s="129"/>
      <c r="D42" s="161"/>
      <c r="E42" s="288" t="s">
        <v>671</v>
      </c>
      <c r="F42" s="133">
        <v>636</v>
      </c>
      <c r="G42" s="194" t="s">
        <v>635</v>
      </c>
      <c r="H42" s="540">
        <v>2000</v>
      </c>
      <c r="I42" s="540">
        <v>-2000</v>
      </c>
      <c r="J42" s="540">
        <f t="shared" si="3"/>
        <v>0</v>
      </c>
      <c r="K42" s="473"/>
      <c r="L42" s="369"/>
      <c r="M42" s="369"/>
      <c r="N42" s="369">
        <f t="shared" si="5"/>
        <v>0</v>
      </c>
      <c r="O42" s="478"/>
      <c r="P42" s="136">
        <f t="shared" si="10"/>
        <v>2000</v>
      </c>
      <c r="Q42" s="136">
        <f t="shared" si="6"/>
        <v>-2000</v>
      </c>
      <c r="R42" s="136">
        <f t="shared" si="7"/>
        <v>0</v>
      </c>
    </row>
    <row r="43" spans="1:18" s="152" customFormat="1" ht="12" customHeight="1" x14ac:dyDescent="0.2">
      <c r="A43" s="244"/>
      <c r="B43" s="172">
        <f t="shared" si="1"/>
        <v>39</v>
      </c>
      <c r="C43" s="129"/>
      <c r="D43" s="161"/>
      <c r="E43" s="288" t="s">
        <v>671</v>
      </c>
      <c r="F43" s="133">
        <v>631</v>
      </c>
      <c r="G43" s="194" t="s">
        <v>637</v>
      </c>
      <c r="H43" s="540">
        <v>800</v>
      </c>
      <c r="I43" s="540"/>
      <c r="J43" s="540">
        <f t="shared" si="3"/>
        <v>800</v>
      </c>
      <c r="K43" s="473"/>
      <c r="L43" s="369"/>
      <c r="M43" s="369"/>
      <c r="N43" s="369">
        <f t="shared" si="5"/>
        <v>0</v>
      </c>
      <c r="O43" s="478"/>
      <c r="P43" s="136">
        <f t="shared" si="10"/>
        <v>800</v>
      </c>
      <c r="Q43" s="136">
        <f t="shared" si="6"/>
        <v>0</v>
      </c>
      <c r="R43" s="136">
        <f t="shared" si="7"/>
        <v>800</v>
      </c>
    </row>
    <row r="44" spans="1:18" s="152" customFormat="1" ht="12" customHeight="1" x14ac:dyDescent="0.2">
      <c r="A44" s="244"/>
      <c r="B44" s="172">
        <f t="shared" si="1"/>
        <v>40</v>
      </c>
      <c r="C44" s="129"/>
      <c r="D44" s="161"/>
      <c r="E44" s="288" t="s">
        <v>671</v>
      </c>
      <c r="F44" s="133">
        <v>633</v>
      </c>
      <c r="G44" s="194" t="s">
        <v>247</v>
      </c>
      <c r="H44" s="540">
        <v>500</v>
      </c>
      <c r="I44" s="540"/>
      <c r="J44" s="540">
        <f t="shared" si="3"/>
        <v>500</v>
      </c>
      <c r="K44" s="473"/>
      <c r="L44" s="369"/>
      <c r="M44" s="369"/>
      <c r="N44" s="369">
        <f t="shared" si="5"/>
        <v>0</v>
      </c>
      <c r="O44" s="478"/>
      <c r="P44" s="136">
        <f t="shared" si="10"/>
        <v>500</v>
      </c>
      <c r="Q44" s="136">
        <f t="shared" si="6"/>
        <v>0</v>
      </c>
      <c r="R44" s="136">
        <f t="shared" si="7"/>
        <v>500</v>
      </c>
    </row>
    <row r="45" spans="1:18" s="152" customFormat="1" ht="12" customHeight="1" x14ac:dyDescent="0.2">
      <c r="A45" s="244"/>
      <c r="B45" s="172">
        <f t="shared" si="1"/>
        <v>41</v>
      </c>
      <c r="C45" s="129"/>
      <c r="D45" s="161"/>
      <c r="E45" s="288" t="s">
        <v>671</v>
      </c>
      <c r="F45" s="133">
        <v>637</v>
      </c>
      <c r="G45" s="194" t="s">
        <v>684</v>
      </c>
      <c r="H45" s="540">
        <v>20000</v>
      </c>
      <c r="I45" s="540"/>
      <c r="J45" s="540">
        <f t="shared" si="3"/>
        <v>20000</v>
      </c>
      <c r="K45" s="473"/>
      <c r="L45" s="369"/>
      <c r="M45" s="369"/>
      <c r="N45" s="369">
        <f t="shared" si="5"/>
        <v>0</v>
      </c>
      <c r="O45" s="478"/>
      <c r="P45" s="136">
        <f t="shared" si="10"/>
        <v>20000</v>
      </c>
      <c r="Q45" s="136">
        <f t="shared" si="6"/>
        <v>0</v>
      </c>
      <c r="R45" s="136">
        <f t="shared" si="7"/>
        <v>20000</v>
      </c>
    </row>
    <row r="46" spans="1:18" s="152" customFormat="1" ht="12" customHeight="1" x14ac:dyDescent="0.2">
      <c r="A46" s="244"/>
      <c r="B46" s="172">
        <f t="shared" si="1"/>
        <v>42</v>
      </c>
      <c r="C46" s="129"/>
      <c r="D46" s="161"/>
      <c r="E46" s="288" t="s">
        <v>671</v>
      </c>
      <c r="F46" s="133">
        <v>620</v>
      </c>
      <c r="G46" s="194" t="s">
        <v>240</v>
      </c>
      <c r="H46" s="540">
        <v>1710</v>
      </c>
      <c r="I46" s="540"/>
      <c r="J46" s="540">
        <f t="shared" si="3"/>
        <v>1710</v>
      </c>
      <c r="K46" s="473"/>
      <c r="L46" s="369"/>
      <c r="M46" s="369"/>
      <c r="N46" s="369">
        <f t="shared" si="5"/>
        <v>0</v>
      </c>
      <c r="O46" s="478"/>
      <c r="P46" s="136">
        <f t="shared" ref="P46:P72" si="17">H46+L46</f>
        <v>1710</v>
      </c>
      <c r="Q46" s="136">
        <f t="shared" si="6"/>
        <v>0</v>
      </c>
      <c r="R46" s="136">
        <f t="shared" si="7"/>
        <v>1710</v>
      </c>
    </row>
    <row r="47" spans="1:18" s="152" customFormat="1" ht="12" customHeight="1" x14ac:dyDescent="0.2">
      <c r="A47" s="244"/>
      <c r="B47" s="172">
        <f t="shared" si="1"/>
        <v>43</v>
      </c>
      <c r="C47" s="129"/>
      <c r="D47" s="161"/>
      <c r="E47" s="288" t="s">
        <v>671</v>
      </c>
      <c r="F47" s="133">
        <v>620</v>
      </c>
      <c r="G47" s="194" t="s">
        <v>822</v>
      </c>
      <c r="H47" s="540">
        <v>500</v>
      </c>
      <c r="I47" s="540"/>
      <c r="J47" s="540">
        <f t="shared" si="3"/>
        <v>500</v>
      </c>
      <c r="K47" s="473"/>
      <c r="L47" s="369"/>
      <c r="M47" s="369"/>
      <c r="N47" s="369">
        <f t="shared" si="5"/>
        <v>0</v>
      </c>
      <c r="O47" s="478"/>
      <c r="P47" s="136">
        <f t="shared" si="17"/>
        <v>500</v>
      </c>
      <c r="Q47" s="136">
        <f t="shared" si="6"/>
        <v>0</v>
      </c>
      <c r="R47" s="136">
        <f t="shared" si="7"/>
        <v>500</v>
      </c>
    </row>
    <row r="48" spans="1:18" s="152" customFormat="1" ht="12" customHeight="1" x14ac:dyDescent="0.2">
      <c r="A48" s="244"/>
      <c r="B48" s="172">
        <f t="shared" si="1"/>
        <v>44</v>
      </c>
      <c r="C48" s="129"/>
      <c r="D48" s="161"/>
      <c r="E48" s="288" t="s">
        <v>671</v>
      </c>
      <c r="F48" s="538">
        <v>716</v>
      </c>
      <c r="G48" s="194" t="s">
        <v>703</v>
      </c>
      <c r="H48" s="540"/>
      <c r="I48" s="540"/>
      <c r="J48" s="540">
        <f t="shared" si="3"/>
        <v>0</v>
      </c>
      <c r="K48" s="473"/>
      <c r="L48" s="369">
        <f>50000-15000-2063</f>
        <v>32937</v>
      </c>
      <c r="M48" s="369"/>
      <c r="N48" s="369">
        <f t="shared" si="5"/>
        <v>32937</v>
      </c>
      <c r="O48" s="478"/>
      <c r="P48" s="136">
        <f t="shared" si="17"/>
        <v>32937</v>
      </c>
      <c r="Q48" s="136">
        <f t="shared" si="6"/>
        <v>0</v>
      </c>
      <c r="R48" s="136">
        <f t="shared" si="7"/>
        <v>32937</v>
      </c>
    </row>
    <row r="49" spans="1:18" s="152" customFormat="1" ht="12" customHeight="1" x14ac:dyDescent="0.2">
      <c r="A49" s="244"/>
      <c r="B49" s="172">
        <f t="shared" si="1"/>
        <v>45</v>
      </c>
      <c r="C49" s="129"/>
      <c r="D49" s="161"/>
      <c r="E49" s="288" t="s">
        <v>671</v>
      </c>
      <c r="F49" s="538">
        <v>717</v>
      </c>
      <c r="G49" s="194" t="s">
        <v>638</v>
      </c>
      <c r="H49" s="540"/>
      <c r="I49" s="540"/>
      <c r="J49" s="540">
        <f t="shared" si="3"/>
        <v>0</v>
      </c>
      <c r="K49" s="473"/>
      <c r="L49" s="369">
        <v>150000</v>
      </c>
      <c r="M49" s="369"/>
      <c r="N49" s="369">
        <f t="shared" ref="N49:N72" si="18">L49+M49</f>
        <v>150000</v>
      </c>
      <c r="O49" s="478"/>
      <c r="P49" s="136">
        <f t="shared" si="17"/>
        <v>150000</v>
      </c>
      <c r="Q49" s="136">
        <f t="shared" si="6"/>
        <v>0</v>
      </c>
      <c r="R49" s="136">
        <f t="shared" ref="R49:R72" si="19">Q49+P49</f>
        <v>150000</v>
      </c>
    </row>
    <row r="50" spans="1:18" s="152" customFormat="1" ht="12" customHeight="1" x14ac:dyDescent="0.2">
      <c r="A50" s="244"/>
      <c r="B50" s="172">
        <f t="shared" si="1"/>
        <v>46</v>
      </c>
      <c r="C50" s="129"/>
      <c r="D50" s="161"/>
      <c r="E50" s="288" t="s">
        <v>671</v>
      </c>
      <c r="F50" s="133">
        <v>717</v>
      </c>
      <c r="G50" s="194" t="s">
        <v>639</v>
      </c>
      <c r="H50" s="540"/>
      <c r="I50" s="540"/>
      <c r="J50" s="540">
        <f t="shared" ref="J50" si="20">I50+H50</f>
        <v>0</v>
      </c>
      <c r="K50" s="473"/>
      <c r="L50" s="369">
        <v>7000</v>
      </c>
      <c r="M50" s="369"/>
      <c r="N50" s="369">
        <f t="shared" si="18"/>
        <v>7000</v>
      </c>
      <c r="O50" s="478"/>
      <c r="P50" s="136">
        <f t="shared" si="17"/>
        <v>7000</v>
      </c>
      <c r="Q50" s="136">
        <f t="shared" si="6"/>
        <v>0</v>
      </c>
      <c r="R50" s="136">
        <f t="shared" si="19"/>
        <v>7000</v>
      </c>
    </row>
    <row r="51" spans="1:18" ht="15" customHeight="1" x14ac:dyDescent="0.25">
      <c r="B51" s="172">
        <f t="shared" si="1"/>
        <v>47</v>
      </c>
      <c r="C51" s="20">
        <v>4</v>
      </c>
      <c r="D51" s="125" t="s">
        <v>127</v>
      </c>
      <c r="E51" s="125"/>
      <c r="F51" s="21"/>
      <c r="G51" s="195"/>
      <c r="H51" s="402">
        <v>0</v>
      </c>
      <c r="I51" s="404">
        <v>0</v>
      </c>
      <c r="J51" s="404">
        <f t="shared" ref="J51:J72" si="21">I51+H51</f>
        <v>0</v>
      </c>
      <c r="K51" s="791"/>
      <c r="L51" s="366">
        <v>0</v>
      </c>
      <c r="M51" s="366">
        <v>0</v>
      </c>
      <c r="N51" s="366">
        <f t="shared" si="18"/>
        <v>0</v>
      </c>
      <c r="O51" s="782"/>
      <c r="P51" s="361">
        <f t="shared" si="17"/>
        <v>0</v>
      </c>
      <c r="Q51" s="361">
        <f t="shared" si="6"/>
        <v>0</v>
      </c>
      <c r="R51" s="361">
        <f t="shared" si="19"/>
        <v>0</v>
      </c>
    </row>
    <row r="52" spans="1:18" ht="15" customHeight="1" x14ac:dyDescent="0.25">
      <c r="B52" s="172">
        <f t="shared" ref="B52:B72" si="22">B51+1</f>
        <v>48</v>
      </c>
      <c r="C52" s="20">
        <v>5</v>
      </c>
      <c r="D52" s="616" t="s">
        <v>442</v>
      </c>
      <c r="E52" s="125"/>
      <c r="F52" s="21"/>
      <c r="G52" s="195"/>
      <c r="H52" s="402">
        <v>0</v>
      </c>
      <c r="I52" s="404">
        <v>0</v>
      </c>
      <c r="J52" s="404">
        <f t="shared" si="21"/>
        <v>0</v>
      </c>
      <c r="K52" s="791"/>
      <c r="L52" s="366">
        <v>0</v>
      </c>
      <c r="M52" s="366">
        <v>0</v>
      </c>
      <c r="N52" s="366">
        <f t="shared" si="18"/>
        <v>0</v>
      </c>
      <c r="O52" s="782"/>
      <c r="P52" s="361">
        <f t="shared" si="17"/>
        <v>0</v>
      </c>
      <c r="Q52" s="361">
        <f t="shared" si="6"/>
        <v>0</v>
      </c>
      <c r="R52" s="361">
        <f t="shared" si="19"/>
        <v>0</v>
      </c>
    </row>
    <row r="53" spans="1:18" ht="15" customHeight="1" x14ac:dyDescent="0.25">
      <c r="B53" s="172">
        <f t="shared" si="22"/>
        <v>49</v>
      </c>
      <c r="C53" s="20">
        <v>6</v>
      </c>
      <c r="D53" s="125" t="s">
        <v>128</v>
      </c>
      <c r="E53" s="125"/>
      <c r="F53" s="21"/>
      <c r="G53" s="195"/>
      <c r="H53" s="402">
        <v>0</v>
      </c>
      <c r="I53" s="404">
        <v>0</v>
      </c>
      <c r="J53" s="404">
        <f t="shared" si="21"/>
        <v>0</v>
      </c>
      <c r="K53" s="791"/>
      <c r="L53" s="366">
        <v>0</v>
      </c>
      <c r="M53" s="366">
        <v>0</v>
      </c>
      <c r="N53" s="366">
        <f t="shared" si="18"/>
        <v>0</v>
      </c>
      <c r="O53" s="782"/>
      <c r="P53" s="361">
        <f t="shared" si="17"/>
        <v>0</v>
      </c>
      <c r="Q53" s="361">
        <f t="shared" si="6"/>
        <v>0</v>
      </c>
      <c r="R53" s="361">
        <f t="shared" si="19"/>
        <v>0</v>
      </c>
    </row>
    <row r="54" spans="1:18" ht="15" customHeight="1" x14ac:dyDescent="0.25">
      <c r="B54" s="172">
        <f t="shared" si="22"/>
        <v>50</v>
      </c>
      <c r="C54" s="20">
        <v>7</v>
      </c>
      <c r="D54" s="125" t="s">
        <v>483</v>
      </c>
      <c r="E54" s="125"/>
      <c r="F54" s="21"/>
      <c r="G54" s="195"/>
      <c r="H54" s="402">
        <f>SUM(H55:H60)</f>
        <v>65600</v>
      </c>
      <c r="I54" s="404">
        <f t="shared" ref="I54" si="23">SUM(I55:I60)</f>
        <v>0</v>
      </c>
      <c r="J54" s="404">
        <f t="shared" si="21"/>
        <v>65600</v>
      </c>
      <c r="K54" s="791"/>
      <c r="L54" s="366">
        <v>0</v>
      </c>
      <c r="M54" s="366">
        <v>0</v>
      </c>
      <c r="N54" s="366">
        <f t="shared" si="18"/>
        <v>0</v>
      </c>
      <c r="O54" s="782"/>
      <c r="P54" s="361">
        <f t="shared" si="17"/>
        <v>65600</v>
      </c>
      <c r="Q54" s="361">
        <f t="shared" si="6"/>
        <v>0</v>
      </c>
      <c r="R54" s="361">
        <f t="shared" si="19"/>
        <v>65600</v>
      </c>
    </row>
    <row r="55" spans="1:18" s="132" customFormat="1" ht="12" customHeight="1" x14ac:dyDescent="0.2">
      <c r="A55" s="243"/>
      <c r="B55" s="172">
        <f t="shared" si="22"/>
        <v>51</v>
      </c>
      <c r="C55" s="129"/>
      <c r="D55" s="129"/>
      <c r="E55" s="538" t="s">
        <v>281</v>
      </c>
      <c r="F55" s="538">
        <v>637</v>
      </c>
      <c r="G55" s="194" t="s">
        <v>630</v>
      </c>
      <c r="H55" s="540">
        <v>8500</v>
      </c>
      <c r="I55" s="540"/>
      <c r="J55" s="540">
        <f t="shared" si="21"/>
        <v>8500</v>
      </c>
      <c r="K55" s="473"/>
      <c r="L55" s="541"/>
      <c r="M55" s="541"/>
      <c r="N55" s="541">
        <f t="shared" si="18"/>
        <v>0</v>
      </c>
      <c r="O55" s="478"/>
      <c r="P55" s="542">
        <f t="shared" si="17"/>
        <v>8500</v>
      </c>
      <c r="Q55" s="542">
        <f t="shared" si="6"/>
        <v>0</v>
      </c>
      <c r="R55" s="542">
        <f t="shared" si="19"/>
        <v>8500</v>
      </c>
    </row>
    <row r="56" spans="1:18" s="132" customFormat="1" ht="12" customHeight="1" x14ac:dyDescent="0.2">
      <c r="A56" s="243"/>
      <c r="B56" s="172">
        <f t="shared" si="22"/>
        <v>52</v>
      </c>
      <c r="C56" s="129"/>
      <c r="D56" s="129"/>
      <c r="E56" s="538" t="s">
        <v>281</v>
      </c>
      <c r="F56" s="133">
        <v>637</v>
      </c>
      <c r="G56" s="194" t="s">
        <v>564</v>
      </c>
      <c r="H56" s="540">
        <v>20000</v>
      </c>
      <c r="I56" s="540"/>
      <c r="J56" s="540">
        <f t="shared" si="21"/>
        <v>20000</v>
      </c>
      <c r="K56" s="473"/>
      <c r="L56" s="541"/>
      <c r="M56" s="541"/>
      <c r="N56" s="541">
        <f t="shared" si="18"/>
        <v>0</v>
      </c>
      <c r="O56" s="478"/>
      <c r="P56" s="542">
        <f t="shared" si="17"/>
        <v>20000</v>
      </c>
      <c r="Q56" s="542">
        <f t="shared" si="6"/>
        <v>0</v>
      </c>
      <c r="R56" s="542">
        <f t="shared" si="19"/>
        <v>20000</v>
      </c>
    </row>
    <row r="57" spans="1:18" s="132" customFormat="1" ht="12" customHeight="1" x14ac:dyDescent="0.2">
      <c r="A57" s="243"/>
      <c r="B57" s="172">
        <f t="shared" si="22"/>
        <v>53</v>
      </c>
      <c r="C57" s="129"/>
      <c r="D57" s="129"/>
      <c r="E57" s="538" t="s">
        <v>281</v>
      </c>
      <c r="F57" s="133">
        <v>620</v>
      </c>
      <c r="G57" s="194" t="s">
        <v>629</v>
      </c>
      <c r="H57" s="540">
        <v>5600</v>
      </c>
      <c r="I57" s="540"/>
      <c r="J57" s="540">
        <f t="shared" si="21"/>
        <v>5600</v>
      </c>
      <c r="K57" s="473"/>
      <c r="L57" s="541"/>
      <c r="M57" s="541"/>
      <c r="N57" s="541">
        <f t="shared" si="18"/>
        <v>0</v>
      </c>
      <c r="O57" s="478"/>
      <c r="P57" s="542">
        <f t="shared" si="17"/>
        <v>5600</v>
      </c>
      <c r="Q57" s="542">
        <f t="shared" si="6"/>
        <v>0</v>
      </c>
      <c r="R57" s="542">
        <f t="shared" si="19"/>
        <v>5600</v>
      </c>
    </row>
    <row r="58" spans="1:18" s="132" customFormat="1" ht="12" customHeight="1" x14ac:dyDescent="0.2">
      <c r="A58" s="243"/>
      <c r="B58" s="172">
        <f t="shared" si="22"/>
        <v>54</v>
      </c>
      <c r="C58" s="129"/>
      <c r="D58" s="129"/>
      <c r="E58" s="538" t="s">
        <v>281</v>
      </c>
      <c r="F58" s="133">
        <v>633</v>
      </c>
      <c r="G58" s="194" t="s">
        <v>497</v>
      </c>
      <c r="H58" s="540">
        <v>5500</v>
      </c>
      <c r="I58" s="540"/>
      <c r="J58" s="540">
        <f t="shared" si="21"/>
        <v>5500</v>
      </c>
      <c r="K58" s="473"/>
      <c r="L58" s="541"/>
      <c r="M58" s="541"/>
      <c r="N58" s="541">
        <f t="shared" si="18"/>
        <v>0</v>
      </c>
      <c r="O58" s="478"/>
      <c r="P58" s="542">
        <f t="shared" si="17"/>
        <v>5500</v>
      </c>
      <c r="Q58" s="542">
        <f t="shared" si="6"/>
        <v>0</v>
      </c>
      <c r="R58" s="542">
        <f t="shared" si="19"/>
        <v>5500</v>
      </c>
    </row>
    <row r="59" spans="1:18" s="132" customFormat="1" ht="12" customHeight="1" x14ac:dyDescent="0.2">
      <c r="A59" s="243"/>
      <c r="B59" s="172">
        <f t="shared" si="22"/>
        <v>55</v>
      </c>
      <c r="C59" s="129"/>
      <c r="D59" s="129"/>
      <c r="E59" s="538" t="s">
        <v>281</v>
      </c>
      <c r="F59" s="133">
        <v>632</v>
      </c>
      <c r="G59" s="194" t="s">
        <v>282</v>
      </c>
      <c r="H59" s="540">
        <v>20000</v>
      </c>
      <c r="I59" s="540"/>
      <c r="J59" s="540">
        <f t="shared" si="21"/>
        <v>20000</v>
      </c>
      <c r="K59" s="473"/>
      <c r="L59" s="541"/>
      <c r="M59" s="541"/>
      <c r="N59" s="541">
        <f t="shared" si="18"/>
        <v>0</v>
      </c>
      <c r="O59" s="478"/>
      <c r="P59" s="542">
        <f t="shared" si="17"/>
        <v>20000</v>
      </c>
      <c r="Q59" s="542">
        <f t="shared" si="6"/>
        <v>0</v>
      </c>
      <c r="R59" s="542">
        <f t="shared" si="19"/>
        <v>20000</v>
      </c>
    </row>
    <row r="60" spans="1:18" s="132" customFormat="1" ht="12" customHeight="1" x14ac:dyDescent="0.2">
      <c r="A60" s="243"/>
      <c r="B60" s="172">
        <f t="shared" si="22"/>
        <v>56</v>
      </c>
      <c r="C60" s="129"/>
      <c r="D60" s="161"/>
      <c r="E60" s="538" t="s">
        <v>281</v>
      </c>
      <c r="F60" s="538">
        <v>637</v>
      </c>
      <c r="G60" s="194" t="s">
        <v>714</v>
      </c>
      <c r="H60" s="540">
        <v>6000</v>
      </c>
      <c r="I60" s="540"/>
      <c r="J60" s="540">
        <f t="shared" si="21"/>
        <v>6000</v>
      </c>
      <c r="K60" s="473"/>
      <c r="L60" s="541"/>
      <c r="M60" s="541"/>
      <c r="N60" s="541">
        <f t="shared" si="18"/>
        <v>0</v>
      </c>
      <c r="O60" s="478"/>
      <c r="P60" s="542">
        <f t="shared" si="17"/>
        <v>6000</v>
      </c>
      <c r="Q60" s="542">
        <f t="shared" si="6"/>
        <v>0</v>
      </c>
      <c r="R60" s="542">
        <f t="shared" si="19"/>
        <v>6000</v>
      </c>
    </row>
    <row r="61" spans="1:18" ht="15" customHeight="1" x14ac:dyDescent="0.25">
      <c r="B61" s="172">
        <f t="shared" si="22"/>
        <v>57</v>
      </c>
      <c r="C61" s="20">
        <v>8</v>
      </c>
      <c r="D61" s="125" t="s">
        <v>484</v>
      </c>
      <c r="E61" s="21"/>
      <c r="F61" s="21"/>
      <c r="G61" s="195"/>
      <c r="H61" s="402">
        <f>H62</f>
        <v>15230</v>
      </c>
      <c r="I61" s="404">
        <f t="shared" ref="I61" si="24">I62</f>
        <v>0</v>
      </c>
      <c r="J61" s="404">
        <f t="shared" si="21"/>
        <v>15230</v>
      </c>
      <c r="K61" s="791"/>
      <c r="L61" s="368">
        <v>0</v>
      </c>
      <c r="M61" s="368">
        <v>0</v>
      </c>
      <c r="N61" s="368">
        <f t="shared" si="18"/>
        <v>0</v>
      </c>
      <c r="O61" s="782"/>
      <c r="P61" s="361">
        <f t="shared" si="17"/>
        <v>15230</v>
      </c>
      <c r="Q61" s="361">
        <f t="shared" si="6"/>
        <v>0</v>
      </c>
      <c r="R61" s="361">
        <f t="shared" si="19"/>
        <v>15230</v>
      </c>
    </row>
    <row r="62" spans="1:18" s="132" customFormat="1" ht="12" customHeight="1" x14ac:dyDescent="0.2">
      <c r="A62" s="243"/>
      <c r="B62" s="172">
        <f t="shared" si="22"/>
        <v>58</v>
      </c>
      <c r="C62" s="129"/>
      <c r="D62" s="129"/>
      <c r="E62" s="538" t="s">
        <v>277</v>
      </c>
      <c r="F62" s="538">
        <v>642</v>
      </c>
      <c r="G62" s="194" t="s">
        <v>301</v>
      </c>
      <c r="H62" s="540">
        <f>SUM(H63:H71)</f>
        <v>15230</v>
      </c>
      <c r="I62" s="540">
        <f t="shared" ref="I62" si="25">SUM(I63:I71)</f>
        <v>0</v>
      </c>
      <c r="J62" s="540">
        <f t="shared" si="21"/>
        <v>15230</v>
      </c>
      <c r="K62" s="473"/>
      <c r="L62" s="370"/>
      <c r="M62" s="370"/>
      <c r="N62" s="370">
        <f t="shared" si="18"/>
        <v>0</v>
      </c>
      <c r="O62" s="335"/>
      <c r="P62" s="542">
        <f t="shared" si="17"/>
        <v>15230</v>
      </c>
      <c r="Q62" s="542">
        <f t="shared" si="6"/>
        <v>0</v>
      </c>
      <c r="R62" s="542">
        <f t="shared" si="19"/>
        <v>15230</v>
      </c>
    </row>
    <row r="63" spans="1:18" s="132" customFormat="1" ht="12" customHeight="1" x14ac:dyDescent="0.2">
      <c r="A63" s="243"/>
      <c r="B63" s="172">
        <f t="shared" si="22"/>
        <v>59</v>
      </c>
      <c r="C63" s="129"/>
      <c r="D63" s="129"/>
      <c r="E63" s="538"/>
      <c r="F63" s="538"/>
      <c r="G63" s="194" t="s">
        <v>479</v>
      </c>
      <c r="H63" s="540">
        <v>500</v>
      </c>
      <c r="I63" s="540"/>
      <c r="J63" s="540">
        <f t="shared" si="21"/>
        <v>500</v>
      </c>
      <c r="K63" s="473"/>
      <c r="L63" s="370"/>
      <c r="M63" s="370"/>
      <c r="N63" s="370">
        <f t="shared" si="18"/>
        <v>0</v>
      </c>
      <c r="O63" s="335"/>
      <c r="P63" s="542">
        <f t="shared" si="17"/>
        <v>500</v>
      </c>
      <c r="Q63" s="542">
        <f t="shared" si="6"/>
        <v>0</v>
      </c>
      <c r="R63" s="542">
        <f t="shared" si="19"/>
        <v>500</v>
      </c>
    </row>
    <row r="64" spans="1:18" s="132" customFormat="1" ht="12" customHeight="1" x14ac:dyDescent="0.2">
      <c r="A64" s="243"/>
      <c r="B64" s="172">
        <f t="shared" si="22"/>
        <v>60</v>
      </c>
      <c r="C64" s="129"/>
      <c r="D64" s="129"/>
      <c r="E64" s="538"/>
      <c r="F64" s="538"/>
      <c r="G64" s="194" t="s">
        <v>293</v>
      </c>
      <c r="H64" s="540">
        <v>150</v>
      </c>
      <c r="I64" s="540"/>
      <c r="J64" s="540">
        <f t="shared" si="21"/>
        <v>150</v>
      </c>
      <c r="K64" s="473"/>
      <c r="L64" s="370"/>
      <c r="M64" s="370"/>
      <c r="N64" s="370">
        <f t="shared" si="18"/>
        <v>0</v>
      </c>
      <c r="O64" s="335"/>
      <c r="P64" s="542">
        <f t="shared" si="17"/>
        <v>150</v>
      </c>
      <c r="Q64" s="542">
        <f t="shared" si="6"/>
        <v>0</v>
      </c>
      <c r="R64" s="542">
        <f t="shared" si="19"/>
        <v>150</v>
      </c>
    </row>
    <row r="65" spans="1:18" s="132" customFormat="1" ht="12" customHeight="1" x14ac:dyDescent="0.2">
      <c r="A65" s="243"/>
      <c r="B65" s="172">
        <f t="shared" si="22"/>
        <v>61</v>
      </c>
      <c r="C65" s="129"/>
      <c r="D65" s="129"/>
      <c r="E65" s="538"/>
      <c r="F65" s="538"/>
      <c r="G65" s="194" t="s">
        <v>294</v>
      </c>
      <c r="H65" s="540">
        <v>5600</v>
      </c>
      <c r="I65" s="540"/>
      <c r="J65" s="540">
        <f t="shared" si="21"/>
        <v>5600</v>
      </c>
      <c r="K65" s="473"/>
      <c r="L65" s="370"/>
      <c r="M65" s="370"/>
      <c r="N65" s="370">
        <f t="shared" si="18"/>
        <v>0</v>
      </c>
      <c r="O65" s="335"/>
      <c r="P65" s="542">
        <f t="shared" si="17"/>
        <v>5600</v>
      </c>
      <c r="Q65" s="542">
        <f t="shared" si="6"/>
        <v>0</v>
      </c>
      <c r="R65" s="542">
        <f t="shared" si="19"/>
        <v>5600</v>
      </c>
    </row>
    <row r="66" spans="1:18" s="132" customFormat="1" ht="12" customHeight="1" x14ac:dyDescent="0.2">
      <c r="A66" s="243"/>
      <c r="B66" s="172">
        <f t="shared" si="22"/>
        <v>62</v>
      </c>
      <c r="C66" s="129"/>
      <c r="D66" s="129"/>
      <c r="E66" s="538"/>
      <c r="F66" s="538"/>
      <c r="G66" s="194" t="s">
        <v>420</v>
      </c>
      <c r="H66" s="540">
        <v>150</v>
      </c>
      <c r="I66" s="540"/>
      <c r="J66" s="540">
        <f t="shared" si="21"/>
        <v>150</v>
      </c>
      <c r="K66" s="473"/>
      <c r="L66" s="370"/>
      <c r="M66" s="370"/>
      <c r="N66" s="370">
        <f t="shared" si="18"/>
        <v>0</v>
      </c>
      <c r="O66" s="335"/>
      <c r="P66" s="542">
        <f t="shared" si="17"/>
        <v>150</v>
      </c>
      <c r="Q66" s="542">
        <f t="shared" si="6"/>
        <v>0</v>
      </c>
      <c r="R66" s="542">
        <f t="shared" si="19"/>
        <v>150</v>
      </c>
    </row>
    <row r="67" spans="1:18" s="132" customFormat="1" ht="12" customHeight="1" x14ac:dyDescent="0.2">
      <c r="A67" s="243"/>
      <c r="B67" s="172">
        <f t="shared" si="22"/>
        <v>63</v>
      </c>
      <c r="C67" s="129"/>
      <c r="D67" s="129"/>
      <c r="E67" s="538"/>
      <c r="F67" s="538"/>
      <c r="G67" s="194" t="s">
        <v>441</v>
      </c>
      <c r="H67" s="540">
        <v>120</v>
      </c>
      <c r="I67" s="540"/>
      <c r="J67" s="540">
        <f t="shared" si="21"/>
        <v>120</v>
      </c>
      <c r="K67" s="473"/>
      <c r="L67" s="370"/>
      <c r="M67" s="370"/>
      <c r="N67" s="370">
        <f t="shared" si="18"/>
        <v>0</v>
      </c>
      <c r="O67" s="335"/>
      <c r="P67" s="542">
        <f t="shared" si="17"/>
        <v>120</v>
      </c>
      <c r="Q67" s="542">
        <f t="shared" si="6"/>
        <v>0</v>
      </c>
      <c r="R67" s="542">
        <f t="shared" si="19"/>
        <v>120</v>
      </c>
    </row>
    <row r="68" spans="1:18" s="132" customFormat="1" ht="12" customHeight="1" x14ac:dyDescent="0.2">
      <c r="A68" s="243"/>
      <c r="B68" s="172">
        <f t="shared" si="22"/>
        <v>64</v>
      </c>
      <c r="C68" s="129"/>
      <c r="D68" s="161"/>
      <c r="E68" s="538"/>
      <c r="F68" s="538"/>
      <c r="G68" s="194" t="s">
        <v>295</v>
      </c>
      <c r="H68" s="540">
        <v>200</v>
      </c>
      <c r="I68" s="540"/>
      <c r="J68" s="540">
        <f t="shared" si="21"/>
        <v>200</v>
      </c>
      <c r="K68" s="473"/>
      <c r="L68" s="370"/>
      <c r="M68" s="370"/>
      <c r="N68" s="370">
        <f t="shared" si="18"/>
        <v>0</v>
      </c>
      <c r="O68" s="335"/>
      <c r="P68" s="542">
        <f t="shared" si="17"/>
        <v>200</v>
      </c>
      <c r="Q68" s="542">
        <f t="shared" si="6"/>
        <v>0</v>
      </c>
      <c r="R68" s="542">
        <f t="shared" si="19"/>
        <v>200</v>
      </c>
    </row>
    <row r="69" spans="1:18" s="132" customFormat="1" ht="12" customHeight="1" x14ac:dyDescent="0.2">
      <c r="A69" s="243"/>
      <c r="B69" s="172">
        <f t="shared" si="22"/>
        <v>65</v>
      </c>
      <c r="C69" s="134"/>
      <c r="D69" s="350"/>
      <c r="E69" s="538"/>
      <c r="F69" s="538"/>
      <c r="G69" s="205" t="s">
        <v>525</v>
      </c>
      <c r="H69" s="540">
        <v>8300</v>
      </c>
      <c r="I69" s="540"/>
      <c r="J69" s="540">
        <f t="shared" si="21"/>
        <v>8300</v>
      </c>
      <c r="K69" s="473"/>
      <c r="L69" s="370"/>
      <c r="M69" s="370"/>
      <c r="N69" s="370">
        <f t="shared" si="18"/>
        <v>0</v>
      </c>
      <c r="O69" s="335"/>
      <c r="P69" s="136">
        <f t="shared" si="17"/>
        <v>8300</v>
      </c>
      <c r="Q69" s="136">
        <f t="shared" si="6"/>
        <v>0</v>
      </c>
      <c r="R69" s="136">
        <f t="shared" si="19"/>
        <v>8300</v>
      </c>
    </row>
    <row r="70" spans="1:18" s="132" customFormat="1" ht="12" customHeight="1" x14ac:dyDescent="0.2">
      <c r="A70" s="243"/>
      <c r="B70" s="172">
        <f t="shared" si="22"/>
        <v>66</v>
      </c>
      <c r="C70" s="134"/>
      <c r="D70" s="350"/>
      <c r="E70" s="538"/>
      <c r="F70" s="538"/>
      <c r="G70" s="205" t="s">
        <v>526</v>
      </c>
      <c r="H70" s="540">
        <v>170</v>
      </c>
      <c r="I70" s="540"/>
      <c r="J70" s="540">
        <f t="shared" si="21"/>
        <v>170</v>
      </c>
      <c r="K70" s="473"/>
      <c r="L70" s="370"/>
      <c r="M70" s="370"/>
      <c r="N70" s="370">
        <f t="shared" si="18"/>
        <v>0</v>
      </c>
      <c r="O70" s="335"/>
      <c r="P70" s="136">
        <f t="shared" si="17"/>
        <v>170</v>
      </c>
      <c r="Q70" s="136">
        <f t="shared" ref="Q70:Q72" si="26">I70+M70</f>
        <v>0</v>
      </c>
      <c r="R70" s="136">
        <f t="shared" si="19"/>
        <v>170</v>
      </c>
    </row>
    <row r="71" spans="1:18" s="132" customFormat="1" ht="12" customHeight="1" x14ac:dyDescent="0.2">
      <c r="A71" s="243"/>
      <c r="B71" s="172">
        <f t="shared" si="22"/>
        <v>67</v>
      </c>
      <c r="C71" s="486"/>
      <c r="D71" s="487"/>
      <c r="E71" s="538"/>
      <c r="F71" s="538"/>
      <c r="G71" s="488" t="s">
        <v>588</v>
      </c>
      <c r="H71" s="473">
        <v>40</v>
      </c>
      <c r="I71" s="473"/>
      <c r="J71" s="473">
        <f t="shared" si="21"/>
        <v>40</v>
      </c>
      <c r="K71" s="473"/>
      <c r="L71" s="370"/>
      <c r="M71" s="370"/>
      <c r="N71" s="370">
        <f t="shared" si="18"/>
        <v>0</v>
      </c>
      <c r="O71" s="335"/>
      <c r="P71" s="136">
        <f t="shared" si="17"/>
        <v>40</v>
      </c>
      <c r="Q71" s="136">
        <f t="shared" si="26"/>
        <v>0</v>
      </c>
      <c r="R71" s="136">
        <f t="shared" si="19"/>
        <v>40</v>
      </c>
    </row>
    <row r="72" spans="1:18" ht="15" customHeight="1" thickBot="1" x14ac:dyDescent="0.3">
      <c r="B72" s="172">
        <f t="shared" si="22"/>
        <v>68</v>
      </c>
      <c r="C72" s="276">
        <v>9</v>
      </c>
      <c r="D72" s="277" t="s">
        <v>129</v>
      </c>
      <c r="E72" s="278"/>
      <c r="F72" s="278"/>
      <c r="G72" s="279"/>
      <c r="H72" s="403">
        <v>14893</v>
      </c>
      <c r="I72" s="773"/>
      <c r="J72" s="773">
        <f t="shared" si="21"/>
        <v>14893</v>
      </c>
      <c r="K72" s="791"/>
      <c r="L72" s="371">
        <v>0</v>
      </c>
      <c r="M72" s="371">
        <v>0</v>
      </c>
      <c r="N72" s="371">
        <f t="shared" si="18"/>
        <v>0</v>
      </c>
      <c r="O72" s="782"/>
      <c r="P72" s="363">
        <f t="shared" si="17"/>
        <v>14893</v>
      </c>
      <c r="Q72" s="363">
        <f t="shared" si="26"/>
        <v>0</v>
      </c>
      <c r="R72" s="363">
        <f t="shared" si="19"/>
        <v>14893</v>
      </c>
    </row>
    <row r="73" spans="1:18" ht="10.5" customHeight="1" x14ac:dyDescent="0.2">
      <c r="B73" s="302"/>
      <c r="C73" s="303"/>
      <c r="D73" s="132"/>
      <c r="E73" s="132"/>
      <c r="F73" s="132"/>
      <c r="G73" s="132"/>
      <c r="H73" s="247"/>
      <c r="I73" s="774"/>
      <c r="J73" s="774"/>
      <c r="K73" s="785"/>
      <c r="L73" s="247"/>
      <c r="M73" s="247"/>
      <c r="N73" s="247"/>
      <c r="P73" s="247"/>
    </row>
    <row r="74" spans="1:18" ht="10.5" customHeight="1" x14ac:dyDescent="0.2">
      <c r="B74" s="302"/>
      <c r="C74" s="303"/>
      <c r="D74" s="132"/>
      <c r="E74" s="132"/>
      <c r="F74" s="132"/>
      <c r="G74" s="132"/>
      <c r="H74" s="397"/>
      <c r="I74" s="247"/>
      <c r="J74" s="247"/>
      <c r="L74" s="247"/>
      <c r="M74" s="247"/>
      <c r="N74" s="247"/>
      <c r="P74" s="247"/>
    </row>
    <row r="76" spans="1:18" ht="27.75" thickBot="1" x14ac:dyDescent="0.4">
      <c r="B76" s="246" t="s">
        <v>202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</row>
    <row r="77" spans="1:18" ht="13.5" customHeight="1" thickBot="1" x14ac:dyDescent="0.25">
      <c r="B77" s="874" t="s">
        <v>632</v>
      </c>
      <c r="C77" s="875"/>
      <c r="D77" s="875"/>
      <c r="E77" s="875"/>
      <c r="F77" s="875"/>
      <c r="G77" s="875"/>
      <c r="H77" s="875"/>
      <c r="I77" s="875"/>
      <c r="J77" s="875"/>
      <c r="K77" s="875"/>
      <c r="L77" s="875"/>
      <c r="M77" s="875"/>
      <c r="N77" s="876"/>
      <c r="O77" s="787"/>
      <c r="P77" s="867" t="s">
        <v>724</v>
      </c>
      <c r="Q77" s="867" t="s">
        <v>842</v>
      </c>
      <c r="R77" s="867" t="s">
        <v>724</v>
      </c>
    </row>
    <row r="78" spans="1:18" ht="13.5" customHeight="1" thickTop="1" x14ac:dyDescent="0.2">
      <c r="B78" s="523"/>
      <c r="C78" s="863" t="s">
        <v>478</v>
      </c>
      <c r="D78" s="863" t="s">
        <v>477</v>
      </c>
      <c r="E78" s="863" t="s">
        <v>475</v>
      </c>
      <c r="F78" s="863" t="s">
        <v>476</v>
      </c>
      <c r="G78" s="877" t="s">
        <v>3</v>
      </c>
      <c r="H78" s="870" t="s">
        <v>725</v>
      </c>
      <c r="I78" s="870" t="s">
        <v>842</v>
      </c>
      <c r="J78" s="870" t="s">
        <v>725</v>
      </c>
      <c r="K78" s="790"/>
      <c r="L78" s="872" t="s">
        <v>726</v>
      </c>
      <c r="M78" s="872" t="s">
        <v>842</v>
      </c>
      <c r="N78" s="872" t="s">
        <v>726</v>
      </c>
      <c r="O78" s="781"/>
      <c r="P78" s="868"/>
      <c r="Q78" s="868"/>
      <c r="R78" s="868"/>
    </row>
    <row r="79" spans="1:18" ht="42" customHeight="1" thickBot="1" x14ac:dyDescent="0.25">
      <c r="B79" s="523"/>
      <c r="C79" s="864"/>
      <c r="D79" s="864"/>
      <c r="E79" s="864"/>
      <c r="F79" s="864"/>
      <c r="G79" s="878"/>
      <c r="H79" s="871"/>
      <c r="I79" s="871"/>
      <c r="J79" s="871"/>
      <c r="K79" s="790"/>
      <c r="L79" s="873"/>
      <c r="M79" s="873"/>
      <c r="N79" s="873"/>
      <c r="O79" s="781"/>
      <c r="P79" s="869"/>
      <c r="Q79" s="869"/>
      <c r="R79" s="869"/>
    </row>
    <row r="80" spans="1:18" ht="17.25" thickTop="1" thickBot="1" x14ac:dyDescent="0.25">
      <c r="B80" s="634">
        <v>1</v>
      </c>
      <c r="C80" s="236" t="s">
        <v>203</v>
      </c>
      <c r="D80" s="110"/>
      <c r="E80" s="110"/>
      <c r="F80" s="110"/>
      <c r="G80" s="192"/>
      <c r="H80" s="400">
        <f>H81+H86</f>
        <v>55000</v>
      </c>
      <c r="I80" s="400">
        <f>I81+I86</f>
        <v>0</v>
      </c>
      <c r="J80" s="400">
        <f t="shared" ref="J80:J88" si="27">I80+H80</f>
        <v>55000</v>
      </c>
      <c r="K80" s="794"/>
      <c r="L80" s="365">
        <f>L81+L86</f>
        <v>0</v>
      </c>
      <c r="M80" s="365">
        <f>M81+M86</f>
        <v>0</v>
      </c>
      <c r="N80" s="365">
        <f>N81+N86</f>
        <v>0</v>
      </c>
      <c r="O80" s="788"/>
      <c r="P80" s="359">
        <f>H80+L80</f>
        <v>55000</v>
      </c>
      <c r="Q80" s="778">
        <f>I80+M80</f>
        <v>0</v>
      </c>
      <c r="R80" s="778">
        <f t="shared" ref="R80:R88" si="28">Q80+P80</f>
        <v>55000</v>
      </c>
    </row>
    <row r="81" spans="2:18" ht="16.5" thickTop="1" x14ac:dyDescent="0.25">
      <c r="B81" s="172">
        <f t="shared" ref="B81:B88" si="29">B80+1</f>
        <v>2</v>
      </c>
      <c r="C81" s="22">
        <v>1</v>
      </c>
      <c r="D81" s="126" t="s">
        <v>170</v>
      </c>
      <c r="E81" s="23"/>
      <c r="F81" s="23"/>
      <c r="G81" s="193"/>
      <c r="H81" s="402">
        <f>SUM(H82:H85)</f>
        <v>47000</v>
      </c>
      <c r="I81" s="404">
        <f>SUM(I82:I85)</f>
        <v>0</v>
      </c>
      <c r="J81" s="404">
        <f t="shared" si="27"/>
        <v>47000</v>
      </c>
      <c r="K81" s="791"/>
      <c r="L81" s="366">
        <v>0</v>
      </c>
      <c r="M81" s="366">
        <v>0</v>
      </c>
      <c r="N81" s="366">
        <v>0</v>
      </c>
      <c r="O81" s="782"/>
      <c r="P81" s="360">
        <f>H81+L81</f>
        <v>47000</v>
      </c>
      <c r="Q81" s="360">
        <f>I81+M81</f>
        <v>0</v>
      </c>
      <c r="R81" s="360">
        <f t="shared" si="28"/>
        <v>47000</v>
      </c>
    </row>
    <row r="82" spans="2:18" x14ac:dyDescent="0.2">
      <c r="B82" s="172">
        <f t="shared" si="29"/>
        <v>3</v>
      </c>
      <c r="C82" s="129"/>
      <c r="D82" s="130"/>
      <c r="E82" s="130" t="s">
        <v>426</v>
      </c>
      <c r="F82" s="130" t="s">
        <v>216</v>
      </c>
      <c r="G82" s="194" t="s">
        <v>499</v>
      </c>
      <c r="H82" s="540">
        <f>8500+2000</f>
        <v>10500</v>
      </c>
      <c r="I82" s="540"/>
      <c r="J82" s="540">
        <f t="shared" si="27"/>
        <v>10500</v>
      </c>
      <c r="K82" s="473"/>
      <c r="L82" s="541"/>
      <c r="M82" s="541"/>
      <c r="N82" s="541"/>
      <c r="O82" s="478"/>
      <c r="P82" s="136">
        <f t="shared" ref="P82:P88" si="30">H82+L82</f>
        <v>10500</v>
      </c>
      <c r="Q82" s="136"/>
      <c r="R82" s="136">
        <f t="shared" si="28"/>
        <v>10500</v>
      </c>
    </row>
    <row r="83" spans="2:18" x14ac:dyDescent="0.2">
      <c r="B83" s="172">
        <f>B82+1</f>
        <v>4</v>
      </c>
      <c r="C83" s="129"/>
      <c r="D83" s="130"/>
      <c r="E83" s="130" t="s">
        <v>426</v>
      </c>
      <c r="F83" s="130" t="s">
        <v>200</v>
      </c>
      <c r="G83" s="194" t="s">
        <v>699</v>
      </c>
      <c r="H83" s="540">
        <v>5000</v>
      </c>
      <c r="I83" s="540"/>
      <c r="J83" s="540">
        <f t="shared" si="27"/>
        <v>5000</v>
      </c>
      <c r="K83" s="473"/>
      <c r="L83" s="541"/>
      <c r="M83" s="541"/>
      <c r="N83" s="541"/>
      <c r="O83" s="478"/>
      <c r="P83" s="136">
        <f t="shared" si="30"/>
        <v>5000</v>
      </c>
      <c r="Q83" s="136"/>
      <c r="R83" s="136">
        <f t="shared" si="28"/>
        <v>5000</v>
      </c>
    </row>
    <row r="84" spans="2:18" x14ac:dyDescent="0.2">
      <c r="B84" s="172">
        <f t="shared" si="29"/>
        <v>5</v>
      </c>
      <c r="C84" s="129"/>
      <c r="D84" s="130"/>
      <c r="E84" s="130" t="s">
        <v>427</v>
      </c>
      <c r="F84" s="130" t="s">
        <v>218</v>
      </c>
      <c r="G84" s="194" t="s">
        <v>480</v>
      </c>
      <c r="H84" s="540">
        <f>19700</f>
        <v>19700</v>
      </c>
      <c r="I84" s="540"/>
      <c r="J84" s="540">
        <f t="shared" si="27"/>
        <v>19700</v>
      </c>
      <c r="K84" s="473"/>
      <c r="L84" s="541"/>
      <c r="M84" s="541"/>
      <c r="N84" s="541"/>
      <c r="O84" s="478"/>
      <c r="P84" s="136">
        <f t="shared" si="30"/>
        <v>19700</v>
      </c>
      <c r="Q84" s="136"/>
      <c r="R84" s="136">
        <f t="shared" si="28"/>
        <v>19700</v>
      </c>
    </row>
    <row r="85" spans="2:18" x14ac:dyDescent="0.2">
      <c r="B85" s="172">
        <f t="shared" si="29"/>
        <v>6</v>
      </c>
      <c r="C85" s="129"/>
      <c r="D85" s="130"/>
      <c r="E85" s="130" t="s">
        <v>426</v>
      </c>
      <c r="F85" s="130" t="s">
        <v>216</v>
      </c>
      <c r="G85" s="194" t="s">
        <v>481</v>
      </c>
      <c r="H85" s="388">
        <v>11800</v>
      </c>
      <c r="I85" s="388"/>
      <c r="J85" s="388">
        <f t="shared" si="27"/>
        <v>11800</v>
      </c>
      <c r="K85" s="473"/>
      <c r="L85" s="541"/>
      <c r="M85" s="541"/>
      <c r="N85" s="541"/>
      <c r="O85" s="478"/>
      <c r="P85" s="136">
        <f t="shared" si="30"/>
        <v>11800</v>
      </c>
      <c r="Q85" s="136"/>
      <c r="R85" s="136">
        <f t="shared" si="28"/>
        <v>11800</v>
      </c>
    </row>
    <row r="86" spans="2:18" ht="15.75" x14ac:dyDescent="0.25">
      <c r="B86" s="172">
        <f t="shared" si="29"/>
        <v>7</v>
      </c>
      <c r="C86" s="20">
        <v>2</v>
      </c>
      <c r="D86" s="125" t="s">
        <v>156</v>
      </c>
      <c r="E86" s="21"/>
      <c r="F86" s="21"/>
      <c r="G86" s="195"/>
      <c r="H86" s="402">
        <f>SUM(H87:H88)</f>
        <v>8000</v>
      </c>
      <c r="I86" s="404">
        <f>SUM(I87:I88)</f>
        <v>0</v>
      </c>
      <c r="J86" s="404">
        <f t="shared" si="27"/>
        <v>8000</v>
      </c>
      <c r="K86" s="791"/>
      <c r="L86" s="366">
        <v>0</v>
      </c>
      <c r="M86" s="366">
        <v>0</v>
      </c>
      <c r="N86" s="366">
        <v>0</v>
      </c>
      <c r="O86" s="782"/>
      <c r="P86" s="361">
        <f t="shared" si="30"/>
        <v>8000</v>
      </c>
      <c r="Q86" s="361">
        <f>I86+M86</f>
        <v>0</v>
      </c>
      <c r="R86" s="361">
        <f t="shared" si="28"/>
        <v>8000</v>
      </c>
    </row>
    <row r="87" spans="2:18" x14ac:dyDescent="0.2">
      <c r="B87" s="172">
        <f t="shared" si="29"/>
        <v>8</v>
      </c>
      <c r="C87" s="129"/>
      <c r="D87" s="129"/>
      <c r="E87" s="133" t="s">
        <v>426</v>
      </c>
      <c r="F87" s="133">
        <v>637</v>
      </c>
      <c r="G87" s="194" t="s">
        <v>498</v>
      </c>
      <c r="H87" s="540">
        <v>6000</v>
      </c>
      <c r="I87" s="540"/>
      <c r="J87" s="540">
        <f t="shared" si="27"/>
        <v>6000</v>
      </c>
      <c r="K87" s="473"/>
      <c r="L87" s="540"/>
      <c r="M87" s="540"/>
      <c r="N87" s="540"/>
      <c r="O87" s="478"/>
      <c r="P87" s="542">
        <f t="shared" si="30"/>
        <v>6000</v>
      </c>
      <c r="Q87" s="542"/>
      <c r="R87" s="542">
        <f t="shared" si="28"/>
        <v>6000</v>
      </c>
    </row>
    <row r="88" spans="2:18" ht="13.5" thickBot="1" x14ac:dyDescent="0.25">
      <c r="B88" s="210">
        <f t="shared" si="29"/>
        <v>9</v>
      </c>
      <c r="C88" s="138"/>
      <c r="D88" s="138"/>
      <c r="E88" s="139" t="s">
        <v>426</v>
      </c>
      <c r="F88" s="139">
        <v>637</v>
      </c>
      <c r="G88" s="203" t="s">
        <v>482</v>
      </c>
      <c r="H88" s="372">
        <v>2000</v>
      </c>
      <c r="I88" s="372"/>
      <c r="J88" s="372">
        <f t="shared" si="27"/>
        <v>2000</v>
      </c>
      <c r="K88" s="473"/>
      <c r="L88" s="372"/>
      <c r="M88" s="372"/>
      <c r="N88" s="372"/>
      <c r="O88" s="478"/>
      <c r="P88" s="140">
        <f t="shared" si="30"/>
        <v>2000</v>
      </c>
      <c r="Q88" s="140"/>
      <c r="R88" s="140">
        <f t="shared" si="28"/>
        <v>2000</v>
      </c>
    </row>
    <row r="109" spans="2:18" ht="27.75" thickBot="1" x14ac:dyDescent="0.4">
      <c r="B109" s="246" t="s">
        <v>205</v>
      </c>
      <c r="C109" s="246"/>
      <c r="D109" s="246"/>
      <c r="E109" s="246"/>
      <c r="F109" s="246"/>
      <c r="G109" s="410"/>
      <c r="H109" s="246"/>
      <c r="I109" s="246"/>
      <c r="J109" s="246"/>
      <c r="K109" s="246"/>
      <c r="L109" s="246"/>
      <c r="M109" s="246"/>
      <c r="N109" s="246"/>
      <c r="O109" s="246"/>
      <c r="P109" s="246"/>
    </row>
    <row r="110" spans="2:18" ht="13.5" customHeight="1" thickBot="1" x14ac:dyDescent="0.25">
      <c r="B110" s="874" t="s">
        <v>632</v>
      </c>
      <c r="C110" s="875"/>
      <c r="D110" s="875"/>
      <c r="E110" s="875"/>
      <c r="F110" s="875"/>
      <c r="G110" s="875"/>
      <c r="H110" s="875"/>
      <c r="I110" s="875"/>
      <c r="J110" s="875"/>
      <c r="K110" s="875"/>
      <c r="L110" s="875"/>
      <c r="M110" s="875"/>
      <c r="N110" s="876"/>
      <c r="O110" s="787"/>
      <c r="P110" s="867" t="s">
        <v>724</v>
      </c>
      <c r="Q110" s="867" t="s">
        <v>842</v>
      </c>
      <c r="R110" s="867" t="s">
        <v>724</v>
      </c>
    </row>
    <row r="111" spans="2:18" ht="13.5" customHeight="1" thickTop="1" x14ac:dyDescent="0.2">
      <c r="B111" s="523"/>
      <c r="C111" s="863" t="s">
        <v>478</v>
      </c>
      <c r="D111" s="863" t="s">
        <v>477</v>
      </c>
      <c r="E111" s="863" t="s">
        <v>475</v>
      </c>
      <c r="F111" s="863" t="s">
        <v>476</v>
      </c>
      <c r="G111" s="877" t="s">
        <v>3</v>
      </c>
      <c r="H111" s="870" t="s">
        <v>725</v>
      </c>
      <c r="I111" s="870" t="s">
        <v>842</v>
      </c>
      <c r="J111" s="870" t="s">
        <v>725</v>
      </c>
      <c r="K111" s="790"/>
      <c r="L111" s="872" t="s">
        <v>726</v>
      </c>
      <c r="M111" s="872" t="s">
        <v>842</v>
      </c>
      <c r="N111" s="872" t="s">
        <v>726</v>
      </c>
      <c r="O111" s="781"/>
      <c r="P111" s="868"/>
      <c r="Q111" s="868"/>
      <c r="R111" s="868"/>
    </row>
    <row r="112" spans="2:18" ht="36.75" customHeight="1" thickBot="1" x14ac:dyDescent="0.25">
      <c r="B112" s="523"/>
      <c r="C112" s="864"/>
      <c r="D112" s="864"/>
      <c r="E112" s="864"/>
      <c r="F112" s="864"/>
      <c r="G112" s="878"/>
      <c r="H112" s="871"/>
      <c r="I112" s="871"/>
      <c r="J112" s="871"/>
      <c r="K112" s="790"/>
      <c r="L112" s="873"/>
      <c r="M112" s="873"/>
      <c r="N112" s="873"/>
      <c r="O112" s="781"/>
      <c r="P112" s="869"/>
      <c r="Q112" s="869"/>
      <c r="R112" s="869"/>
    </row>
    <row r="113" spans="2:18" ht="21" customHeight="1" thickTop="1" thickBot="1" x14ac:dyDescent="0.25">
      <c r="B113" s="524">
        <v>1</v>
      </c>
      <c r="C113" s="236" t="s">
        <v>206</v>
      </c>
      <c r="D113" s="110"/>
      <c r="E113" s="110"/>
      <c r="F113" s="110"/>
      <c r="G113" s="204"/>
      <c r="H113" s="400">
        <f>H114+H118+H129+H133+H153+H163+H166+H173</f>
        <v>3610015</v>
      </c>
      <c r="I113" s="400">
        <f>I114+I118+I129+I133+I153+I163+I166+I173</f>
        <v>-17050</v>
      </c>
      <c r="J113" s="400">
        <f t="shared" ref="J113:J139" si="31">I113+H113</f>
        <v>3592965</v>
      </c>
      <c r="K113" s="794"/>
      <c r="L113" s="365">
        <f>L114+L118+L129+L133+L153+L163+L166+L173</f>
        <v>485474</v>
      </c>
      <c r="M113" s="365">
        <f>M114+M118+M129+M133+M152+M162+M165+M172</f>
        <v>0</v>
      </c>
      <c r="N113" s="365">
        <f t="shared" ref="N113:N139" si="32">M113+L113</f>
        <v>485474</v>
      </c>
      <c r="O113" s="788"/>
      <c r="P113" s="359">
        <f>H113+L113</f>
        <v>4095489</v>
      </c>
      <c r="Q113" s="778">
        <f>I113+M113</f>
        <v>-17050</v>
      </c>
      <c r="R113" s="778">
        <f t="shared" ref="R113:R139" si="33">Q113+P113</f>
        <v>4078439</v>
      </c>
    </row>
    <row r="114" spans="2:18" ht="16.5" thickTop="1" x14ac:dyDescent="0.25">
      <c r="B114" s="172">
        <f>B113+1</f>
        <v>2</v>
      </c>
      <c r="C114" s="22">
        <v>1</v>
      </c>
      <c r="D114" s="126" t="s">
        <v>98</v>
      </c>
      <c r="E114" s="23"/>
      <c r="F114" s="23"/>
      <c r="G114" s="193"/>
      <c r="H114" s="401">
        <f>SUM(H115:H117)</f>
        <v>93400</v>
      </c>
      <c r="I114" s="414">
        <f>SUM(I115:I117)</f>
        <v>0</v>
      </c>
      <c r="J114" s="414">
        <f t="shared" si="31"/>
        <v>93400</v>
      </c>
      <c r="K114" s="791"/>
      <c r="L114" s="366">
        <f>L115+L116+L117</f>
        <v>0</v>
      </c>
      <c r="M114" s="366">
        <f>M115+M116+M117</f>
        <v>0</v>
      </c>
      <c r="N114" s="366">
        <f t="shared" si="32"/>
        <v>0</v>
      </c>
      <c r="O114" s="782"/>
      <c r="P114" s="360">
        <f t="shared" ref="P114:P139" si="34">H114+L114</f>
        <v>93400</v>
      </c>
      <c r="Q114" s="360">
        <f t="shared" ref="Q114:Q177" si="35">I114+M114</f>
        <v>0</v>
      </c>
      <c r="R114" s="360">
        <f t="shared" si="33"/>
        <v>93400</v>
      </c>
    </row>
    <row r="115" spans="2:18" x14ac:dyDescent="0.2">
      <c r="B115" s="172">
        <f t="shared" ref="B115:B176" si="36">B114+1</f>
        <v>3</v>
      </c>
      <c r="C115" s="129"/>
      <c r="D115" s="130"/>
      <c r="E115" s="130" t="s">
        <v>671</v>
      </c>
      <c r="F115" s="130" t="s">
        <v>216</v>
      </c>
      <c r="G115" s="194" t="s">
        <v>493</v>
      </c>
      <c r="H115" s="540">
        <v>23400</v>
      </c>
      <c r="I115" s="540"/>
      <c r="J115" s="540">
        <f t="shared" si="31"/>
        <v>23400</v>
      </c>
      <c r="K115" s="473"/>
      <c r="L115" s="541"/>
      <c r="M115" s="541"/>
      <c r="N115" s="541">
        <f t="shared" si="32"/>
        <v>0</v>
      </c>
      <c r="O115" s="478"/>
      <c r="P115" s="136">
        <f t="shared" si="34"/>
        <v>23400</v>
      </c>
      <c r="Q115" s="136">
        <f t="shared" si="35"/>
        <v>0</v>
      </c>
      <c r="R115" s="136">
        <f t="shared" si="33"/>
        <v>23400</v>
      </c>
    </row>
    <row r="116" spans="2:18" x14ac:dyDescent="0.2">
      <c r="B116" s="172">
        <f t="shared" si="36"/>
        <v>4</v>
      </c>
      <c r="C116" s="129"/>
      <c r="D116" s="130"/>
      <c r="E116" s="130" t="s">
        <v>671</v>
      </c>
      <c r="F116" s="130" t="s">
        <v>216</v>
      </c>
      <c r="G116" s="194" t="s">
        <v>494</v>
      </c>
      <c r="H116" s="540">
        <v>12000</v>
      </c>
      <c r="I116" s="540"/>
      <c r="J116" s="540">
        <f t="shared" si="31"/>
        <v>12000</v>
      </c>
      <c r="K116" s="473"/>
      <c r="L116" s="541"/>
      <c r="M116" s="541"/>
      <c r="N116" s="541">
        <f t="shared" si="32"/>
        <v>0</v>
      </c>
      <c r="O116" s="478"/>
      <c r="P116" s="136">
        <f t="shared" si="34"/>
        <v>12000</v>
      </c>
      <c r="Q116" s="136">
        <f t="shared" si="35"/>
        <v>0</v>
      </c>
      <c r="R116" s="136">
        <f t="shared" si="33"/>
        <v>12000</v>
      </c>
    </row>
    <row r="117" spans="2:18" x14ac:dyDescent="0.2">
      <c r="B117" s="172">
        <f t="shared" si="36"/>
        <v>5</v>
      </c>
      <c r="C117" s="129"/>
      <c r="D117" s="130"/>
      <c r="E117" s="130" t="s">
        <v>671</v>
      </c>
      <c r="F117" s="130" t="s">
        <v>216</v>
      </c>
      <c r="G117" s="194" t="s">
        <v>495</v>
      </c>
      <c r="H117" s="540">
        <f>12000+46000</f>
        <v>58000</v>
      </c>
      <c r="I117" s="540"/>
      <c r="J117" s="540">
        <f t="shared" si="31"/>
        <v>58000</v>
      </c>
      <c r="K117" s="473"/>
      <c r="L117" s="540"/>
      <c r="M117" s="540"/>
      <c r="N117" s="540">
        <f t="shared" si="32"/>
        <v>0</v>
      </c>
      <c r="O117" s="478"/>
      <c r="P117" s="136">
        <f t="shared" si="34"/>
        <v>58000</v>
      </c>
      <c r="Q117" s="136">
        <f t="shared" si="35"/>
        <v>0</v>
      </c>
      <c r="R117" s="136">
        <f t="shared" si="33"/>
        <v>58000</v>
      </c>
    </row>
    <row r="118" spans="2:18" ht="15.75" x14ac:dyDescent="0.25">
      <c r="B118" s="172">
        <f t="shared" si="36"/>
        <v>6</v>
      </c>
      <c r="C118" s="20">
        <v>2</v>
      </c>
      <c r="D118" s="125" t="s">
        <v>175</v>
      </c>
      <c r="E118" s="21"/>
      <c r="F118" s="21"/>
      <c r="G118" s="195"/>
      <c r="H118" s="402">
        <f>H119+H121+H125</f>
        <v>106160</v>
      </c>
      <c r="I118" s="404">
        <f>I119+I121+I125</f>
        <v>-8050</v>
      </c>
      <c r="J118" s="404">
        <f t="shared" si="31"/>
        <v>98110</v>
      </c>
      <c r="K118" s="791"/>
      <c r="L118" s="366">
        <f>L119+L121+L125</f>
        <v>317190</v>
      </c>
      <c r="M118" s="366">
        <f>M119+M121+M125</f>
        <v>0</v>
      </c>
      <c r="N118" s="366">
        <f t="shared" si="32"/>
        <v>317190</v>
      </c>
      <c r="O118" s="782"/>
      <c r="P118" s="361">
        <f t="shared" si="34"/>
        <v>423350</v>
      </c>
      <c r="Q118" s="361">
        <f t="shared" si="35"/>
        <v>-8050</v>
      </c>
      <c r="R118" s="361">
        <f t="shared" si="33"/>
        <v>415300</v>
      </c>
    </row>
    <row r="119" spans="2:18" x14ac:dyDescent="0.2">
      <c r="B119" s="172">
        <f t="shared" si="36"/>
        <v>7</v>
      </c>
      <c r="C119" s="75"/>
      <c r="D119" s="200" t="s">
        <v>4</v>
      </c>
      <c r="E119" s="207" t="s">
        <v>130</v>
      </c>
      <c r="F119" s="208"/>
      <c r="G119" s="209"/>
      <c r="H119" s="364">
        <f>H120</f>
        <v>2450</v>
      </c>
      <c r="I119" s="364">
        <f>I120</f>
        <v>0</v>
      </c>
      <c r="J119" s="364">
        <f t="shared" si="31"/>
        <v>2450</v>
      </c>
      <c r="K119" s="792"/>
      <c r="L119" s="367"/>
      <c r="M119" s="367"/>
      <c r="N119" s="367">
        <f t="shared" si="32"/>
        <v>0</v>
      </c>
      <c r="O119" s="478"/>
      <c r="P119" s="211">
        <f t="shared" si="34"/>
        <v>2450</v>
      </c>
      <c r="Q119" s="211">
        <f t="shared" si="35"/>
        <v>0</v>
      </c>
      <c r="R119" s="211">
        <f t="shared" si="33"/>
        <v>2450</v>
      </c>
    </row>
    <row r="120" spans="2:18" x14ac:dyDescent="0.2">
      <c r="B120" s="172">
        <f t="shared" si="36"/>
        <v>8</v>
      </c>
      <c r="C120" s="129"/>
      <c r="D120" s="129"/>
      <c r="E120" s="130" t="s">
        <v>671</v>
      </c>
      <c r="F120" s="133">
        <v>637</v>
      </c>
      <c r="G120" s="194" t="s">
        <v>715</v>
      </c>
      <c r="H120" s="540">
        <v>2450</v>
      </c>
      <c r="I120" s="540"/>
      <c r="J120" s="540">
        <f t="shared" si="31"/>
        <v>2450</v>
      </c>
      <c r="K120" s="473"/>
      <c r="L120" s="540"/>
      <c r="M120" s="540"/>
      <c r="N120" s="540">
        <f t="shared" si="32"/>
        <v>0</v>
      </c>
      <c r="O120" s="478"/>
      <c r="P120" s="542">
        <f t="shared" si="34"/>
        <v>2450</v>
      </c>
      <c r="Q120" s="542">
        <f t="shared" si="35"/>
        <v>0</v>
      </c>
      <c r="R120" s="542">
        <f t="shared" si="33"/>
        <v>2450</v>
      </c>
    </row>
    <row r="121" spans="2:18" x14ac:dyDescent="0.2">
      <c r="B121" s="172">
        <f t="shared" si="36"/>
        <v>9</v>
      </c>
      <c r="C121" s="75"/>
      <c r="D121" s="200" t="s">
        <v>5</v>
      </c>
      <c r="E121" s="207" t="s">
        <v>131</v>
      </c>
      <c r="F121" s="208"/>
      <c r="G121" s="209"/>
      <c r="H121" s="364">
        <f>SUM(H122:H123)</f>
        <v>22010</v>
      </c>
      <c r="I121" s="364">
        <f>SUM(I122:I123)</f>
        <v>0</v>
      </c>
      <c r="J121" s="364">
        <f t="shared" si="31"/>
        <v>22010</v>
      </c>
      <c r="K121" s="792"/>
      <c r="L121" s="394">
        <f>L124</f>
        <v>100</v>
      </c>
      <c r="M121" s="394">
        <f>M124</f>
        <v>0</v>
      </c>
      <c r="N121" s="394">
        <f t="shared" si="32"/>
        <v>100</v>
      </c>
      <c r="O121" s="776"/>
      <c r="P121" s="211">
        <f t="shared" si="34"/>
        <v>22110</v>
      </c>
      <c r="Q121" s="211">
        <f t="shared" si="35"/>
        <v>0</v>
      </c>
      <c r="R121" s="211">
        <f t="shared" si="33"/>
        <v>22110</v>
      </c>
    </row>
    <row r="122" spans="2:18" x14ac:dyDescent="0.2">
      <c r="B122" s="172">
        <f t="shared" si="36"/>
        <v>10</v>
      </c>
      <c r="C122" s="129"/>
      <c r="D122" s="129"/>
      <c r="E122" s="130" t="s">
        <v>671</v>
      </c>
      <c r="F122" s="133">
        <v>637</v>
      </c>
      <c r="G122" s="194" t="s">
        <v>716</v>
      </c>
      <c r="H122" s="540">
        <v>12600</v>
      </c>
      <c r="I122" s="540"/>
      <c r="J122" s="540">
        <f t="shared" si="31"/>
        <v>12600</v>
      </c>
      <c r="K122" s="473"/>
      <c r="L122" s="540"/>
      <c r="M122" s="540"/>
      <c r="N122" s="540">
        <f t="shared" si="32"/>
        <v>0</v>
      </c>
      <c r="O122" s="478"/>
      <c r="P122" s="542">
        <f t="shared" si="34"/>
        <v>12600</v>
      </c>
      <c r="Q122" s="542">
        <f t="shared" si="35"/>
        <v>0</v>
      </c>
      <c r="R122" s="542">
        <f t="shared" si="33"/>
        <v>12600</v>
      </c>
    </row>
    <row r="123" spans="2:18" x14ac:dyDescent="0.2">
      <c r="B123" s="172">
        <f t="shared" si="36"/>
        <v>11</v>
      </c>
      <c r="C123" s="129"/>
      <c r="D123" s="129"/>
      <c r="E123" s="130" t="s">
        <v>671</v>
      </c>
      <c r="F123" s="133">
        <v>636</v>
      </c>
      <c r="G123" s="194" t="s">
        <v>262</v>
      </c>
      <c r="H123" s="369">
        <v>9410</v>
      </c>
      <c r="I123" s="369"/>
      <c r="J123" s="369">
        <f t="shared" si="31"/>
        <v>9410</v>
      </c>
      <c r="K123" s="473"/>
      <c r="L123" s="540"/>
      <c r="M123" s="540"/>
      <c r="N123" s="540">
        <f t="shared" si="32"/>
        <v>0</v>
      </c>
      <c r="O123" s="478"/>
      <c r="P123" s="542">
        <f t="shared" si="34"/>
        <v>9410</v>
      </c>
      <c r="Q123" s="542">
        <f t="shared" si="35"/>
        <v>0</v>
      </c>
      <c r="R123" s="542">
        <f t="shared" si="33"/>
        <v>9410</v>
      </c>
    </row>
    <row r="124" spans="2:18" x14ac:dyDescent="0.2">
      <c r="B124" s="172">
        <f t="shared" si="36"/>
        <v>12</v>
      </c>
      <c r="C124" s="129"/>
      <c r="D124" s="129"/>
      <c r="E124" s="130" t="s">
        <v>671</v>
      </c>
      <c r="F124" s="538">
        <v>712</v>
      </c>
      <c r="G124" s="194" t="s">
        <v>534</v>
      </c>
      <c r="H124" s="369"/>
      <c r="I124" s="369"/>
      <c r="J124" s="369">
        <f t="shared" si="31"/>
        <v>0</v>
      </c>
      <c r="K124" s="473"/>
      <c r="L124" s="540">
        <v>100</v>
      </c>
      <c r="M124" s="540"/>
      <c r="N124" s="540">
        <f t="shared" si="32"/>
        <v>100</v>
      </c>
      <c r="O124" s="478"/>
      <c r="P124" s="542">
        <f t="shared" si="34"/>
        <v>100</v>
      </c>
      <c r="Q124" s="542">
        <f t="shared" si="35"/>
        <v>0</v>
      </c>
      <c r="R124" s="542">
        <f t="shared" si="33"/>
        <v>100</v>
      </c>
    </row>
    <row r="125" spans="2:18" x14ac:dyDescent="0.2">
      <c r="B125" s="172">
        <f t="shared" si="36"/>
        <v>13</v>
      </c>
      <c r="C125" s="75"/>
      <c r="D125" s="200" t="s">
        <v>6</v>
      </c>
      <c r="E125" s="207" t="s">
        <v>132</v>
      </c>
      <c r="F125" s="208"/>
      <c r="G125" s="209"/>
      <c r="H125" s="373">
        <f>H126+H127</f>
        <v>81700</v>
      </c>
      <c r="I125" s="373">
        <f>I126+I127</f>
        <v>-8050</v>
      </c>
      <c r="J125" s="373">
        <f t="shared" si="31"/>
        <v>73650</v>
      </c>
      <c r="K125" s="792"/>
      <c r="L125" s="475">
        <f>L128</f>
        <v>317090</v>
      </c>
      <c r="M125" s="475">
        <f>M128</f>
        <v>0</v>
      </c>
      <c r="N125" s="475">
        <f t="shared" si="32"/>
        <v>317090</v>
      </c>
      <c r="O125" s="776"/>
      <c r="P125" s="212">
        <f t="shared" si="34"/>
        <v>398790</v>
      </c>
      <c r="Q125" s="212">
        <f t="shared" si="35"/>
        <v>-8050</v>
      </c>
      <c r="R125" s="212">
        <f t="shared" si="33"/>
        <v>390740</v>
      </c>
    </row>
    <row r="126" spans="2:18" x14ac:dyDescent="0.2">
      <c r="B126" s="172">
        <f t="shared" si="36"/>
        <v>14</v>
      </c>
      <c r="C126" s="129"/>
      <c r="D126" s="129"/>
      <c r="E126" s="130" t="s">
        <v>671</v>
      </c>
      <c r="F126" s="158">
        <v>637</v>
      </c>
      <c r="G126" s="194" t="s">
        <v>492</v>
      </c>
      <c r="H126" s="540">
        <v>10000</v>
      </c>
      <c r="I126" s="540"/>
      <c r="J126" s="540">
        <f t="shared" si="31"/>
        <v>10000</v>
      </c>
      <c r="K126" s="473"/>
      <c r="L126" s="540"/>
      <c r="M126" s="540"/>
      <c r="N126" s="540">
        <f t="shared" si="32"/>
        <v>0</v>
      </c>
      <c r="O126" s="478"/>
      <c r="P126" s="542">
        <f t="shared" si="34"/>
        <v>10000</v>
      </c>
      <c r="Q126" s="542">
        <f t="shared" si="35"/>
        <v>0</v>
      </c>
      <c r="R126" s="542">
        <f t="shared" si="33"/>
        <v>10000</v>
      </c>
    </row>
    <row r="127" spans="2:18" x14ac:dyDescent="0.2">
      <c r="B127" s="172">
        <f t="shared" si="36"/>
        <v>15</v>
      </c>
      <c r="C127" s="134"/>
      <c r="D127" s="134"/>
      <c r="E127" s="130" t="s">
        <v>671</v>
      </c>
      <c r="F127" s="159">
        <v>636</v>
      </c>
      <c r="G127" s="205" t="s">
        <v>262</v>
      </c>
      <c r="H127" s="540">
        <v>71700</v>
      </c>
      <c r="I127" s="540">
        <v>-8050</v>
      </c>
      <c r="J127" s="540">
        <f t="shared" si="31"/>
        <v>63650</v>
      </c>
      <c r="K127" s="473"/>
      <c r="L127" s="540"/>
      <c r="M127" s="540"/>
      <c r="N127" s="540">
        <f t="shared" si="32"/>
        <v>0</v>
      </c>
      <c r="O127" s="478"/>
      <c r="P127" s="542">
        <f t="shared" si="34"/>
        <v>71700</v>
      </c>
      <c r="Q127" s="542">
        <f t="shared" si="35"/>
        <v>-8050</v>
      </c>
      <c r="R127" s="542">
        <f t="shared" si="33"/>
        <v>63650</v>
      </c>
    </row>
    <row r="128" spans="2:18" x14ac:dyDescent="0.2">
      <c r="B128" s="172">
        <f t="shared" si="36"/>
        <v>16</v>
      </c>
      <c r="C128" s="129"/>
      <c r="D128" s="161"/>
      <c r="E128" s="130" t="s">
        <v>671</v>
      </c>
      <c r="F128" s="354">
        <v>711</v>
      </c>
      <c r="G128" s="539" t="s">
        <v>435</v>
      </c>
      <c r="H128" s="540"/>
      <c r="I128" s="540"/>
      <c r="J128" s="540">
        <f t="shared" si="31"/>
        <v>0</v>
      </c>
      <c r="K128" s="473"/>
      <c r="L128" s="369">
        <f>377090-60000</f>
        <v>317090</v>
      </c>
      <c r="M128" s="369"/>
      <c r="N128" s="369">
        <f t="shared" si="32"/>
        <v>317090</v>
      </c>
      <c r="O128" s="478"/>
      <c r="P128" s="542">
        <f t="shared" si="34"/>
        <v>317090</v>
      </c>
      <c r="Q128" s="542">
        <f t="shared" si="35"/>
        <v>0</v>
      </c>
      <c r="R128" s="542">
        <f t="shared" si="33"/>
        <v>317090</v>
      </c>
    </row>
    <row r="129" spans="2:18" ht="15.75" x14ac:dyDescent="0.25">
      <c r="B129" s="172">
        <f t="shared" si="36"/>
        <v>17</v>
      </c>
      <c r="C129" s="22">
        <v>3</v>
      </c>
      <c r="D129" s="126" t="s">
        <v>136</v>
      </c>
      <c r="E129" s="23"/>
      <c r="F129" s="23"/>
      <c r="G129" s="193"/>
      <c r="H129" s="402">
        <f>SUM(H130:H132)</f>
        <v>9000</v>
      </c>
      <c r="I129" s="404">
        <f>SUM(I130:I132)</f>
        <v>0</v>
      </c>
      <c r="J129" s="404">
        <f t="shared" si="31"/>
        <v>9000</v>
      </c>
      <c r="K129" s="791"/>
      <c r="L129" s="366">
        <f>L130+L132</f>
        <v>0</v>
      </c>
      <c r="M129" s="366">
        <f>M130+M132</f>
        <v>0</v>
      </c>
      <c r="N129" s="366">
        <f t="shared" si="32"/>
        <v>0</v>
      </c>
      <c r="O129" s="782"/>
      <c r="P129" s="360">
        <f t="shared" si="34"/>
        <v>9000</v>
      </c>
      <c r="Q129" s="360">
        <f t="shared" si="35"/>
        <v>0</v>
      </c>
      <c r="R129" s="360">
        <f t="shared" si="33"/>
        <v>9000</v>
      </c>
    </row>
    <row r="130" spans="2:18" x14ac:dyDescent="0.2">
      <c r="B130" s="172">
        <f t="shared" si="36"/>
        <v>18</v>
      </c>
      <c r="C130" s="180"/>
      <c r="D130" s="180"/>
      <c r="E130" s="130" t="s">
        <v>671</v>
      </c>
      <c r="F130" s="181">
        <v>620</v>
      </c>
      <c r="G130" s="226" t="s">
        <v>259</v>
      </c>
      <c r="H130" s="541">
        <v>1000</v>
      </c>
      <c r="I130" s="541"/>
      <c r="J130" s="541">
        <f t="shared" si="31"/>
        <v>1000</v>
      </c>
      <c r="K130" s="473"/>
      <c r="L130" s="541"/>
      <c r="M130" s="541"/>
      <c r="N130" s="541">
        <f t="shared" si="32"/>
        <v>0</v>
      </c>
      <c r="O130" s="478"/>
      <c r="P130" s="136">
        <f t="shared" si="34"/>
        <v>1000</v>
      </c>
      <c r="Q130" s="136">
        <f t="shared" si="35"/>
        <v>0</v>
      </c>
      <c r="R130" s="136">
        <f t="shared" si="33"/>
        <v>1000</v>
      </c>
    </row>
    <row r="131" spans="2:18" x14ac:dyDescent="0.2">
      <c r="B131" s="172">
        <f t="shared" si="36"/>
        <v>19</v>
      </c>
      <c r="C131" s="134"/>
      <c r="D131" s="134"/>
      <c r="E131" s="130" t="s">
        <v>671</v>
      </c>
      <c r="F131" s="538">
        <v>633</v>
      </c>
      <c r="G131" s="205" t="s">
        <v>589</v>
      </c>
      <c r="H131" s="541">
        <v>2000</v>
      </c>
      <c r="I131" s="541"/>
      <c r="J131" s="541">
        <f t="shared" si="31"/>
        <v>2000</v>
      </c>
      <c r="K131" s="473"/>
      <c r="L131" s="541"/>
      <c r="M131" s="541"/>
      <c r="N131" s="541">
        <f t="shared" si="32"/>
        <v>0</v>
      </c>
      <c r="O131" s="478"/>
      <c r="P131" s="136">
        <f t="shared" si="34"/>
        <v>2000</v>
      </c>
      <c r="Q131" s="136">
        <f t="shared" si="35"/>
        <v>0</v>
      </c>
      <c r="R131" s="136">
        <f t="shared" si="33"/>
        <v>2000</v>
      </c>
    </row>
    <row r="132" spans="2:18" x14ac:dyDescent="0.2">
      <c r="B132" s="172">
        <f t="shared" si="36"/>
        <v>20</v>
      </c>
      <c r="C132" s="538"/>
      <c r="D132" s="134"/>
      <c r="E132" s="130" t="s">
        <v>671</v>
      </c>
      <c r="F132" s="538">
        <v>637</v>
      </c>
      <c r="G132" s="205" t="s">
        <v>248</v>
      </c>
      <c r="H132" s="541">
        <v>6000</v>
      </c>
      <c r="I132" s="541"/>
      <c r="J132" s="541">
        <f t="shared" si="31"/>
        <v>6000</v>
      </c>
      <c r="K132" s="473"/>
      <c r="L132" s="541"/>
      <c r="M132" s="541"/>
      <c r="N132" s="541">
        <f t="shared" si="32"/>
        <v>0</v>
      </c>
      <c r="O132" s="478"/>
      <c r="P132" s="136">
        <f t="shared" si="34"/>
        <v>6000</v>
      </c>
      <c r="Q132" s="136">
        <f t="shared" si="35"/>
        <v>0</v>
      </c>
      <c r="R132" s="136">
        <f t="shared" si="33"/>
        <v>6000</v>
      </c>
    </row>
    <row r="133" spans="2:18" ht="15.75" x14ac:dyDescent="0.25">
      <c r="B133" s="172">
        <f t="shared" si="36"/>
        <v>21</v>
      </c>
      <c r="C133" s="20">
        <v>4</v>
      </c>
      <c r="D133" s="125" t="s">
        <v>133</v>
      </c>
      <c r="E133" s="21"/>
      <c r="F133" s="21"/>
      <c r="G133" s="195"/>
      <c r="H133" s="404">
        <f>SUM(H134:H139)+H142</f>
        <v>254000</v>
      </c>
      <c r="I133" s="404">
        <f>SUM(I134:I139)+I141</f>
        <v>0</v>
      </c>
      <c r="J133" s="404">
        <f t="shared" si="31"/>
        <v>254000</v>
      </c>
      <c r="K133" s="791"/>
      <c r="L133" s="368">
        <f>SUM(L136:L139)</f>
        <v>136284</v>
      </c>
      <c r="M133" s="368">
        <f>SUM(M136:M139)</f>
        <v>0</v>
      </c>
      <c r="N133" s="368">
        <f t="shared" si="32"/>
        <v>136284</v>
      </c>
      <c r="O133" s="782"/>
      <c r="P133" s="361">
        <f t="shared" si="34"/>
        <v>390284</v>
      </c>
      <c r="Q133" s="361">
        <f t="shared" si="35"/>
        <v>0</v>
      </c>
      <c r="R133" s="361">
        <f t="shared" si="33"/>
        <v>390284</v>
      </c>
    </row>
    <row r="134" spans="2:18" x14ac:dyDescent="0.2">
      <c r="B134" s="172">
        <f t="shared" si="36"/>
        <v>22</v>
      </c>
      <c r="C134" s="129"/>
      <c r="D134" s="129"/>
      <c r="E134" s="130" t="s">
        <v>671</v>
      </c>
      <c r="F134" s="133">
        <v>635</v>
      </c>
      <c r="G134" s="194" t="s">
        <v>276</v>
      </c>
      <c r="H134" s="540">
        <v>11000</v>
      </c>
      <c r="I134" s="540"/>
      <c r="J134" s="540">
        <f t="shared" si="31"/>
        <v>11000</v>
      </c>
      <c r="K134" s="473"/>
      <c r="L134" s="369"/>
      <c r="M134" s="369"/>
      <c r="N134" s="369">
        <f t="shared" si="32"/>
        <v>0</v>
      </c>
      <c r="O134" s="478"/>
      <c r="P134" s="162">
        <f t="shared" si="34"/>
        <v>11000</v>
      </c>
      <c r="Q134" s="162">
        <f t="shared" si="35"/>
        <v>0</v>
      </c>
      <c r="R134" s="162">
        <f t="shared" si="33"/>
        <v>11000</v>
      </c>
    </row>
    <row r="135" spans="2:18" x14ac:dyDescent="0.2">
      <c r="B135" s="172">
        <f t="shared" si="36"/>
        <v>23</v>
      </c>
      <c r="C135" s="129"/>
      <c r="D135" s="129"/>
      <c r="E135" s="130" t="s">
        <v>671</v>
      </c>
      <c r="F135" s="133">
        <v>637</v>
      </c>
      <c r="G135" s="194" t="s">
        <v>706</v>
      </c>
      <c r="H135" s="540">
        <v>8000</v>
      </c>
      <c r="I135" s="540"/>
      <c r="J135" s="540">
        <f t="shared" si="31"/>
        <v>8000</v>
      </c>
      <c r="K135" s="473"/>
      <c r="L135" s="369"/>
      <c r="M135" s="369"/>
      <c r="N135" s="369">
        <f t="shared" si="32"/>
        <v>0</v>
      </c>
      <c r="O135" s="478"/>
      <c r="P135" s="162">
        <f t="shared" si="34"/>
        <v>8000</v>
      </c>
      <c r="Q135" s="162">
        <f t="shared" si="35"/>
        <v>0</v>
      </c>
      <c r="R135" s="162">
        <f t="shared" si="33"/>
        <v>8000</v>
      </c>
    </row>
    <row r="136" spans="2:18" x14ac:dyDescent="0.2">
      <c r="B136" s="172">
        <f t="shared" si="36"/>
        <v>24</v>
      </c>
      <c r="C136" s="129"/>
      <c r="D136" s="129"/>
      <c r="E136" s="130" t="s">
        <v>671</v>
      </c>
      <c r="F136" s="133">
        <v>717</v>
      </c>
      <c r="G136" s="194" t="s">
        <v>704</v>
      </c>
      <c r="H136" s="540"/>
      <c r="I136" s="540"/>
      <c r="J136" s="540">
        <f t="shared" si="31"/>
        <v>0</v>
      </c>
      <c r="K136" s="473"/>
      <c r="L136" s="369">
        <f>20000-516-8000</f>
        <v>11484</v>
      </c>
      <c r="M136" s="369"/>
      <c r="N136" s="369">
        <f t="shared" si="32"/>
        <v>11484</v>
      </c>
      <c r="O136" s="478"/>
      <c r="P136" s="162">
        <f t="shared" si="34"/>
        <v>11484</v>
      </c>
      <c r="Q136" s="162">
        <f t="shared" si="35"/>
        <v>0</v>
      </c>
      <c r="R136" s="162">
        <f t="shared" si="33"/>
        <v>11484</v>
      </c>
    </row>
    <row r="137" spans="2:18" x14ac:dyDescent="0.2">
      <c r="B137" s="172">
        <f t="shared" si="36"/>
        <v>25</v>
      </c>
      <c r="C137" s="129"/>
      <c r="D137" s="129"/>
      <c r="E137" s="130" t="s">
        <v>671</v>
      </c>
      <c r="F137" s="133">
        <v>717</v>
      </c>
      <c r="G137" s="194" t="s">
        <v>826</v>
      </c>
      <c r="H137" s="540"/>
      <c r="I137" s="540"/>
      <c r="J137" s="540"/>
      <c r="K137" s="473"/>
      <c r="L137" s="369">
        <v>4800</v>
      </c>
      <c r="M137" s="369"/>
      <c r="N137" s="369">
        <f t="shared" si="32"/>
        <v>4800</v>
      </c>
      <c r="O137" s="478"/>
      <c r="P137" s="162">
        <f t="shared" si="34"/>
        <v>4800</v>
      </c>
      <c r="Q137" s="162">
        <f t="shared" si="35"/>
        <v>0</v>
      </c>
      <c r="R137" s="162">
        <f t="shared" si="33"/>
        <v>4800</v>
      </c>
    </row>
    <row r="138" spans="2:18" x14ac:dyDescent="0.2">
      <c r="B138" s="172">
        <f t="shared" si="36"/>
        <v>26</v>
      </c>
      <c r="C138" s="129"/>
      <c r="D138" s="129"/>
      <c r="E138" s="130" t="s">
        <v>671</v>
      </c>
      <c r="F138" s="133">
        <v>716</v>
      </c>
      <c r="G138" s="194" t="s">
        <v>707</v>
      </c>
      <c r="H138" s="540"/>
      <c r="I138" s="540"/>
      <c r="J138" s="540">
        <f t="shared" si="31"/>
        <v>0</v>
      </c>
      <c r="K138" s="473"/>
      <c r="L138" s="369">
        <v>6000</v>
      </c>
      <c r="M138" s="369"/>
      <c r="N138" s="369">
        <f t="shared" si="32"/>
        <v>6000</v>
      </c>
      <c r="O138" s="478"/>
      <c r="P138" s="162">
        <f t="shared" si="34"/>
        <v>6000</v>
      </c>
      <c r="Q138" s="162">
        <f t="shared" si="35"/>
        <v>0</v>
      </c>
      <c r="R138" s="162">
        <f t="shared" si="33"/>
        <v>6000</v>
      </c>
    </row>
    <row r="139" spans="2:18" x14ac:dyDescent="0.2">
      <c r="B139" s="172">
        <f t="shared" si="36"/>
        <v>27</v>
      </c>
      <c r="C139" s="129"/>
      <c r="D139" s="129"/>
      <c r="E139" s="130" t="s">
        <v>671</v>
      </c>
      <c r="F139" s="133">
        <v>717</v>
      </c>
      <c r="G139" s="194" t="s">
        <v>701</v>
      </c>
      <c r="H139" s="540"/>
      <c r="I139" s="540"/>
      <c r="J139" s="540">
        <f t="shared" si="31"/>
        <v>0</v>
      </c>
      <c r="K139" s="473"/>
      <c r="L139" s="369">
        <f>80000+6000+28000</f>
        <v>114000</v>
      </c>
      <c r="M139" s="369"/>
      <c r="N139" s="369">
        <f t="shared" si="32"/>
        <v>114000</v>
      </c>
      <c r="O139" s="478"/>
      <c r="P139" s="162">
        <f t="shared" si="34"/>
        <v>114000</v>
      </c>
      <c r="Q139" s="162">
        <f t="shared" si="35"/>
        <v>0</v>
      </c>
      <c r="R139" s="162">
        <f t="shared" si="33"/>
        <v>114000</v>
      </c>
    </row>
    <row r="140" spans="2:18" x14ac:dyDescent="0.2">
      <c r="B140" s="172">
        <f t="shared" si="36"/>
        <v>28</v>
      </c>
      <c r="C140" s="129"/>
      <c r="D140" s="129"/>
      <c r="E140" s="130"/>
      <c r="F140" s="133"/>
      <c r="G140" s="194"/>
      <c r="H140" s="540"/>
      <c r="I140" s="540"/>
      <c r="J140" s="540"/>
      <c r="K140" s="473"/>
      <c r="L140" s="369"/>
      <c r="M140" s="540"/>
      <c r="N140" s="540"/>
      <c r="O140" s="478"/>
      <c r="P140" s="162"/>
      <c r="Q140" s="542"/>
      <c r="R140" s="542"/>
    </row>
    <row r="141" spans="2:18" x14ac:dyDescent="0.2">
      <c r="B141" s="172">
        <f t="shared" si="36"/>
        <v>29</v>
      </c>
      <c r="C141" s="129"/>
      <c r="D141" s="129"/>
      <c r="E141" s="133"/>
      <c r="F141" s="133"/>
      <c r="G141" s="194"/>
      <c r="H141" s="540"/>
      <c r="I141" s="540"/>
      <c r="J141" s="540"/>
      <c r="K141" s="473"/>
      <c r="L141" s="540"/>
      <c r="M141" s="540"/>
      <c r="N141" s="540"/>
      <c r="O141" s="478"/>
      <c r="P141" s="542"/>
      <c r="Q141" s="542"/>
      <c r="R141" s="542"/>
    </row>
    <row r="142" spans="2:18" x14ac:dyDescent="0.2">
      <c r="B142" s="172">
        <f t="shared" si="36"/>
        <v>30</v>
      </c>
      <c r="C142" s="129"/>
      <c r="D142" s="129"/>
      <c r="E142" s="157" t="s">
        <v>258</v>
      </c>
      <c r="F142" s="157"/>
      <c r="G142" s="227" t="s">
        <v>443</v>
      </c>
      <c r="H142" s="374">
        <f>H143+H144+H145+H152</f>
        <v>235000</v>
      </c>
      <c r="I142" s="374">
        <f>I143+I144+I145+I152</f>
        <v>0</v>
      </c>
      <c r="J142" s="374">
        <f t="shared" ref="J142:J177" si="37">I142+H142</f>
        <v>235000</v>
      </c>
      <c r="K142" s="796"/>
      <c r="L142" s="540">
        <v>0</v>
      </c>
      <c r="M142" s="540">
        <v>0</v>
      </c>
      <c r="N142" s="540">
        <f t="shared" ref="N142:N169" si="38">M142+L142</f>
        <v>0</v>
      </c>
      <c r="O142" s="478"/>
      <c r="P142" s="151">
        <f t="shared" ref="P142:P169" si="39">H142+L142</f>
        <v>235000</v>
      </c>
      <c r="Q142" s="151">
        <f t="shared" si="35"/>
        <v>0</v>
      </c>
      <c r="R142" s="151">
        <f t="shared" ref="R142:R169" si="40">Q142+P142</f>
        <v>235000</v>
      </c>
    </row>
    <row r="143" spans="2:18" x14ac:dyDescent="0.2">
      <c r="B143" s="172">
        <f t="shared" si="36"/>
        <v>31</v>
      </c>
      <c r="C143" s="144"/>
      <c r="D143" s="144"/>
      <c r="E143" s="133"/>
      <c r="F143" s="150">
        <v>610</v>
      </c>
      <c r="G143" s="202" t="s">
        <v>257</v>
      </c>
      <c r="H143" s="375">
        <v>63900</v>
      </c>
      <c r="I143" s="375"/>
      <c r="J143" s="375">
        <f t="shared" si="37"/>
        <v>63900</v>
      </c>
      <c r="K143" s="796"/>
      <c r="L143" s="375"/>
      <c r="M143" s="375"/>
      <c r="N143" s="375">
        <f t="shared" si="38"/>
        <v>0</v>
      </c>
      <c r="O143" s="776"/>
      <c r="P143" s="151">
        <f t="shared" si="39"/>
        <v>63900</v>
      </c>
      <c r="Q143" s="151">
        <f t="shared" si="35"/>
        <v>0</v>
      </c>
      <c r="R143" s="151">
        <f t="shared" si="40"/>
        <v>63900</v>
      </c>
    </row>
    <row r="144" spans="2:18" x14ac:dyDescent="0.2">
      <c r="B144" s="172">
        <f t="shared" si="36"/>
        <v>32</v>
      </c>
      <c r="C144" s="129"/>
      <c r="D144" s="129"/>
      <c r="E144" s="133"/>
      <c r="F144" s="150">
        <v>620</v>
      </c>
      <c r="G144" s="202" t="s">
        <v>259</v>
      </c>
      <c r="H144" s="375">
        <v>24570</v>
      </c>
      <c r="I144" s="375"/>
      <c r="J144" s="375">
        <f t="shared" si="37"/>
        <v>24570</v>
      </c>
      <c r="K144" s="796"/>
      <c r="L144" s="540"/>
      <c r="M144" s="540"/>
      <c r="N144" s="540">
        <f t="shared" si="38"/>
        <v>0</v>
      </c>
      <c r="O144" s="478"/>
      <c r="P144" s="151">
        <f t="shared" si="39"/>
        <v>24570</v>
      </c>
      <c r="Q144" s="151">
        <f t="shared" si="35"/>
        <v>0</v>
      </c>
      <c r="R144" s="151">
        <f t="shared" si="40"/>
        <v>24570</v>
      </c>
    </row>
    <row r="145" spans="2:18" x14ac:dyDescent="0.2">
      <c r="B145" s="172">
        <f t="shared" si="36"/>
        <v>33</v>
      </c>
      <c r="C145" s="129"/>
      <c r="D145" s="129"/>
      <c r="E145" s="133"/>
      <c r="F145" s="150">
        <v>630</v>
      </c>
      <c r="G145" s="202" t="s">
        <v>249</v>
      </c>
      <c r="H145" s="375">
        <f>SUM(H146:H151)</f>
        <v>146330</v>
      </c>
      <c r="I145" s="375">
        <f>SUM(I146:I151)</f>
        <v>0</v>
      </c>
      <c r="J145" s="375">
        <f t="shared" si="37"/>
        <v>146330</v>
      </c>
      <c r="K145" s="796"/>
      <c r="L145" s="540"/>
      <c r="M145" s="540"/>
      <c r="N145" s="540">
        <f t="shared" si="38"/>
        <v>0</v>
      </c>
      <c r="O145" s="478"/>
      <c r="P145" s="542">
        <f t="shared" si="39"/>
        <v>146330</v>
      </c>
      <c r="Q145" s="542">
        <f t="shared" si="35"/>
        <v>0</v>
      </c>
      <c r="R145" s="542">
        <f t="shared" si="40"/>
        <v>146330</v>
      </c>
    </row>
    <row r="146" spans="2:18" x14ac:dyDescent="0.2">
      <c r="B146" s="172">
        <f t="shared" si="36"/>
        <v>34</v>
      </c>
      <c r="C146" s="129"/>
      <c r="D146" s="129"/>
      <c r="E146" s="133"/>
      <c r="F146" s="133">
        <v>632</v>
      </c>
      <c r="G146" s="194" t="s">
        <v>246</v>
      </c>
      <c r="H146" s="540">
        <v>90000</v>
      </c>
      <c r="I146" s="540"/>
      <c r="J146" s="540">
        <f t="shared" si="37"/>
        <v>90000</v>
      </c>
      <c r="K146" s="473"/>
      <c r="L146" s="540"/>
      <c r="M146" s="540"/>
      <c r="N146" s="540">
        <f t="shared" si="38"/>
        <v>0</v>
      </c>
      <c r="O146" s="478"/>
      <c r="P146" s="542">
        <f t="shared" si="39"/>
        <v>90000</v>
      </c>
      <c r="Q146" s="542">
        <f t="shared" si="35"/>
        <v>0</v>
      </c>
      <c r="R146" s="542">
        <f t="shared" si="40"/>
        <v>90000</v>
      </c>
    </row>
    <row r="147" spans="2:18" x14ac:dyDescent="0.2">
      <c r="B147" s="172">
        <f t="shared" si="36"/>
        <v>35</v>
      </c>
      <c r="C147" s="129"/>
      <c r="D147" s="129"/>
      <c r="E147" s="133"/>
      <c r="F147" s="133">
        <v>633</v>
      </c>
      <c r="G147" s="194" t="s">
        <v>247</v>
      </c>
      <c r="H147" s="540">
        <v>5000</v>
      </c>
      <c r="I147" s="540"/>
      <c r="J147" s="540">
        <f t="shared" si="37"/>
        <v>5000</v>
      </c>
      <c r="K147" s="473"/>
      <c r="L147" s="540"/>
      <c r="M147" s="540"/>
      <c r="N147" s="540">
        <f t="shared" si="38"/>
        <v>0</v>
      </c>
      <c r="O147" s="478"/>
      <c r="P147" s="542">
        <f t="shared" si="39"/>
        <v>5000</v>
      </c>
      <c r="Q147" s="542">
        <f t="shared" si="35"/>
        <v>0</v>
      </c>
      <c r="R147" s="542">
        <f t="shared" si="40"/>
        <v>5000</v>
      </c>
    </row>
    <row r="148" spans="2:18" x14ac:dyDescent="0.2">
      <c r="B148" s="172">
        <f t="shared" si="36"/>
        <v>36</v>
      </c>
      <c r="C148" s="129"/>
      <c r="D148" s="129"/>
      <c r="E148" s="133"/>
      <c r="F148" s="133">
        <v>634</v>
      </c>
      <c r="G148" s="194" t="s">
        <v>260</v>
      </c>
      <c r="H148" s="540">
        <v>4200</v>
      </c>
      <c r="I148" s="540"/>
      <c r="J148" s="540">
        <f t="shared" si="37"/>
        <v>4200</v>
      </c>
      <c r="K148" s="473"/>
      <c r="L148" s="540"/>
      <c r="M148" s="540"/>
      <c r="N148" s="540">
        <f t="shared" si="38"/>
        <v>0</v>
      </c>
      <c r="O148" s="478"/>
      <c r="P148" s="542">
        <f t="shared" si="39"/>
        <v>4200</v>
      </c>
      <c r="Q148" s="542">
        <f t="shared" si="35"/>
        <v>0</v>
      </c>
      <c r="R148" s="542">
        <f t="shared" si="40"/>
        <v>4200</v>
      </c>
    </row>
    <row r="149" spans="2:18" x14ac:dyDescent="0.2">
      <c r="B149" s="172">
        <f t="shared" si="36"/>
        <v>37</v>
      </c>
      <c r="C149" s="129"/>
      <c r="D149" s="129"/>
      <c r="E149" s="133"/>
      <c r="F149" s="133">
        <v>636</v>
      </c>
      <c r="G149" s="194" t="s">
        <v>347</v>
      </c>
      <c r="H149" s="540">
        <v>50</v>
      </c>
      <c r="I149" s="540"/>
      <c r="J149" s="540">
        <f t="shared" si="37"/>
        <v>50</v>
      </c>
      <c r="K149" s="473"/>
      <c r="L149" s="540"/>
      <c r="M149" s="540"/>
      <c r="N149" s="540">
        <f t="shared" si="38"/>
        <v>0</v>
      </c>
      <c r="O149" s="478"/>
      <c r="P149" s="542">
        <f t="shared" si="39"/>
        <v>50</v>
      </c>
      <c r="Q149" s="542">
        <f t="shared" si="35"/>
        <v>0</v>
      </c>
      <c r="R149" s="542">
        <f t="shared" si="40"/>
        <v>50</v>
      </c>
    </row>
    <row r="150" spans="2:18" x14ac:dyDescent="0.2">
      <c r="B150" s="172">
        <f t="shared" si="36"/>
        <v>38</v>
      </c>
      <c r="C150" s="129"/>
      <c r="D150" s="129"/>
      <c r="E150" s="133"/>
      <c r="F150" s="133">
        <v>635</v>
      </c>
      <c r="G150" s="194" t="s">
        <v>261</v>
      </c>
      <c r="H150" s="540">
        <v>33000</v>
      </c>
      <c r="I150" s="540"/>
      <c r="J150" s="540">
        <f t="shared" si="37"/>
        <v>33000</v>
      </c>
      <c r="K150" s="473"/>
      <c r="L150" s="540"/>
      <c r="M150" s="540"/>
      <c r="N150" s="540">
        <f t="shared" si="38"/>
        <v>0</v>
      </c>
      <c r="O150" s="478"/>
      <c r="P150" s="542">
        <f t="shared" si="39"/>
        <v>33000</v>
      </c>
      <c r="Q150" s="542">
        <f t="shared" si="35"/>
        <v>0</v>
      </c>
      <c r="R150" s="542">
        <f t="shared" si="40"/>
        <v>33000</v>
      </c>
    </row>
    <row r="151" spans="2:18" x14ac:dyDescent="0.2">
      <c r="B151" s="172">
        <f t="shared" si="36"/>
        <v>39</v>
      </c>
      <c r="C151" s="129"/>
      <c r="D151" s="129"/>
      <c r="E151" s="133"/>
      <c r="F151" s="133">
        <v>637</v>
      </c>
      <c r="G151" s="194" t="s">
        <v>248</v>
      </c>
      <c r="H151" s="540">
        <v>14080</v>
      </c>
      <c r="I151" s="540"/>
      <c r="J151" s="540">
        <f t="shared" si="37"/>
        <v>14080</v>
      </c>
      <c r="K151" s="473"/>
      <c r="L151" s="540"/>
      <c r="M151" s="540"/>
      <c r="N151" s="540">
        <f t="shared" si="38"/>
        <v>0</v>
      </c>
      <c r="O151" s="478"/>
      <c r="P151" s="542">
        <f t="shared" si="39"/>
        <v>14080</v>
      </c>
      <c r="Q151" s="542">
        <f t="shared" si="35"/>
        <v>0</v>
      </c>
      <c r="R151" s="542">
        <f t="shared" si="40"/>
        <v>14080</v>
      </c>
    </row>
    <row r="152" spans="2:18" x14ac:dyDescent="0.2">
      <c r="B152" s="172">
        <f t="shared" si="36"/>
        <v>40</v>
      </c>
      <c r="C152" s="129"/>
      <c r="D152" s="161"/>
      <c r="E152" s="133"/>
      <c r="F152" s="155">
        <v>640</v>
      </c>
      <c r="G152" s="202" t="s">
        <v>268</v>
      </c>
      <c r="H152" s="375">
        <v>200</v>
      </c>
      <c r="I152" s="375"/>
      <c r="J152" s="375">
        <f t="shared" si="37"/>
        <v>200</v>
      </c>
      <c r="K152" s="796"/>
      <c r="L152" s="369"/>
      <c r="M152" s="369"/>
      <c r="N152" s="369">
        <f t="shared" si="38"/>
        <v>0</v>
      </c>
      <c r="O152" s="478"/>
      <c r="P152" s="151">
        <f t="shared" si="39"/>
        <v>200</v>
      </c>
      <c r="Q152" s="151">
        <f t="shared" si="35"/>
        <v>0</v>
      </c>
      <c r="R152" s="151">
        <f t="shared" si="40"/>
        <v>200</v>
      </c>
    </row>
    <row r="153" spans="2:18" ht="15.75" x14ac:dyDescent="0.25">
      <c r="B153" s="172">
        <f t="shared" si="36"/>
        <v>41</v>
      </c>
      <c r="C153" s="22">
        <v>5</v>
      </c>
      <c r="D153" s="126" t="s">
        <v>207</v>
      </c>
      <c r="E153" s="23"/>
      <c r="F153" s="23"/>
      <c r="G153" s="193"/>
      <c r="H153" s="402">
        <f>H154+H155+H156+H161+H162</f>
        <v>2977035</v>
      </c>
      <c r="I153" s="404">
        <f>I154+I155+I156+I161+I162</f>
        <v>-5000</v>
      </c>
      <c r="J153" s="404">
        <f t="shared" si="37"/>
        <v>2972035</v>
      </c>
      <c r="K153" s="791"/>
      <c r="L153" s="366">
        <v>0</v>
      </c>
      <c r="M153" s="366">
        <v>0</v>
      </c>
      <c r="N153" s="366">
        <f t="shared" si="38"/>
        <v>0</v>
      </c>
      <c r="O153" s="782"/>
      <c r="P153" s="360">
        <f t="shared" si="39"/>
        <v>2977035</v>
      </c>
      <c r="Q153" s="360">
        <f t="shared" si="35"/>
        <v>-5000</v>
      </c>
      <c r="R153" s="360">
        <f t="shared" si="40"/>
        <v>2972035</v>
      </c>
    </row>
    <row r="154" spans="2:18" x14ac:dyDescent="0.2">
      <c r="B154" s="172">
        <f t="shared" si="36"/>
        <v>42</v>
      </c>
      <c r="C154" s="134"/>
      <c r="D154" s="134"/>
      <c r="E154" s="130" t="s">
        <v>671</v>
      </c>
      <c r="F154" s="150">
        <v>610</v>
      </c>
      <c r="G154" s="202" t="s">
        <v>257</v>
      </c>
      <c r="H154" s="375">
        <v>1550000</v>
      </c>
      <c r="I154" s="375"/>
      <c r="J154" s="375">
        <f t="shared" si="37"/>
        <v>1550000</v>
      </c>
      <c r="K154" s="796"/>
      <c r="L154" s="540"/>
      <c r="M154" s="540"/>
      <c r="N154" s="540">
        <f t="shared" si="38"/>
        <v>0</v>
      </c>
      <c r="O154" s="478"/>
      <c r="P154" s="151">
        <f t="shared" si="39"/>
        <v>1550000</v>
      </c>
      <c r="Q154" s="151">
        <f t="shared" si="35"/>
        <v>0</v>
      </c>
      <c r="R154" s="151">
        <f t="shared" si="40"/>
        <v>1550000</v>
      </c>
    </row>
    <row r="155" spans="2:18" x14ac:dyDescent="0.2">
      <c r="B155" s="172">
        <f t="shared" si="36"/>
        <v>43</v>
      </c>
      <c r="C155" s="129"/>
      <c r="D155" s="129"/>
      <c r="E155" s="130" t="s">
        <v>671</v>
      </c>
      <c r="F155" s="150">
        <v>620</v>
      </c>
      <c r="G155" s="202" t="s">
        <v>259</v>
      </c>
      <c r="H155" s="375">
        <v>580000</v>
      </c>
      <c r="I155" s="375"/>
      <c r="J155" s="375">
        <f t="shared" si="37"/>
        <v>580000</v>
      </c>
      <c r="K155" s="796"/>
      <c r="L155" s="540"/>
      <c r="M155" s="540"/>
      <c r="N155" s="540">
        <f t="shared" si="38"/>
        <v>0</v>
      </c>
      <c r="O155" s="478"/>
      <c r="P155" s="151">
        <f t="shared" si="39"/>
        <v>580000</v>
      </c>
      <c r="Q155" s="151">
        <f t="shared" si="35"/>
        <v>0</v>
      </c>
      <c r="R155" s="151">
        <f t="shared" si="40"/>
        <v>580000</v>
      </c>
    </row>
    <row r="156" spans="2:18" x14ac:dyDescent="0.2">
      <c r="B156" s="172">
        <f t="shared" si="36"/>
        <v>44</v>
      </c>
      <c r="C156" s="129"/>
      <c r="D156" s="129"/>
      <c r="E156" s="130" t="s">
        <v>671</v>
      </c>
      <c r="F156" s="150">
        <v>630</v>
      </c>
      <c r="G156" s="202" t="s">
        <v>236</v>
      </c>
      <c r="H156" s="375">
        <f>H157+H158+H159+H160</f>
        <v>453510</v>
      </c>
      <c r="I156" s="375">
        <f>I157+I158+I159+I160</f>
        <v>0</v>
      </c>
      <c r="J156" s="375">
        <f t="shared" si="37"/>
        <v>453510</v>
      </c>
      <c r="K156" s="796"/>
      <c r="L156" s="540"/>
      <c r="M156" s="540"/>
      <c r="N156" s="540">
        <f t="shared" si="38"/>
        <v>0</v>
      </c>
      <c r="O156" s="478"/>
      <c r="P156" s="151">
        <f t="shared" si="39"/>
        <v>453510</v>
      </c>
      <c r="Q156" s="151">
        <f t="shared" si="35"/>
        <v>0</v>
      </c>
      <c r="R156" s="151">
        <f t="shared" si="40"/>
        <v>453510</v>
      </c>
    </row>
    <row r="157" spans="2:18" x14ac:dyDescent="0.2">
      <c r="B157" s="172">
        <f t="shared" si="36"/>
        <v>45</v>
      </c>
      <c r="C157" s="129"/>
      <c r="D157" s="129"/>
      <c r="E157" s="133"/>
      <c r="F157" s="133">
        <v>632</v>
      </c>
      <c r="G157" s="194" t="s">
        <v>246</v>
      </c>
      <c r="H157" s="540">
        <v>164700</v>
      </c>
      <c r="I157" s="540"/>
      <c r="J157" s="540">
        <f t="shared" si="37"/>
        <v>164700</v>
      </c>
      <c r="K157" s="473"/>
      <c r="L157" s="540"/>
      <c r="M157" s="540"/>
      <c r="N157" s="540">
        <f t="shared" si="38"/>
        <v>0</v>
      </c>
      <c r="O157" s="478"/>
      <c r="P157" s="542">
        <f t="shared" si="39"/>
        <v>164700</v>
      </c>
      <c r="Q157" s="542">
        <f t="shared" si="35"/>
        <v>0</v>
      </c>
      <c r="R157" s="542">
        <f t="shared" si="40"/>
        <v>164700</v>
      </c>
    </row>
    <row r="158" spans="2:18" x14ac:dyDescent="0.2">
      <c r="B158" s="172">
        <f t="shared" si="36"/>
        <v>46</v>
      </c>
      <c r="C158" s="129"/>
      <c r="D158" s="129"/>
      <c r="E158" s="133"/>
      <c r="F158" s="133">
        <v>633</v>
      </c>
      <c r="G158" s="194" t="s">
        <v>247</v>
      </c>
      <c r="H158" s="540">
        <f>38000+810</f>
        <v>38810</v>
      </c>
      <c r="I158" s="540"/>
      <c r="J158" s="540">
        <f t="shared" si="37"/>
        <v>38810</v>
      </c>
      <c r="K158" s="473"/>
      <c r="L158" s="540"/>
      <c r="M158" s="540"/>
      <c r="N158" s="540">
        <f t="shared" si="38"/>
        <v>0</v>
      </c>
      <c r="O158" s="478"/>
      <c r="P158" s="542">
        <f t="shared" si="39"/>
        <v>38810</v>
      </c>
      <c r="Q158" s="542">
        <f t="shared" si="35"/>
        <v>0</v>
      </c>
      <c r="R158" s="542">
        <f t="shared" si="40"/>
        <v>38810</v>
      </c>
    </row>
    <row r="159" spans="2:18" x14ac:dyDescent="0.2">
      <c r="B159" s="172">
        <f t="shared" si="36"/>
        <v>47</v>
      </c>
      <c r="C159" s="129"/>
      <c r="D159" s="129"/>
      <c r="E159" s="133"/>
      <c r="F159" s="133">
        <v>635</v>
      </c>
      <c r="G159" s="194" t="s">
        <v>261</v>
      </c>
      <c r="H159" s="540">
        <v>35000</v>
      </c>
      <c r="I159" s="540"/>
      <c r="J159" s="540">
        <f t="shared" si="37"/>
        <v>35000</v>
      </c>
      <c r="K159" s="473"/>
      <c r="L159" s="540"/>
      <c r="M159" s="540"/>
      <c r="N159" s="540">
        <f t="shared" si="38"/>
        <v>0</v>
      </c>
      <c r="O159" s="478"/>
      <c r="P159" s="542">
        <f t="shared" si="39"/>
        <v>35000</v>
      </c>
      <c r="Q159" s="542">
        <f t="shared" si="35"/>
        <v>0</v>
      </c>
      <c r="R159" s="542">
        <f t="shared" si="40"/>
        <v>35000</v>
      </c>
    </row>
    <row r="160" spans="2:18" x14ac:dyDescent="0.2">
      <c r="B160" s="172">
        <f t="shared" si="36"/>
        <v>48</v>
      </c>
      <c r="C160" s="129"/>
      <c r="D160" s="129"/>
      <c r="E160" s="133"/>
      <c r="F160" s="133">
        <v>637</v>
      </c>
      <c r="G160" s="194" t="s">
        <v>248</v>
      </c>
      <c r="H160" s="540">
        <v>215000</v>
      </c>
      <c r="I160" s="540"/>
      <c r="J160" s="540">
        <f t="shared" si="37"/>
        <v>215000</v>
      </c>
      <c r="K160" s="473"/>
      <c r="L160" s="540"/>
      <c r="M160" s="540"/>
      <c r="N160" s="540">
        <f t="shared" si="38"/>
        <v>0</v>
      </c>
      <c r="O160" s="478"/>
      <c r="P160" s="542">
        <f t="shared" si="39"/>
        <v>215000</v>
      </c>
      <c r="Q160" s="542">
        <f t="shared" si="35"/>
        <v>0</v>
      </c>
      <c r="R160" s="542">
        <f t="shared" si="40"/>
        <v>215000</v>
      </c>
    </row>
    <row r="161" spans="2:18" x14ac:dyDescent="0.2">
      <c r="B161" s="172">
        <f t="shared" si="36"/>
        <v>49</v>
      </c>
      <c r="C161" s="129"/>
      <c r="D161" s="129"/>
      <c r="E161" s="130" t="s">
        <v>671</v>
      </c>
      <c r="F161" s="155">
        <v>640</v>
      </c>
      <c r="G161" s="202" t="s">
        <v>302</v>
      </c>
      <c r="H161" s="375">
        <v>35000</v>
      </c>
      <c r="I161" s="375"/>
      <c r="J161" s="375">
        <f t="shared" si="37"/>
        <v>35000</v>
      </c>
      <c r="K161" s="796"/>
      <c r="L161" s="540"/>
      <c r="M161" s="540"/>
      <c r="N161" s="540">
        <f t="shared" si="38"/>
        <v>0</v>
      </c>
      <c r="O161" s="478"/>
      <c r="P161" s="151">
        <f t="shared" si="39"/>
        <v>35000</v>
      </c>
      <c r="Q161" s="151">
        <f t="shared" si="35"/>
        <v>0</v>
      </c>
      <c r="R161" s="151">
        <f t="shared" si="40"/>
        <v>35000</v>
      </c>
    </row>
    <row r="162" spans="2:18" x14ac:dyDescent="0.2">
      <c r="B162" s="172">
        <f t="shared" si="36"/>
        <v>50</v>
      </c>
      <c r="C162" s="129"/>
      <c r="D162" s="129"/>
      <c r="E162" s="133" t="s">
        <v>566</v>
      </c>
      <c r="F162" s="150">
        <v>650</v>
      </c>
      <c r="G162" s="202" t="s">
        <v>565</v>
      </c>
      <c r="H162" s="375">
        <f>370000-11475</f>
        <v>358525</v>
      </c>
      <c r="I162" s="375">
        <v>-5000</v>
      </c>
      <c r="J162" s="375">
        <f t="shared" si="37"/>
        <v>353525</v>
      </c>
      <c r="K162" s="796"/>
      <c r="L162" s="540"/>
      <c r="M162" s="540"/>
      <c r="N162" s="540">
        <f t="shared" si="38"/>
        <v>0</v>
      </c>
      <c r="O162" s="478"/>
      <c r="P162" s="151">
        <f t="shared" si="39"/>
        <v>358525</v>
      </c>
      <c r="Q162" s="151">
        <f t="shared" si="35"/>
        <v>-5000</v>
      </c>
      <c r="R162" s="151">
        <f t="shared" si="40"/>
        <v>353525</v>
      </c>
    </row>
    <row r="163" spans="2:18" ht="15.75" x14ac:dyDescent="0.25">
      <c r="B163" s="172">
        <f t="shared" si="36"/>
        <v>51</v>
      </c>
      <c r="C163" s="22">
        <v>6</v>
      </c>
      <c r="D163" s="126" t="s">
        <v>237</v>
      </c>
      <c r="E163" s="23"/>
      <c r="F163" s="23"/>
      <c r="G163" s="193"/>
      <c r="H163" s="402">
        <f>H165+H164</f>
        <v>7000</v>
      </c>
      <c r="I163" s="404">
        <f>I165+I164</f>
        <v>0</v>
      </c>
      <c r="J163" s="404">
        <f t="shared" si="37"/>
        <v>7000</v>
      </c>
      <c r="K163" s="791"/>
      <c r="L163" s="366">
        <v>0</v>
      </c>
      <c r="M163" s="366">
        <v>0</v>
      </c>
      <c r="N163" s="366">
        <f t="shared" si="38"/>
        <v>0</v>
      </c>
      <c r="O163" s="782"/>
      <c r="P163" s="360">
        <f t="shared" si="39"/>
        <v>7000</v>
      </c>
      <c r="Q163" s="360">
        <f t="shared" si="35"/>
        <v>0</v>
      </c>
      <c r="R163" s="360">
        <f t="shared" si="40"/>
        <v>7000</v>
      </c>
    </row>
    <row r="164" spans="2:18" x14ac:dyDescent="0.2">
      <c r="B164" s="172">
        <f t="shared" si="36"/>
        <v>52</v>
      </c>
      <c r="C164" s="134"/>
      <c r="D164" s="134"/>
      <c r="E164" s="538" t="s">
        <v>671</v>
      </c>
      <c r="F164" s="538">
        <v>631</v>
      </c>
      <c r="G164" s="205" t="s">
        <v>485</v>
      </c>
      <c r="H164" s="540">
        <v>2500</v>
      </c>
      <c r="I164" s="540"/>
      <c r="J164" s="540">
        <f t="shared" si="37"/>
        <v>2500</v>
      </c>
      <c r="K164" s="473"/>
      <c r="L164" s="540"/>
      <c r="M164" s="540"/>
      <c r="N164" s="540">
        <f t="shared" si="38"/>
        <v>0</v>
      </c>
      <c r="O164" s="478"/>
      <c r="P164" s="542">
        <f t="shared" si="39"/>
        <v>2500</v>
      </c>
      <c r="Q164" s="542">
        <f t="shared" si="35"/>
        <v>0</v>
      </c>
      <c r="R164" s="542">
        <f t="shared" si="40"/>
        <v>2500</v>
      </c>
    </row>
    <row r="165" spans="2:18" x14ac:dyDescent="0.2">
      <c r="B165" s="172">
        <f t="shared" si="36"/>
        <v>53</v>
      </c>
      <c r="C165" s="129"/>
      <c r="D165" s="129"/>
      <c r="E165" s="538" t="s">
        <v>428</v>
      </c>
      <c r="F165" s="133">
        <v>637</v>
      </c>
      <c r="G165" s="194" t="s">
        <v>486</v>
      </c>
      <c r="H165" s="540">
        <v>4500</v>
      </c>
      <c r="I165" s="540"/>
      <c r="J165" s="540">
        <f t="shared" si="37"/>
        <v>4500</v>
      </c>
      <c r="K165" s="473"/>
      <c r="L165" s="540"/>
      <c r="M165" s="540"/>
      <c r="N165" s="540">
        <f t="shared" si="38"/>
        <v>0</v>
      </c>
      <c r="O165" s="478"/>
      <c r="P165" s="542">
        <f t="shared" si="39"/>
        <v>4500</v>
      </c>
      <c r="Q165" s="542">
        <f t="shared" si="35"/>
        <v>0</v>
      </c>
      <c r="R165" s="542">
        <f t="shared" si="40"/>
        <v>4500</v>
      </c>
    </row>
    <row r="166" spans="2:18" ht="15.75" x14ac:dyDescent="0.25">
      <c r="B166" s="172">
        <f t="shared" si="36"/>
        <v>54</v>
      </c>
      <c r="C166" s="22">
        <v>7</v>
      </c>
      <c r="D166" s="126" t="s">
        <v>134</v>
      </c>
      <c r="E166" s="23"/>
      <c r="F166" s="23"/>
      <c r="G166" s="193"/>
      <c r="H166" s="405">
        <f>SUM(H167:H169)</f>
        <v>131990</v>
      </c>
      <c r="I166" s="772">
        <f>SUM(I167:I169)</f>
        <v>0</v>
      </c>
      <c r="J166" s="772">
        <f t="shared" si="37"/>
        <v>131990</v>
      </c>
      <c r="K166" s="791"/>
      <c r="L166" s="366">
        <f>SUM(L171:L172)</f>
        <v>20000</v>
      </c>
      <c r="M166" s="366">
        <f>SUM(M171:M172)</f>
        <v>0</v>
      </c>
      <c r="N166" s="366">
        <f t="shared" si="38"/>
        <v>20000</v>
      </c>
      <c r="O166" s="782"/>
      <c r="P166" s="360">
        <f t="shared" si="39"/>
        <v>151990</v>
      </c>
      <c r="Q166" s="360">
        <f t="shared" si="35"/>
        <v>0</v>
      </c>
      <c r="R166" s="360">
        <f t="shared" si="40"/>
        <v>151990</v>
      </c>
    </row>
    <row r="167" spans="2:18" x14ac:dyDescent="0.2">
      <c r="B167" s="172">
        <f t="shared" si="36"/>
        <v>55</v>
      </c>
      <c r="C167" s="129"/>
      <c r="D167" s="129"/>
      <c r="E167" s="538" t="s">
        <v>671</v>
      </c>
      <c r="F167" s="133">
        <v>632</v>
      </c>
      <c r="G167" s="194" t="s">
        <v>640</v>
      </c>
      <c r="H167" s="540">
        <f>4700+600</f>
        <v>5300</v>
      </c>
      <c r="I167" s="540"/>
      <c r="J167" s="540">
        <f t="shared" si="37"/>
        <v>5300</v>
      </c>
      <c r="K167" s="473"/>
      <c r="L167" s="540"/>
      <c r="M167" s="540"/>
      <c r="N167" s="540">
        <f t="shared" si="38"/>
        <v>0</v>
      </c>
      <c r="O167" s="478"/>
      <c r="P167" s="542">
        <f t="shared" si="39"/>
        <v>5300</v>
      </c>
      <c r="Q167" s="542">
        <f t="shared" si="35"/>
        <v>0</v>
      </c>
      <c r="R167" s="542">
        <f t="shared" si="40"/>
        <v>5300</v>
      </c>
    </row>
    <row r="168" spans="2:18" x14ac:dyDescent="0.2">
      <c r="B168" s="172">
        <f t="shared" si="36"/>
        <v>56</v>
      </c>
      <c r="C168" s="129"/>
      <c r="D168" s="129"/>
      <c r="E168" s="538" t="s">
        <v>671</v>
      </c>
      <c r="F168" s="133">
        <v>633</v>
      </c>
      <c r="G168" s="194" t="s">
        <v>487</v>
      </c>
      <c r="H168" s="540">
        <f>21000-810</f>
        <v>20190</v>
      </c>
      <c r="I168" s="540"/>
      <c r="J168" s="540">
        <f t="shared" si="37"/>
        <v>20190</v>
      </c>
      <c r="K168" s="473"/>
      <c r="L168" s="540"/>
      <c r="M168" s="540"/>
      <c r="N168" s="540">
        <f t="shared" si="38"/>
        <v>0</v>
      </c>
      <c r="O168" s="478"/>
      <c r="P168" s="542">
        <f t="shared" si="39"/>
        <v>20190</v>
      </c>
      <c r="Q168" s="542">
        <f t="shared" si="35"/>
        <v>0</v>
      </c>
      <c r="R168" s="542">
        <f t="shared" si="40"/>
        <v>20190</v>
      </c>
    </row>
    <row r="169" spans="2:18" x14ac:dyDescent="0.2">
      <c r="B169" s="172">
        <f t="shared" si="36"/>
        <v>57</v>
      </c>
      <c r="C169" s="129"/>
      <c r="D169" s="129"/>
      <c r="E169" s="538" t="s">
        <v>671</v>
      </c>
      <c r="F169" s="133">
        <v>635</v>
      </c>
      <c r="G169" s="194" t="s">
        <v>488</v>
      </c>
      <c r="H169" s="540">
        <f>97000+10000-500</f>
        <v>106500</v>
      </c>
      <c r="I169" s="540"/>
      <c r="J169" s="540">
        <f t="shared" si="37"/>
        <v>106500</v>
      </c>
      <c r="K169" s="473"/>
      <c r="L169" s="540"/>
      <c r="M169" s="540"/>
      <c r="N169" s="540">
        <f t="shared" si="38"/>
        <v>0</v>
      </c>
      <c r="O169" s="478"/>
      <c r="P169" s="542">
        <f t="shared" si="39"/>
        <v>106500</v>
      </c>
      <c r="Q169" s="542">
        <f t="shared" si="35"/>
        <v>0</v>
      </c>
      <c r="R169" s="542">
        <f t="shared" si="40"/>
        <v>106500</v>
      </c>
    </row>
    <row r="170" spans="2:18" x14ac:dyDescent="0.2">
      <c r="B170" s="172">
        <f t="shared" si="36"/>
        <v>58</v>
      </c>
      <c r="C170" s="129"/>
      <c r="D170" s="129"/>
      <c r="E170" s="133"/>
      <c r="F170" s="133"/>
      <c r="G170" s="194"/>
      <c r="H170" s="540"/>
      <c r="I170" s="540"/>
      <c r="J170" s="540">
        <f t="shared" si="37"/>
        <v>0</v>
      </c>
      <c r="K170" s="473"/>
      <c r="L170" s="540"/>
      <c r="M170" s="540"/>
      <c r="N170" s="540"/>
      <c r="O170" s="478"/>
      <c r="P170" s="542"/>
      <c r="Q170" s="542"/>
      <c r="R170" s="542"/>
    </row>
    <row r="171" spans="2:18" x14ac:dyDescent="0.2">
      <c r="B171" s="172">
        <f t="shared" si="36"/>
        <v>59</v>
      </c>
      <c r="C171" s="129"/>
      <c r="D171" s="129"/>
      <c r="E171" s="538" t="s">
        <v>671</v>
      </c>
      <c r="F171" s="133">
        <v>711</v>
      </c>
      <c r="G171" s="194" t="s">
        <v>683</v>
      </c>
      <c r="H171" s="540"/>
      <c r="I171" s="540"/>
      <c r="J171" s="540">
        <f t="shared" si="37"/>
        <v>0</v>
      </c>
      <c r="K171" s="473"/>
      <c r="L171" s="540">
        <v>10000</v>
      </c>
      <c r="M171" s="540"/>
      <c r="N171" s="540">
        <f t="shared" ref="N171:N177" si="41">M171+L171</f>
        <v>10000</v>
      </c>
      <c r="O171" s="478"/>
      <c r="P171" s="542">
        <f t="shared" ref="P171:P177" si="42">H171+L171</f>
        <v>10000</v>
      </c>
      <c r="Q171" s="542">
        <f t="shared" si="35"/>
        <v>0</v>
      </c>
      <c r="R171" s="542">
        <f t="shared" ref="R171:R177" si="43">Q171+P171</f>
        <v>10000</v>
      </c>
    </row>
    <row r="172" spans="2:18" x14ac:dyDescent="0.2">
      <c r="B172" s="172">
        <f t="shared" si="36"/>
        <v>60</v>
      </c>
      <c r="C172" s="129"/>
      <c r="D172" s="161"/>
      <c r="E172" s="538" t="s">
        <v>671</v>
      </c>
      <c r="F172" s="133">
        <v>713</v>
      </c>
      <c r="G172" s="194" t="s">
        <v>682</v>
      </c>
      <c r="H172" s="540"/>
      <c r="I172" s="540"/>
      <c r="J172" s="540">
        <f t="shared" si="37"/>
        <v>0</v>
      </c>
      <c r="K172" s="473"/>
      <c r="L172" s="369">
        <v>10000</v>
      </c>
      <c r="M172" s="369"/>
      <c r="N172" s="369">
        <f t="shared" si="41"/>
        <v>10000</v>
      </c>
      <c r="O172" s="478"/>
      <c r="P172" s="162">
        <f t="shared" si="42"/>
        <v>10000</v>
      </c>
      <c r="Q172" s="162">
        <f t="shared" si="35"/>
        <v>0</v>
      </c>
      <c r="R172" s="162">
        <f t="shared" si="43"/>
        <v>10000</v>
      </c>
    </row>
    <row r="173" spans="2:18" ht="15.75" x14ac:dyDescent="0.25">
      <c r="B173" s="172">
        <f t="shared" si="36"/>
        <v>61</v>
      </c>
      <c r="C173" s="22">
        <v>8</v>
      </c>
      <c r="D173" s="126" t="s">
        <v>135</v>
      </c>
      <c r="E173" s="23"/>
      <c r="F173" s="23"/>
      <c r="G173" s="193"/>
      <c r="H173" s="402">
        <f>SUM(H174:H176)</f>
        <v>31430</v>
      </c>
      <c r="I173" s="404">
        <f>SUM(I174:I177)</f>
        <v>-4000</v>
      </c>
      <c r="J173" s="404">
        <f t="shared" si="37"/>
        <v>27430</v>
      </c>
      <c r="K173" s="791"/>
      <c r="L173" s="366">
        <f>SUM(L174:L177)</f>
        <v>12000</v>
      </c>
      <c r="M173" s="366">
        <f>SUM(M174:M177)</f>
        <v>-660</v>
      </c>
      <c r="N173" s="366">
        <f t="shared" si="41"/>
        <v>11340</v>
      </c>
      <c r="O173" s="782"/>
      <c r="P173" s="360">
        <f t="shared" si="42"/>
        <v>43430</v>
      </c>
      <c r="Q173" s="360">
        <f t="shared" si="35"/>
        <v>-4660</v>
      </c>
      <c r="R173" s="360">
        <f t="shared" si="43"/>
        <v>38770</v>
      </c>
    </row>
    <row r="174" spans="2:18" x14ac:dyDescent="0.2">
      <c r="B174" s="172">
        <f t="shared" si="36"/>
        <v>62</v>
      </c>
      <c r="C174" s="129"/>
      <c r="D174" s="129"/>
      <c r="E174" s="538" t="s">
        <v>671</v>
      </c>
      <c r="F174" s="133">
        <v>634</v>
      </c>
      <c r="G174" s="194" t="s">
        <v>531</v>
      </c>
      <c r="H174" s="540">
        <v>25000</v>
      </c>
      <c r="I174" s="540">
        <v>-4000</v>
      </c>
      <c r="J174" s="540">
        <f t="shared" si="37"/>
        <v>21000</v>
      </c>
      <c r="K174" s="473"/>
      <c r="L174" s="540"/>
      <c r="M174" s="540"/>
      <c r="N174" s="540">
        <f t="shared" si="41"/>
        <v>0</v>
      </c>
      <c r="O174" s="478"/>
      <c r="P174" s="542">
        <f t="shared" si="42"/>
        <v>25000</v>
      </c>
      <c r="Q174" s="542">
        <f t="shared" si="35"/>
        <v>-4000</v>
      </c>
      <c r="R174" s="542">
        <f t="shared" si="43"/>
        <v>21000</v>
      </c>
    </row>
    <row r="175" spans="2:18" x14ac:dyDescent="0.2">
      <c r="B175" s="172">
        <f t="shared" si="36"/>
        <v>63</v>
      </c>
      <c r="C175" s="129"/>
      <c r="D175" s="161"/>
      <c r="E175" s="538" t="s">
        <v>671</v>
      </c>
      <c r="F175" s="538">
        <v>634</v>
      </c>
      <c r="G175" s="194" t="s">
        <v>533</v>
      </c>
      <c r="H175" s="540">
        <v>5800</v>
      </c>
      <c r="I175" s="540"/>
      <c r="J175" s="540">
        <f t="shared" si="37"/>
        <v>5800</v>
      </c>
      <c r="K175" s="473"/>
      <c r="L175" s="369"/>
      <c r="M175" s="369"/>
      <c r="N175" s="369">
        <f t="shared" si="41"/>
        <v>0</v>
      </c>
      <c r="O175" s="478"/>
      <c r="P175" s="162">
        <f t="shared" si="42"/>
        <v>5800</v>
      </c>
      <c r="Q175" s="162">
        <f t="shared" si="35"/>
        <v>0</v>
      </c>
      <c r="R175" s="162">
        <f t="shared" si="43"/>
        <v>5800</v>
      </c>
    </row>
    <row r="176" spans="2:18" x14ac:dyDescent="0.2">
      <c r="B176" s="172">
        <f t="shared" si="36"/>
        <v>64</v>
      </c>
      <c r="C176" s="129"/>
      <c r="D176" s="161"/>
      <c r="E176" s="538" t="s">
        <v>671</v>
      </c>
      <c r="F176" s="133">
        <v>637</v>
      </c>
      <c r="G176" s="194" t="s">
        <v>532</v>
      </c>
      <c r="H176" s="540">
        <v>630</v>
      </c>
      <c r="I176" s="540"/>
      <c r="J176" s="540">
        <f t="shared" si="37"/>
        <v>630</v>
      </c>
      <c r="K176" s="473"/>
      <c r="L176" s="369"/>
      <c r="M176" s="369"/>
      <c r="N176" s="369">
        <f t="shared" si="41"/>
        <v>0</v>
      </c>
      <c r="O176" s="478"/>
      <c r="P176" s="162">
        <f t="shared" si="42"/>
        <v>630</v>
      </c>
      <c r="Q176" s="162">
        <f t="shared" si="35"/>
        <v>0</v>
      </c>
      <c r="R176" s="162">
        <f t="shared" si="43"/>
        <v>630</v>
      </c>
    </row>
    <row r="177" spans="2:18" ht="13.5" thickBot="1" x14ac:dyDescent="0.25">
      <c r="B177" s="339">
        <f>B176+1</f>
        <v>65</v>
      </c>
      <c r="C177" s="340"/>
      <c r="D177" s="357"/>
      <c r="E177" s="214" t="s">
        <v>671</v>
      </c>
      <c r="F177" s="214">
        <v>714</v>
      </c>
      <c r="G177" s="345" t="s">
        <v>523</v>
      </c>
      <c r="H177" s="372"/>
      <c r="I177" s="372"/>
      <c r="J177" s="372">
        <f t="shared" si="37"/>
        <v>0</v>
      </c>
      <c r="K177" s="473"/>
      <c r="L177" s="376">
        <v>12000</v>
      </c>
      <c r="M177" s="376">
        <v>-660</v>
      </c>
      <c r="N177" s="376">
        <f t="shared" si="41"/>
        <v>11340</v>
      </c>
      <c r="O177" s="478"/>
      <c r="P177" s="306">
        <f t="shared" si="42"/>
        <v>12000</v>
      </c>
      <c r="Q177" s="306">
        <f t="shared" si="35"/>
        <v>-660</v>
      </c>
      <c r="R177" s="306">
        <f t="shared" si="43"/>
        <v>11340</v>
      </c>
    </row>
    <row r="220" spans="2:18" ht="27.75" thickBot="1" x14ac:dyDescent="0.4">
      <c r="B220" s="246" t="s">
        <v>208</v>
      </c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</row>
    <row r="221" spans="2:18" ht="13.5" customHeight="1" thickBot="1" x14ac:dyDescent="0.25">
      <c r="B221" s="874" t="s">
        <v>632</v>
      </c>
      <c r="C221" s="875"/>
      <c r="D221" s="875"/>
      <c r="E221" s="875"/>
      <c r="F221" s="875"/>
      <c r="G221" s="875"/>
      <c r="H221" s="875"/>
      <c r="I221" s="875"/>
      <c r="J221" s="875"/>
      <c r="K221" s="875"/>
      <c r="L221" s="875"/>
      <c r="M221" s="875"/>
      <c r="N221" s="876"/>
      <c r="O221" s="787"/>
      <c r="P221" s="867" t="s">
        <v>724</v>
      </c>
      <c r="Q221" s="867" t="s">
        <v>842</v>
      </c>
      <c r="R221" s="867" t="s">
        <v>724</v>
      </c>
    </row>
    <row r="222" spans="2:18" ht="13.5" customHeight="1" thickTop="1" x14ac:dyDescent="0.2">
      <c r="B222" s="523"/>
      <c r="C222" s="863" t="s">
        <v>478</v>
      </c>
      <c r="D222" s="863" t="s">
        <v>477</v>
      </c>
      <c r="E222" s="863" t="s">
        <v>475</v>
      </c>
      <c r="F222" s="863" t="s">
        <v>476</v>
      </c>
      <c r="G222" s="877" t="s">
        <v>3</v>
      </c>
      <c r="H222" s="870" t="s">
        <v>725</v>
      </c>
      <c r="I222" s="870" t="s">
        <v>842</v>
      </c>
      <c r="J222" s="870" t="s">
        <v>725</v>
      </c>
      <c r="K222" s="790"/>
      <c r="L222" s="872" t="s">
        <v>726</v>
      </c>
      <c r="M222" s="872" t="s">
        <v>842</v>
      </c>
      <c r="N222" s="872" t="s">
        <v>726</v>
      </c>
      <c r="O222" s="781"/>
      <c r="P222" s="868"/>
      <c r="Q222" s="868"/>
      <c r="R222" s="868"/>
    </row>
    <row r="223" spans="2:18" ht="42.75" customHeight="1" thickBot="1" x14ac:dyDescent="0.25">
      <c r="B223" s="523"/>
      <c r="C223" s="864"/>
      <c r="D223" s="864"/>
      <c r="E223" s="864"/>
      <c r="F223" s="864"/>
      <c r="G223" s="878"/>
      <c r="H223" s="871"/>
      <c r="I223" s="871"/>
      <c r="J223" s="871"/>
      <c r="K223" s="790"/>
      <c r="L223" s="873"/>
      <c r="M223" s="873"/>
      <c r="N223" s="873"/>
      <c r="O223" s="781"/>
      <c r="P223" s="869"/>
      <c r="Q223" s="869"/>
      <c r="R223" s="869"/>
    </row>
    <row r="224" spans="2:18" ht="19.5" thickTop="1" thickBot="1" x14ac:dyDescent="0.25">
      <c r="B224" s="524">
        <v>1</v>
      </c>
      <c r="C224" s="124" t="s">
        <v>209</v>
      </c>
      <c r="D224" s="110"/>
      <c r="E224" s="110"/>
      <c r="F224" s="110"/>
      <c r="G224" s="204"/>
      <c r="H224" s="406">
        <f>H225+H229+H239+H249+H259+H270+H281+H291</f>
        <v>467924</v>
      </c>
      <c r="I224" s="406">
        <f>I225+I229+I239+I249+I259+I270+I281+I291</f>
        <v>3465</v>
      </c>
      <c r="J224" s="406">
        <f t="shared" ref="J224:J287" si="44">I224+H224</f>
        <v>471389</v>
      </c>
      <c r="K224" s="794"/>
      <c r="L224" s="396">
        <f>L225+L229+L239+L249+L259+L270+L281+L291</f>
        <v>132000</v>
      </c>
      <c r="M224" s="396">
        <f>M225+M229+M239+M249+M259+M270+M281+M291</f>
        <v>0</v>
      </c>
      <c r="N224" s="396">
        <f>M224+L224</f>
        <v>132000</v>
      </c>
      <c r="O224" s="783"/>
      <c r="P224" s="359">
        <f t="shared" ref="P224:P255" si="45">H224+L224</f>
        <v>599924</v>
      </c>
      <c r="Q224" s="778">
        <f t="shared" ref="Q224:Q287" si="46">I224+M224</f>
        <v>3465</v>
      </c>
      <c r="R224" s="778">
        <f t="shared" ref="R224:R287" si="47">Q224+P224</f>
        <v>603389</v>
      </c>
    </row>
    <row r="225" spans="2:18" ht="16.5" thickTop="1" x14ac:dyDescent="0.25">
      <c r="B225" s="172">
        <f>B224+1</f>
        <v>2</v>
      </c>
      <c r="C225" s="22">
        <v>1</v>
      </c>
      <c r="D225" s="126" t="s">
        <v>102</v>
      </c>
      <c r="E225" s="23"/>
      <c r="F225" s="23"/>
      <c r="G225" s="193"/>
      <c r="H225" s="401">
        <f>SUM(H226:H228)</f>
        <v>25250</v>
      </c>
      <c r="I225" s="414">
        <f>SUM(I226:I228)</f>
        <v>0</v>
      </c>
      <c r="J225" s="414">
        <f t="shared" si="44"/>
        <v>25250</v>
      </c>
      <c r="K225" s="791"/>
      <c r="L225" s="380">
        <v>0</v>
      </c>
      <c r="M225" s="380">
        <v>0</v>
      </c>
      <c r="N225" s="380">
        <v>0</v>
      </c>
      <c r="O225" s="784"/>
      <c r="P225" s="360">
        <f t="shared" si="45"/>
        <v>25250</v>
      </c>
      <c r="Q225" s="360">
        <f t="shared" si="46"/>
        <v>0</v>
      </c>
      <c r="R225" s="360">
        <f t="shared" si="47"/>
        <v>25250</v>
      </c>
    </row>
    <row r="226" spans="2:18" x14ac:dyDescent="0.2">
      <c r="B226" s="172">
        <f t="shared" ref="B226:B289" si="48">B225+1</f>
        <v>3</v>
      </c>
      <c r="C226" s="129"/>
      <c r="D226" s="130"/>
      <c r="E226" s="130" t="s">
        <v>672</v>
      </c>
      <c r="F226" s="130" t="s">
        <v>212</v>
      </c>
      <c r="G226" s="194" t="s">
        <v>259</v>
      </c>
      <c r="H226" s="540">
        <v>3600</v>
      </c>
      <c r="I226" s="540"/>
      <c r="J226" s="540">
        <f t="shared" si="44"/>
        <v>3600</v>
      </c>
      <c r="K226" s="473"/>
      <c r="L226" s="541"/>
      <c r="M226" s="541"/>
      <c r="N226" s="541"/>
      <c r="O226" s="131"/>
      <c r="P226" s="136">
        <f t="shared" si="45"/>
        <v>3600</v>
      </c>
      <c r="Q226" s="136">
        <f t="shared" si="46"/>
        <v>0</v>
      </c>
      <c r="R226" s="136">
        <f t="shared" si="47"/>
        <v>3600</v>
      </c>
    </row>
    <row r="227" spans="2:18" x14ac:dyDescent="0.2">
      <c r="B227" s="172">
        <f t="shared" si="48"/>
        <v>4</v>
      </c>
      <c r="C227" s="129"/>
      <c r="D227" s="130"/>
      <c r="E227" s="130" t="s">
        <v>672</v>
      </c>
      <c r="F227" s="130" t="s">
        <v>200</v>
      </c>
      <c r="G227" s="194" t="s">
        <v>530</v>
      </c>
      <c r="H227" s="540">
        <v>3300</v>
      </c>
      <c r="I227" s="540"/>
      <c r="J227" s="540">
        <f t="shared" si="44"/>
        <v>3300</v>
      </c>
      <c r="K227" s="473"/>
      <c r="L227" s="541"/>
      <c r="M227" s="541"/>
      <c r="N227" s="541"/>
      <c r="O227" s="131"/>
      <c r="P227" s="136">
        <f t="shared" si="45"/>
        <v>3300</v>
      </c>
      <c r="Q227" s="136">
        <f t="shared" si="46"/>
        <v>0</v>
      </c>
      <c r="R227" s="136">
        <f t="shared" si="47"/>
        <v>3300</v>
      </c>
    </row>
    <row r="228" spans="2:18" x14ac:dyDescent="0.2">
      <c r="B228" s="172">
        <f t="shared" si="48"/>
        <v>5</v>
      </c>
      <c r="C228" s="129"/>
      <c r="D228" s="130"/>
      <c r="E228" s="130" t="s">
        <v>672</v>
      </c>
      <c r="F228" s="130" t="s">
        <v>216</v>
      </c>
      <c r="G228" s="194" t="s">
        <v>563</v>
      </c>
      <c r="H228" s="540">
        <v>18350</v>
      </c>
      <c r="I228" s="540"/>
      <c r="J228" s="540">
        <f t="shared" si="44"/>
        <v>18350</v>
      </c>
      <c r="K228" s="473"/>
      <c r="L228" s="541"/>
      <c r="M228" s="541"/>
      <c r="N228" s="541"/>
      <c r="O228" s="131"/>
      <c r="P228" s="136">
        <f t="shared" si="45"/>
        <v>18350</v>
      </c>
      <c r="Q228" s="136">
        <f t="shared" si="46"/>
        <v>0</v>
      </c>
      <c r="R228" s="136">
        <f t="shared" si="47"/>
        <v>18350</v>
      </c>
    </row>
    <row r="229" spans="2:18" ht="15.75" x14ac:dyDescent="0.25">
      <c r="B229" s="172">
        <f t="shared" si="48"/>
        <v>6</v>
      </c>
      <c r="C229" s="20">
        <v>2</v>
      </c>
      <c r="D229" s="125" t="s">
        <v>103</v>
      </c>
      <c r="E229" s="21"/>
      <c r="F229" s="21"/>
      <c r="G229" s="195"/>
      <c r="H229" s="402">
        <f>H230+H231+H232+H238</f>
        <v>85000</v>
      </c>
      <c r="I229" s="404">
        <f>I230+I231+I232+I238</f>
        <v>2265</v>
      </c>
      <c r="J229" s="404">
        <f t="shared" si="44"/>
        <v>87265</v>
      </c>
      <c r="K229" s="791"/>
      <c r="L229" s="381">
        <v>0</v>
      </c>
      <c r="M229" s="381">
        <v>0</v>
      </c>
      <c r="N229" s="381">
        <v>0</v>
      </c>
      <c r="O229" s="785"/>
      <c r="P229" s="361">
        <f t="shared" si="45"/>
        <v>85000</v>
      </c>
      <c r="Q229" s="361">
        <f t="shared" si="46"/>
        <v>2265</v>
      </c>
      <c r="R229" s="361">
        <f t="shared" si="47"/>
        <v>87265</v>
      </c>
    </row>
    <row r="230" spans="2:18" x14ac:dyDescent="0.2">
      <c r="B230" s="172">
        <f t="shared" si="48"/>
        <v>7</v>
      </c>
      <c r="C230" s="129"/>
      <c r="D230" s="129"/>
      <c r="E230" s="133" t="s">
        <v>273</v>
      </c>
      <c r="F230" s="150">
        <v>610</v>
      </c>
      <c r="G230" s="202" t="s">
        <v>257</v>
      </c>
      <c r="H230" s="375">
        <f>48000+3800</f>
        <v>51800</v>
      </c>
      <c r="I230" s="375">
        <v>2265</v>
      </c>
      <c r="J230" s="375">
        <f t="shared" si="44"/>
        <v>54065</v>
      </c>
      <c r="K230" s="796"/>
      <c r="L230" s="540"/>
      <c r="M230" s="540"/>
      <c r="N230" s="540"/>
      <c r="O230" s="131"/>
      <c r="P230" s="151">
        <f t="shared" si="45"/>
        <v>51800</v>
      </c>
      <c r="Q230" s="151">
        <f t="shared" si="46"/>
        <v>2265</v>
      </c>
      <c r="R230" s="151">
        <f t="shared" si="47"/>
        <v>54065</v>
      </c>
    </row>
    <row r="231" spans="2:18" x14ac:dyDescent="0.2">
      <c r="B231" s="172">
        <f t="shared" si="48"/>
        <v>8</v>
      </c>
      <c r="C231" s="129"/>
      <c r="D231" s="129"/>
      <c r="E231" s="133" t="s">
        <v>273</v>
      </c>
      <c r="F231" s="150">
        <v>620</v>
      </c>
      <c r="G231" s="202" t="s">
        <v>259</v>
      </c>
      <c r="H231" s="375">
        <f>18000+2300</f>
        <v>20300</v>
      </c>
      <c r="I231" s="375"/>
      <c r="J231" s="375">
        <f t="shared" si="44"/>
        <v>20300</v>
      </c>
      <c r="K231" s="796"/>
      <c r="L231" s="540"/>
      <c r="M231" s="540"/>
      <c r="N231" s="540"/>
      <c r="O231" s="131"/>
      <c r="P231" s="151">
        <f t="shared" si="45"/>
        <v>20300</v>
      </c>
      <c r="Q231" s="151">
        <f t="shared" si="46"/>
        <v>0</v>
      </c>
      <c r="R231" s="151">
        <f t="shared" si="47"/>
        <v>20300</v>
      </c>
    </row>
    <row r="232" spans="2:18" x14ac:dyDescent="0.2">
      <c r="B232" s="172">
        <f t="shared" si="48"/>
        <v>9</v>
      </c>
      <c r="C232" s="129"/>
      <c r="D232" s="129"/>
      <c r="E232" s="133" t="s">
        <v>273</v>
      </c>
      <c r="F232" s="150">
        <v>630</v>
      </c>
      <c r="G232" s="202" t="s">
        <v>446</v>
      </c>
      <c r="H232" s="375">
        <f>SUM(H233:H237)</f>
        <v>12700</v>
      </c>
      <c r="I232" s="375">
        <f>SUM(I233:I237)</f>
        <v>0</v>
      </c>
      <c r="J232" s="375">
        <f t="shared" si="44"/>
        <v>12700</v>
      </c>
      <c r="K232" s="796"/>
      <c r="L232" s="540"/>
      <c r="M232" s="540"/>
      <c r="N232" s="540"/>
      <c r="O232" s="131"/>
      <c r="P232" s="151">
        <f t="shared" si="45"/>
        <v>12700</v>
      </c>
      <c r="Q232" s="151">
        <f t="shared" si="46"/>
        <v>0</v>
      </c>
      <c r="R232" s="151">
        <f t="shared" si="47"/>
        <v>12700</v>
      </c>
    </row>
    <row r="233" spans="2:18" x14ac:dyDescent="0.2">
      <c r="B233" s="172">
        <f t="shared" si="48"/>
        <v>10</v>
      </c>
      <c r="C233" s="129"/>
      <c r="D233" s="129"/>
      <c r="E233" s="133"/>
      <c r="F233" s="133">
        <v>631</v>
      </c>
      <c r="G233" s="194" t="s">
        <v>292</v>
      </c>
      <c r="H233" s="540">
        <f>400+100</f>
        <v>500</v>
      </c>
      <c r="I233" s="540"/>
      <c r="J233" s="540">
        <f t="shared" si="44"/>
        <v>500</v>
      </c>
      <c r="K233" s="473"/>
      <c r="L233" s="540"/>
      <c r="M233" s="540"/>
      <c r="N233" s="540"/>
      <c r="O233" s="131"/>
      <c r="P233" s="542">
        <f t="shared" si="45"/>
        <v>500</v>
      </c>
      <c r="Q233" s="542">
        <f t="shared" si="46"/>
        <v>0</v>
      </c>
      <c r="R233" s="542">
        <f t="shared" si="47"/>
        <v>500</v>
      </c>
    </row>
    <row r="234" spans="2:18" x14ac:dyDescent="0.2">
      <c r="B234" s="172">
        <f t="shared" si="48"/>
        <v>11</v>
      </c>
      <c r="C234" s="129"/>
      <c r="D234" s="129"/>
      <c r="E234" s="133"/>
      <c r="F234" s="133">
        <v>632</v>
      </c>
      <c r="G234" s="194" t="s">
        <v>275</v>
      </c>
      <c r="H234" s="540">
        <f>1500+100</f>
        <v>1600</v>
      </c>
      <c r="I234" s="540">
        <v>200</v>
      </c>
      <c r="J234" s="540">
        <f t="shared" si="44"/>
        <v>1800</v>
      </c>
      <c r="K234" s="473"/>
      <c r="L234" s="540"/>
      <c r="M234" s="540"/>
      <c r="N234" s="540"/>
      <c r="O234" s="131"/>
      <c r="P234" s="542">
        <f t="shared" si="45"/>
        <v>1600</v>
      </c>
      <c r="Q234" s="542">
        <f t="shared" si="46"/>
        <v>200</v>
      </c>
      <c r="R234" s="542">
        <f t="shared" si="47"/>
        <v>1800</v>
      </c>
    </row>
    <row r="235" spans="2:18" x14ac:dyDescent="0.2">
      <c r="B235" s="172">
        <f t="shared" si="48"/>
        <v>12</v>
      </c>
      <c r="C235" s="129"/>
      <c r="D235" s="129"/>
      <c r="E235" s="133"/>
      <c r="F235" s="133">
        <v>633</v>
      </c>
      <c r="G235" s="194" t="s">
        <v>247</v>
      </c>
      <c r="H235" s="540">
        <f>2600+200</f>
        <v>2800</v>
      </c>
      <c r="I235" s="540"/>
      <c r="J235" s="540">
        <f t="shared" si="44"/>
        <v>2800</v>
      </c>
      <c r="K235" s="473"/>
      <c r="L235" s="540"/>
      <c r="M235" s="540"/>
      <c r="N235" s="540"/>
      <c r="O235" s="131"/>
      <c r="P235" s="542">
        <f t="shared" si="45"/>
        <v>2800</v>
      </c>
      <c r="Q235" s="542">
        <f t="shared" si="46"/>
        <v>0</v>
      </c>
      <c r="R235" s="542">
        <f t="shared" si="47"/>
        <v>2800</v>
      </c>
    </row>
    <row r="236" spans="2:18" x14ac:dyDescent="0.2">
      <c r="B236" s="172">
        <f t="shared" si="48"/>
        <v>13</v>
      </c>
      <c r="C236" s="129"/>
      <c r="D236" s="129"/>
      <c r="E236" s="133"/>
      <c r="F236" s="133">
        <v>635</v>
      </c>
      <c r="G236" s="194" t="s">
        <v>261</v>
      </c>
      <c r="H236" s="540">
        <v>100</v>
      </c>
      <c r="I236" s="540"/>
      <c r="J236" s="540">
        <f t="shared" si="44"/>
        <v>100</v>
      </c>
      <c r="K236" s="473"/>
      <c r="L236" s="540"/>
      <c r="M236" s="540"/>
      <c r="N236" s="540"/>
      <c r="O236" s="131"/>
      <c r="P236" s="542">
        <f t="shared" si="45"/>
        <v>100</v>
      </c>
      <c r="Q236" s="542">
        <f t="shared" si="46"/>
        <v>0</v>
      </c>
      <c r="R236" s="542">
        <f t="shared" si="47"/>
        <v>100</v>
      </c>
    </row>
    <row r="237" spans="2:18" x14ac:dyDescent="0.2">
      <c r="B237" s="172">
        <f t="shared" si="48"/>
        <v>14</v>
      </c>
      <c r="C237" s="129"/>
      <c r="D237" s="129"/>
      <c r="E237" s="133"/>
      <c r="F237" s="133">
        <v>637</v>
      </c>
      <c r="G237" s="194" t="s">
        <v>248</v>
      </c>
      <c r="H237" s="540">
        <f>6200+1500</f>
        <v>7700</v>
      </c>
      <c r="I237" s="540">
        <v>-200</v>
      </c>
      <c r="J237" s="540">
        <f t="shared" si="44"/>
        <v>7500</v>
      </c>
      <c r="K237" s="473"/>
      <c r="L237" s="540"/>
      <c r="M237" s="540"/>
      <c r="N237" s="540"/>
      <c r="O237" s="131"/>
      <c r="P237" s="542">
        <f t="shared" si="45"/>
        <v>7700</v>
      </c>
      <c r="Q237" s="542">
        <f t="shared" si="46"/>
        <v>-200</v>
      </c>
      <c r="R237" s="542">
        <f t="shared" si="47"/>
        <v>7500</v>
      </c>
    </row>
    <row r="238" spans="2:18" x14ac:dyDescent="0.2">
      <c r="B238" s="172">
        <f t="shared" si="48"/>
        <v>15</v>
      </c>
      <c r="C238" s="129"/>
      <c r="D238" s="161"/>
      <c r="E238" s="133" t="s">
        <v>273</v>
      </c>
      <c r="F238" s="150">
        <v>640</v>
      </c>
      <c r="G238" s="202" t="s">
        <v>268</v>
      </c>
      <c r="H238" s="375">
        <v>200</v>
      </c>
      <c r="I238" s="375"/>
      <c r="J238" s="375">
        <f t="shared" si="44"/>
        <v>200</v>
      </c>
      <c r="K238" s="796"/>
      <c r="L238" s="369"/>
      <c r="M238" s="369"/>
      <c r="N238" s="369"/>
      <c r="O238" s="131"/>
      <c r="P238" s="151">
        <f t="shared" si="45"/>
        <v>200</v>
      </c>
      <c r="Q238" s="151">
        <f t="shared" si="46"/>
        <v>0</v>
      </c>
      <c r="R238" s="151">
        <f t="shared" si="47"/>
        <v>200</v>
      </c>
    </row>
    <row r="239" spans="2:18" ht="15.75" x14ac:dyDescent="0.25">
      <c r="B239" s="172">
        <f t="shared" si="48"/>
        <v>16</v>
      </c>
      <c r="C239" s="22">
        <v>3</v>
      </c>
      <c r="D239" s="126" t="s">
        <v>137</v>
      </c>
      <c r="E239" s="23"/>
      <c r="F239" s="23"/>
      <c r="G239" s="193"/>
      <c r="H239" s="402">
        <f>H240+H241+H242+H248</f>
        <v>163125</v>
      </c>
      <c r="I239" s="404">
        <f>I240+I241+I242+I248</f>
        <v>0</v>
      </c>
      <c r="J239" s="404">
        <f t="shared" si="44"/>
        <v>163125</v>
      </c>
      <c r="K239" s="791"/>
      <c r="L239" s="380">
        <v>0</v>
      </c>
      <c r="M239" s="380">
        <v>0</v>
      </c>
      <c r="N239" s="380">
        <v>0</v>
      </c>
      <c r="O239" s="784"/>
      <c r="P239" s="360">
        <f t="shared" si="45"/>
        <v>163125</v>
      </c>
      <c r="Q239" s="360">
        <f t="shared" si="46"/>
        <v>0</v>
      </c>
      <c r="R239" s="360">
        <f t="shared" si="47"/>
        <v>163125</v>
      </c>
    </row>
    <row r="240" spans="2:18" x14ac:dyDescent="0.2">
      <c r="B240" s="172">
        <f t="shared" si="48"/>
        <v>17</v>
      </c>
      <c r="C240" s="134"/>
      <c r="D240" s="134"/>
      <c r="E240" s="133" t="s">
        <v>671</v>
      </c>
      <c r="F240" s="150">
        <v>610</v>
      </c>
      <c r="G240" s="202" t="s">
        <v>257</v>
      </c>
      <c r="H240" s="375">
        <v>111145</v>
      </c>
      <c r="I240" s="375"/>
      <c r="J240" s="375">
        <f t="shared" si="44"/>
        <v>111145</v>
      </c>
      <c r="K240" s="796"/>
      <c r="L240" s="540"/>
      <c r="M240" s="540"/>
      <c r="N240" s="540"/>
      <c r="O240" s="131"/>
      <c r="P240" s="151">
        <f t="shared" si="45"/>
        <v>111145</v>
      </c>
      <c r="Q240" s="151">
        <f t="shared" si="46"/>
        <v>0</v>
      </c>
      <c r="R240" s="151">
        <f t="shared" si="47"/>
        <v>111145</v>
      </c>
    </row>
    <row r="241" spans="2:18" x14ac:dyDescent="0.2">
      <c r="B241" s="172">
        <f t="shared" si="48"/>
        <v>18</v>
      </c>
      <c r="C241" s="129"/>
      <c r="D241" s="129"/>
      <c r="E241" s="133" t="s">
        <v>671</v>
      </c>
      <c r="F241" s="150">
        <v>620</v>
      </c>
      <c r="G241" s="202" t="s">
        <v>259</v>
      </c>
      <c r="H241" s="375">
        <v>38510</v>
      </c>
      <c r="I241" s="375"/>
      <c r="J241" s="375">
        <f t="shared" si="44"/>
        <v>38510</v>
      </c>
      <c r="K241" s="796"/>
      <c r="L241" s="540"/>
      <c r="M241" s="540"/>
      <c r="N241" s="540"/>
      <c r="O241" s="131"/>
      <c r="P241" s="151">
        <f t="shared" si="45"/>
        <v>38510</v>
      </c>
      <c r="Q241" s="151">
        <f t="shared" si="46"/>
        <v>0</v>
      </c>
      <c r="R241" s="151">
        <f t="shared" si="47"/>
        <v>38510</v>
      </c>
    </row>
    <row r="242" spans="2:18" x14ac:dyDescent="0.2">
      <c r="B242" s="172">
        <f t="shared" si="48"/>
        <v>19</v>
      </c>
      <c r="C242" s="129"/>
      <c r="D242" s="129"/>
      <c r="E242" s="133" t="s">
        <v>671</v>
      </c>
      <c r="F242" s="150">
        <v>630</v>
      </c>
      <c r="G242" s="202" t="s">
        <v>446</v>
      </c>
      <c r="H242" s="375">
        <f>SUM(H243:H247)</f>
        <v>13270</v>
      </c>
      <c r="I242" s="375">
        <f>SUM(I243:I247)</f>
        <v>-100</v>
      </c>
      <c r="J242" s="375">
        <f t="shared" si="44"/>
        <v>13170</v>
      </c>
      <c r="K242" s="796"/>
      <c r="L242" s="540"/>
      <c r="M242" s="540"/>
      <c r="N242" s="540"/>
      <c r="O242" s="131"/>
      <c r="P242" s="151">
        <f t="shared" si="45"/>
        <v>13270</v>
      </c>
      <c r="Q242" s="151">
        <f t="shared" si="46"/>
        <v>-100</v>
      </c>
      <c r="R242" s="151">
        <f t="shared" si="47"/>
        <v>13170</v>
      </c>
    </row>
    <row r="243" spans="2:18" x14ac:dyDescent="0.2">
      <c r="B243" s="172">
        <f t="shared" si="48"/>
        <v>20</v>
      </c>
      <c r="C243" s="129"/>
      <c r="D243" s="129"/>
      <c r="E243" s="133"/>
      <c r="F243" s="133">
        <v>631</v>
      </c>
      <c r="G243" s="194" t="s">
        <v>292</v>
      </c>
      <c r="H243" s="540">
        <v>100</v>
      </c>
      <c r="I243" s="540"/>
      <c r="J243" s="540">
        <f t="shared" si="44"/>
        <v>100</v>
      </c>
      <c r="K243" s="473"/>
      <c r="L243" s="540"/>
      <c r="M243" s="540"/>
      <c r="N243" s="540"/>
      <c r="O243" s="131"/>
      <c r="P243" s="542">
        <f t="shared" si="45"/>
        <v>100</v>
      </c>
      <c r="Q243" s="542">
        <f t="shared" si="46"/>
        <v>0</v>
      </c>
      <c r="R243" s="542">
        <f t="shared" si="47"/>
        <v>100</v>
      </c>
    </row>
    <row r="244" spans="2:18" x14ac:dyDescent="0.2">
      <c r="B244" s="172">
        <f t="shared" si="48"/>
        <v>21</v>
      </c>
      <c r="C244" s="129"/>
      <c r="D244" s="129"/>
      <c r="E244" s="133"/>
      <c r="F244" s="133">
        <v>632</v>
      </c>
      <c r="G244" s="194" t="s">
        <v>275</v>
      </c>
      <c r="H244" s="540">
        <v>1500</v>
      </c>
      <c r="I244" s="540"/>
      <c r="J244" s="540">
        <f t="shared" si="44"/>
        <v>1500</v>
      </c>
      <c r="K244" s="473"/>
      <c r="L244" s="540"/>
      <c r="M244" s="540"/>
      <c r="N244" s="540"/>
      <c r="O244" s="131"/>
      <c r="P244" s="542">
        <f t="shared" si="45"/>
        <v>1500</v>
      </c>
      <c r="Q244" s="542">
        <f t="shared" si="46"/>
        <v>0</v>
      </c>
      <c r="R244" s="542">
        <f t="shared" si="47"/>
        <v>1500</v>
      </c>
    </row>
    <row r="245" spans="2:18" x14ac:dyDescent="0.2">
      <c r="B245" s="172">
        <f t="shared" si="48"/>
        <v>22</v>
      </c>
      <c r="C245" s="129"/>
      <c r="D245" s="129"/>
      <c r="E245" s="133"/>
      <c r="F245" s="133">
        <v>633</v>
      </c>
      <c r="G245" s="194" t="s">
        <v>418</v>
      </c>
      <c r="H245" s="540">
        <v>1900</v>
      </c>
      <c r="I245" s="540"/>
      <c r="J245" s="540">
        <f t="shared" si="44"/>
        <v>1900</v>
      </c>
      <c r="K245" s="473"/>
      <c r="L245" s="540"/>
      <c r="M245" s="540"/>
      <c r="N245" s="540"/>
      <c r="O245" s="131"/>
      <c r="P245" s="542">
        <f t="shared" si="45"/>
        <v>1900</v>
      </c>
      <c r="Q245" s="542">
        <f t="shared" si="46"/>
        <v>0</v>
      </c>
      <c r="R245" s="542">
        <f t="shared" si="47"/>
        <v>1900</v>
      </c>
    </row>
    <row r="246" spans="2:18" x14ac:dyDescent="0.2">
      <c r="B246" s="172">
        <f t="shared" si="48"/>
        <v>23</v>
      </c>
      <c r="C246" s="129"/>
      <c r="D246" s="129"/>
      <c r="E246" s="133"/>
      <c r="F246" s="133">
        <v>633</v>
      </c>
      <c r="G246" s="194" t="s">
        <v>247</v>
      </c>
      <c r="H246" s="540">
        <v>2470</v>
      </c>
      <c r="I246" s="540"/>
      <c r="J246" s="540">
        <f t="shared" si="44"/>
        <v>2470</v>
      </c>
      <c r="K246" s="473"/>
      <c r="L246" s="540"/>
      <c r="M246" s="540"/>
      <c r="N246" s="540"/>
      <c r="O246" s="131"/>
      <c r="P246" s="542">
        <f t="shared" si="45"/>
        <v>2470</v>
      </c>
      <c r="Q246" s="542">
        <f t="shared" si="46"/>
        <v>0</v>
      </c>
      <c r="R246" s="542">
        <f t="shared" si="47"/>
        <v>2470</v>
      </c>
    </row>
    <row r="247" spans="2:18" x14ac:dyDescent="0.2">
      <c r="B247" s="172">
        <f t="shared" si="48"/>
        <v>24</v>
      </c>
      <c r="C247" s="129"/>
      <c r="D247" s="129"/>
      <c r="E247" s="133"/>
      <c r="F247" s="133">
        <v>637</v>
      </c>
      <c r="G247" s="194" t="s">
        <v>248</v>
      </c>
      <c r="H247" s="540">
        <v>7300</v>
      </c>
      <c r="I247" s="540">
        <v>-100</v>
      </c>
      <c r="J247" s="540">
        <f t="shared" si="44"/>
        <v>7200</v>
      </c>
      <c r="K247" s="473"/>
      <c r="L247" s="540"/>
      <c r="M247" s="540"/>
      <c r="N247" s="540"/>
      <c r="O247" s="131"/>
      <c r="P247" s="542">
        <f t="shared" si="45"/>
        <v>7300</v>
      </c>
      <c r="Q247" s="542">
        <f t="shared" si="46"/>
        <v>-100</v>
      </c>
      <c r="R247" s="542">
        <f t="shared" si="47"/>
        <v>7200</v>
      </c>
    </row>
    <row r="248" spans="2:18" x14ac:dyDescent="0.2">
      <c r="B248" s="172">
        <f t="shared" si="48"/>
        <v>25</v>
      </c>
      <c r="C248" s="129"/>
      <c r="D248" s="538"/>
      <c r="E248" s="161"/>
      <c r="F248" s="213">
        <v>642</v>
      </c>
      <c r="G248" s="202" t="s">
        <v>606</v>
      </c>
      <c r="H248" s="375">
        <v>200</v>
      </c>
      <c r="I248" s="375">
        <v>100</v>
      </c>
      <c r="J248" s="375">
        <f t="shared" si="44"/>
        <v>300</v>
      </c>
      <c r="K248" s="796"/>
      <c r="L248" s="433"/>
      <c r="M248" s="433"/>
      <c r="N248" s="433"/>
      <c r="O248" s="147"/>
      <c r="P248" s="497">
        <f t="shared" si="45"/>
        <v>200</v>
      </c>
      <c r="Q248" s="497">
        <f t="shared" si="46"/>
        <v>100</v>
      </c>
      <c r="R248" s="497">
        <f t="shared" si="47"/>
        <v>300</v>
      </c>
    </row>
    <row r="249" spans="2:18" ht="15.75" x14ac:dyDescent="0.25">
      <c r="B249" s="172">
        <f t="shared" si="48"/>
        <v>26</v>
      </c>
      <c r="C249" s="22">
        <v>4</v>
      </c>
      <c r="D249" s="126" t="s">
        <v>104</v>
      </c>
      <c r="E249" s="23"/>
      <c r="F249" s="23"/>
      <c r="G249" s="193"/>
      <c r="H249" s="402">
        <f>H250</f>
        <v>38000</v>
      </c>
      <c r="I249" s="404">
        <f>I250</f>
        <v>300</v>
      </c>
      <c r="J249" s="404">
        <f t="shared" si="44"/>
        <v>38300</v>
      </c>
      <c r="K249" s="791"/>
      <c r="L249" s="380">
        <v>0</v>
      </c>
      <c r="M249" s="380">
        <v>0</v>
      </c>
      <c r="N249" s="380">
        <v>0</v>
      </c>
      <c r="O249" s="784"/>
      <c r="P249" s="360">
        <f t="shared" si="45"/>
        <v>38000</v>
      </c>
      <c r="Q249" s="360">
        <f t="shared" si="46"/>
        <v>300</v>
      </c>
      <c r="R249" s="360">
        <f t="shared" si="47"/>
        <v>38300</v>
      </c>
    </row>
    <row r="250" spans="2:18" x14ac:dyDescent="0.2">
      <c r="B250" s="172">
        <f t="shared" si="48"/>
        <v>27</v>
      </c>
      <c r="C250" s="134"/>
      <c r="D250" s="134"/>
      <c r="E250" s="228" t="s">
        <v>241</v>
      </c>
      <c r="F250" s="228"/>
      <c r="G250" s="227" t="s">
        <v>445</v>
      </c>
      <c r="H250" s="374">
        <f>H251+H252+H253+H258</f>
        <v>38000</v>
      </c>
      <c r="I250" s="374">
        <f>I251+I252+I253+I258</f>
        <v>300</v>
      </c>
      <c r="J250" s="374">
        <f t="shared" si="44"/>
        <v>38300</v>
      </c>
      <c r="K250" s="796"/>
      <c r="L250" s="540"/>
      <c r="M250" s="540"/>
      <c r="N250" s="540"/>
      <c r="O250" s="131"/>
      <c r="P250" s="151">
        <f t="shared" si="45"/>
        <v>38000</v>
      </c>
      <c r="Q250" s="151">
        <f t="shared" si="46"/>
        <v>300</v>
      </c>
      <c r="R250" s="151">
        <f t="shared" si="47"/>
        <v>38300</v>
      </c>
    </row>
    <row r="251" spans="2:18" x14ac:dyDescent="0.2">
      <c r="B251" s="172">
        <f t="shared" si="48"/>
        <v>28</v>
      </c>
      <c r="C251" s="129"/>
      <c r="D251" s="129"/>
      <c r="E251" s="133"/>
      <c r="F251" s="150">
        <v>610</v>
      </c>
      <c r="G251" s="202" t="s">
        <v>257</v>
      </c>
      <c r="H251" s="375">
        <v>18400</v>
      </c>
      <c r="I251" s="375"/>
      <c r="J251" s="375">
        <f t="shared" si="44"/>
        <v>18400</v>
      </c>
      <c r="K251" s="796"/>
      <c r="L251" s="540"/>
      <c r="M251" s="540"/>
      <c r="N251" s="540"/>
      <c r="O251" s="131"/>
      <c r="P251" s="151">
        <f t="shared" si="45"/>
        <v>18400</v>
      </c>
      <c r="Q251" s="151">
        <f t="shared" si="46"/>
        <v>0</v>
      </c>
      <c r="R251" s="151">
        <f t="shared" si="47"/>
        <v>18400</v>
      </c>
    </row>
    <row r="252" spans="2:18" x14ac:dyDescent="0.2">
      <c r="B252" s="172">
        <f t="shared" si="48"/>
        <v>29</v>
      </c>
      <c r="C252" s="129"/>
      <c r="D252" s="129"/>
      <c r="E252" s="133"/>
      <c r="F252" s="150">
        <v>620</v>
      </c>
      <c r="G252" s="202" t="s">
        <v>259</v>
      </c>
      <c r="H252" s="375">
        <v>6465</v>
      </c>
      <c r="I252" s="375"/>
      <c r="J252" s="375">
        <f t="shared" si="44"/>
        <v>6465</v>
      </c>
      <c r="K252" s="796"/>
      <c r="L252" s="540"/>
      <c r="M252" s="540"/>
      <c r="N252" s="540"/>
      <c r="O252" s="131"/>
      <c r="P252" s="151">
        <f t="shared" si="45"/>
        <v>6465</v>
      </c>
      <c r="Q252" s="151">
        <f t="shared" si="46"/>
        <v>0</v>
      </c>
      <c r="R252" s="151">
        <f t="shared" si="47"/>
        <v>6465</v>
      </c>
    </row>
    <row r="253" spans="2:18" x14ac:dyDescent="0.2">
      <c r="B253" s="172">
        <f t="shared" si="48"/>
        <v>30</v>
      </c>
      <c r="C253" s="129"/>
      <c r="D253" s="129"/>
      <c r="E253" s="133"/>
      <c r="F253" s="150">
        <v>630</v>
      </c>
      <c r="G253" s="202" t="s">
        <v>446</v>
      </c>
      <c r="H253" s="375">
        <f>SUM(H254:H257)</f>
        <v>13085</v>
      </c>
      <c r="I253" s="375">
        <f>SUM(I254:I257)</f>
        <v>300</v>
      </c>
      <c r="J253" s="375">
        <f t="shared" si="44"/>
        <v>13385</v>
      </c>
      <c r="K253" s="796"/>
      <c r="L253" s="540"/>
      <c r="M253" s="540"/>
      <c r="N253" s="540"/>
      <c r="O253" s="131"/>
      <c r="P253" s="151">
        <f t="shared" si="45"/>
        <v>13085</v>
      </c>
      <c r="Q253" s="151">
        <f t="shared" si="46"/>
        <v>300</v>
      </c>
      <c r="R253" s="151">
        <f t="shared" si="47"/>
        <v>13385</v>
      </c>
    </row>
    <row r="254" spans="2:18" x14ac:dyDescent="0.2">
      <c r="B254" s="172">
        <f t="shared" si="48"/>
        <v>31</v>
      </c>
      <c r="C254" s="129"/>
      <c r="D254" s="129"/>
      <c r="E254" s="133"/>
      <c r="F254" s="133">
        <v>632</v>
      </c>
      <c r="G254" s="194" t="s">
        <v>246</v>
      </c>
      <c r="H254" s="540">
        <v>7940</v>
      </c>
      <c r="I254" s="540"/>
      <c r="J254" s="540">
        <f t="shared" si="44"/>
        <v>7940</v>
      </c>
      <c r="K254" s="473"/>
      <c r="L254" s="540"/>
      <c r="M254" s="540"/>
      <c r="N254" s="540"/>
      <c r="O254" s="131"/>
      <c r="P254" s="542">
        <f t="shared" si="45"/>
        <v>7940</v>
      </c>
      <c r="Q254" s="542">
        <f t="shared" si="46"/>
        <v>0</v>
      </c>
      <c r="R254" s="542">
        <f t="shared" si="47"/>
        <v>7940</v>
      </c>
    </row>
    <row r="255" spans="2:18" x14ac:dyDescent="0.2">
      <c r="B255" s="172">
        <f t="shared" si="48"/>
        <v>32</v>
      </c>
      <c r="C255" s="129"/>
      <c r="D255" s="129"/>
      <c r="E255" s="133"/>
      <c r="F255" s="133">
        <v>633</v>
      </c>
      <c r="G255" s="194" t="s">
        <v>247</v>
      </c>
      <c r="H255" s="540">
        <v>1725</v>
      </c>
      <c r="I255" s="540"/>
      <c r="J255" s="540">
        <f t="shared" si="44"/>
        <v>1725</v>
      </c>
      <c r="K255" s="473"/>
      <c r="L255" s="540"/>
      <c r="M255" s="540"/>
      <c r="N255" s="540"/>
      <c r="O255" s="131"/>
      <c r="P255" s="542">
        <f t="shared" si="45"/>
        <v>1725</v>
      </c>
      <c r="Q255" s="542">
        <f t="shared" si="46"/>
        <v>0</v>
      </c>
      <c r="R255" s="542">
        <f t="shared" si="47"/>
        <v>1725</v>
      </c>
    </row>
    <row r="256" spans="2:18" x14ac:dyDescent="0.2">
      <c r="B256" s="172">
        <f t="shared" si="48"/>
        <v>33</v>
      </c>
      <c r="C256" s="129"/>
      <c r="D256" s="129"/>
      <c r="E256" s="133"/>
      <c r="F256" s="133">
        <v>635</v>
      </c>
      <c r="G256" s="194" t="s">
        <v>261</v>
      </c>
      <c r="H256" s="540">
        <v>200</v>
      </c>
      <c r="I256" s="540">
        <v>300</v>
      </c>
      <c r="J256" s="540">
        <f t="shared" si="44"/>
        <v>500</v>
      </c>
      <c r="K256" s="473"/>
      <c r="L256" s="540"/>
      <c r="M256" s="540"/>
      <c r="N256" s="540"/>
      <c r="O256" s="131"/>
      <c r="P256" s="542">
        <f t="shared" ref="P256:P291" si="49">H256+L256</f>
        <v>200</v>
      </c>
      <c r="Q256" s="542">
        <f t="shared" si="46"/>
        <v>300</v>
      </c>
      <c r="R256" s="542">
        <f t="shared" si="47"/>
        <v>500</v>
      </c>
    </row>
    <row r="257" spans="2:18" x14ac:dyDescent="0.2">
      <c r="B257" s="172">
        <f t="shared" si="48"/>
        <v>34</v>
      </c>
      <c r="C257" s="129"/>
      <c r="D257" s="129"/>
      <c r="E257" s="133"/>
      <c r="F257" s="133">
        <v>637</v>
      </c>
      <c r="G257" s="194" t="s">
        <v>248</v>
      </c>
      <c r="H257" s="540">
        <v>3220</v>
      </c>
      <c r="I257" s="540"/>
      <c r="J257" s="540">
        <f t="shared" si="44"/>
        <v>3220</v>
      </c>
      <c r="K257" s="473"/>
      <c r="L257" s="540"/>
      <c r="M257" s="540"/>
      <c r="N257" s="540"/>
      <c r="O257" s="131"/>
      <c r="P257" s="542">
        <f t="shared" si="49"/>
        <v>3220</v>
      </c>
      <c r="Q257" s="542">
        <f t="shared" si="46"/>
        <v>0</v>
      </c>
      <c r="R257" s="542">
        <f t="shared" si="47"/>
        <v>3220</v>
      </c>
    </row>
    <row r="258" spans="2:18" x14ac:dyDescent="0.2">
      <c r="B258" s="172">
        <f t="shared" si="48"/>
        <v>35</v>
      </c>
      <c r="C258" s="129"/>
      <c r="D258" s="538"/>
      <c r="E258" s="538"/>
      <c r="F258" s="155">
        <v>640</v>
      </c>
      <c r="G258" s="202" t="s">
        <v>302</v>
      </c>
      <c r="H258" s="375">
        <v>50</v>
      </c>
      <c r="I258" s="375"/>
      <c r="J258" s="375">
        <f t="shared" si="44"/>
        <v>50</v>
      </c>
      <c r="K258" s="796"/>
      <c r="L258" s="369"/>
      <c r="M258" s="369"/>
      <c r="N258" s="369"/>
      <c r="O258" s="131"/>
      <c r="P258" s="497">
        <f t="shared" si="49"/>
        <v>50</v>
      </c>
      <c r="Q258" s="497">
        <f t="shared" si="46"/>
        <v>0</v>
      </c>
      <c r="R258" s="497">
        <f t="shared" si="47"/>
        <v>50</v>
      </c>
    </row>
    <row r="259" spans="2:18" ht="15.75" x14ac:dyDescent="0.25">
      <c r="B259" s="172">
        <f t="shared" si="48"/>
        <v>36</v>
      </c>
      <c r="C259" s="22">
        <v>5</v>
      </c>
      <c r="D259" s="126" t="s">
        <v>138</v>
      </c>
      <c r="E259" s="23"/>
      <c r="F259" s="23"/>
      <c r="G259" s="193"/>
      <c r="H259" s="402">
        <f>H260</f>
        <v>28000</v>
      </c>
      <c r="I259" s="404">
        <f>I260</f>
        <v>900</v>
      </c>
      <c r="J259" s="404">
        <f t="shared" si="44"/>
        <v>28900</v>
      </c>
      <c r="K259" s="791"/>
      <c r="L259" s="366">
        <f>SUM(L260:L269)</f>
        <v>5000</v>
      </c>
      <c r="M259" s="366">
        <f>SUM(M260:M269)</f>
        <v>0</v>
      </c>
      <c r="N259" s="366">
        <f>M259+L259</f>
        <v>5000</v>
      </c>
      <c r="O259" s="784"/>
      <c r="P259" s="360">
        <f t="shared" si="49"/>
        <v>33000</v>
      </c>
      <c r="Q259" s="360">
        <f t="shared" si="46"/>
        <v>900</v>
      </c>
      <c r="R259" s="360">
        <f t="shared" si="47"/>
        <v>33900</v>
      </c>
    </row>
    <row r="260" spans="2:18" x14ac:dyDescent="0.2">
      <c r="B260" s="172">
        <f t="shared" si="48"/>
        <v>37</v>
      </c>
      <c r="C260" s="129"/>
      <c r="D260" s="129"/>
      <c r="E260" s="228" t="s">
        <v>241</v>
      </c>
      <c r="F260" s="228"/>
      <c r="G260" s="229" t="s">
        <v>444</v>
      </c>
      <c r="H260" s="374">
        <f>H261+H262+H263</f>
        <v>28000</v>
      </c>
      <c r="I260" s="374">
        <f>I261+I262+I263</f>
        <v>900</v>
      </c>
      <c r="J260" s="374">
        <f t="shared" si="44"/>
        <v>28900</v>
      </c>
      <c r="K260" s="796"/>
      <c r="L260" s="540"/>
      <c r="M260" s="540"/>
      <c r="N260" s="540"/>
      <c r="O260" s="131"/>
      <c r="P260" s="151">
        <f t="shared" si="49"/>
        <v>28000</v>
      </c>
      <c r="Q260" s="151">
        <f t="shared" si="46"/>
        <v>900</v>
      </c>
      <c r="R260" s="151">
        <f t="shared" si="47"/>
        <v>28900</v>
      </c>
    </row>
    <row r="261" spans="2:18" x14ac:dyDescent="0.2">
      <c r="B261" s="172">
        <f t="shared" si="48"/>
        <v>38</v>
      </c>
      <c r="C261" s="144"/>
      <c r="D261" s="144"/>
      <c r="E261" s="133"/>
      <c r="F261" s="150">
        <v>610</v>
      </c>
      <c r="G261" s="202" t="s">
        <v>257</v>
      </c>
      <c r="H261" s="375">
        <v>6600</v>
      </c>
      <c r="I261" s="375"/>
      <c r="J261" s="375">
        <f t="shared" si="44"/>
        <v>6600</v>
      </c>
      <c r="K261" s="796"/>
      <c r="L261" s="375"/>
      <c r="M261" s="375"/>
      <c r="N261" s="375"/>
      <c r="O261" s="147"/>
      <c r="P261" s="151">
        <f t="shared" si="49"/>
        <v>6600</v>
      </c>
      <c r="Q261" s="151">
        <f t="shared" si="46"/>
        <v>0</v>
      </c>
      <c r="R261" s="151">
        <f t="shared" si="47"/>
        <v>6600</v>
      </c>
    </row>
    <row r="262" spans="2:18" x14ac:dyDescent="0.2">
      <c r="B262" s="172">
        <f t="shared" si="48"/>
        <v>39</v>
      </c>
      <c r="C262" s="129"/>
      <c r="D262" s="129"/>
      <c r="E262" s="133"/>
      <c r="F262" s="150">
        <v>620</v>
      </c>
      <c r="G262" s="202" t="s">
        <v>259</v>
      </c>
      <c r="H262" s="375">
        <v>2950</v>
      </c>
      <c r="I262" s="375"/>
      <c r="J262" s="375">
        <f t="shared" si="44"/>
        <v>2950</v>
      </c>
      <c r="K262" s="796"/>
      <c r="L262" s="540"/>
      <c r="M262" s="540"/>
      <c r="N262" s="540"/>
      <c r="O262" s="131"/>
      <c r="P262" s="151">
        <f t="shared" si="49"/>
        <v>2950</v>
      </c>
      <c r="Q262" s="151">
        <f t="shared" si="46"/>
        <v>0</v>
      </c>
      <c r="R262" s="151">
        <f t="shared" si="47"/>
        <v>2950</v>
      </c>
    </row>
    <row r="263" spans="2:18" x14ac:dyDescent="0.2">
      <c r="B263" s="172">
        <f t="shared" si="48"/>
        <v>40</v>
      </c>
      <c r="C263" s="129"/>
      <c r="D263" s="129"/>
      <c r="E263" s="538"/>
      <c r="F263" s="213">
        <v>630</v>
      </c>
      <c r="G263" s="202" t="s">
        <v>446</v>
      </c>
      <c r="H263" s="375">
        <f>SUM(H264:H268)</f>
        <v>18450</v>
      </c>
      <c r="I263" s="375">
        <f>SUM(I264:I268)</f>
        <v>900</v>
      </c>
      <c r="J263" s="375">
        <f t="shared" si="44"/>
        <v>19350</v>
      </c>
      <c r="K263" s="796"/>
      <c r="L263" s="540"/>
      <c r="M263" s="540"/>
      <c r="N263" s="540"/>
      <c r="O263" s="131"/>
      <c r="P263" s="151">
        <f t="shared" si="49"/>
        <v>18450</v>
      </c>
      <c r="Q263" s="151">
        <f t="shared" si="46"/>
        <v>900</v>
      </c>
      <c r="R263" s="151">
        <f t="shared" si="47"/>
        <v>19350</v>
      </c>
    </row>
    <row r="264" spans="2:18" x14ac:dyDescent="0.2">
      <c r="B264" s="172">
        <f t="shared" si="48"/>
        <v>41</v>
      </c>
      <c r="C264" s="129"/>
      <c r="D264" s="129"/>
      <c r="E264" s="133"/>
      <c r="F264" s="133">
        <v>632</v>
      </c>
      <c r="G264" s="194" t="s">
        <v>246</v>
      </c>
      <c r="H264" s="369">
        <v>5900</v>
      </c>
      <c r="I264" s="369"/>
      <c r="J264" s="369">
        <f t="shared" si="44"/>
        <v>5900</v>
      </c>
      <c r="K264" s="473"/>
      <c r="L264" s="540"/>
      <c r="M264" s="540"/>
      <c r="N264" s="540"/>
      <c r="O264" s="131"/>
      <c r="P264" s="542">
        <f t="shared" si="49"/>
        <v>5900</v>
      </c>
      <c r="Q264" s="542">
        <f t="shared" si="46"/>
        <v>0</v>
      </c>
      <c r="R264" s="542">
        <f t="shared" si="47"/>
        <v>5900</v>
      </c>
    </row>
    <row r="265" spans="2:18" x14ac:dyDescent="0.2">
      <c r="B265" s="172">
        <f t="shared" si="48"/>
        <v>42</v>
      </c>
      <c r="C265" s="129"/>
      <c r="D265" s="129"/>
      <c r="E265" s="133"/>
      <c r="F265" s="133">
        <v>633</v>
      </c>
      <c r="G265" s="194" t="s">
        <v>247</v>
      </c>
      <c r="H265" s="540">
        <v>500</v>
      </c>
      <c r="I265" s="540">
        <v>700</v>
      </c>
      <c r="J265" s="540">
        <f t="shared" si="44"/>
        <v>1200</v>
      </c>
      <c r="K265" s="473"/>
      <c r="L265" s="540"/>
      <c r="M265" s="540"/>
      <c r="N265" s="540"/>
      <c r="O265" s="131"/>
      <c r="P265" s="542">
        <f t="shared" si="49"/>
        <v>500</v>
      </c>
      <c r="Q265" s="542">
        <f t="shared" si="46"/>
        <v>700</v>
      </c>
      <c r="R265" s="542">
        <f t="shared" si="47"/>
        <v>1200</v>
      </c>
    </row>
    <row r="266" spans="2:18" x14ac:dyDescent="0.2">
      <c r="B266" s="172">
        <f t="shared" si="48"/>
        <v>43</v>
      </c>
      <c r="C266" s="129"/>
      <c r="D266" s="129"/>
      <c r="E266" s="133"/>
      <c r="F266" s="133">
        <v>636</v>
      </c>
      <c r="G266" s="194" t="s">
        <v>347</v>
      </c>
      <c r="H266" s="540">
        <v>1650</v>
      </c>
      <c r="I266" s="540"/>
      <c r="J266" s="540">
        <f t="shared" si="44"/>
        <v>1650</v>
      </c>
      <c r="K266" s="473"/>
      <c r="L266" s="540"/>
      <c r="M266" s="540"/>
      <c r="N266" s="540"/>
      <c r="O266" s="131"/>
      <c r="P266" s="542">
        <f t="shared" si="49"/>
        <v>1650</v>
      </c>
      <c r="Q266" s="542">
        <f t="shared" si="46"/>
        <v>0</v>
      </c>
      <c r="R266" s="542">
        <f t="shared" si="47"/>
        <v>1650</v>
      </c>
    </row>
    <row r="267" spans="2:18" x14ac:dyDescent="0.2">
      <c r="B267" s="172">
        <f t="shared" si="48"/>
        <v>44</v>
      </c>
      <c r="C267" s="129"/>
      <c r="D267" s="129"/>
      <c r="E267" s="133"/>
      <c r="F267" s="133">
        <v>635</v>
      </c>
      <c r="G267" s="194" t="s">
        <v>261</v>
      </c>
      <c r="H267" s="540">
        <v>50</v>
      </c>
      <c r="I267" s="540">
        <v>200</v>
      </c>
      <c r="J267" s="540">
        <f t="shared" si="44"/>
        <v>250</v>
      </c>
      <c r="K267" s="473"/>
      <c r="L267" s="540"/>
      <c r="M267" s="540"/>
      <c r="N267" s="540"/>
      <c r="O267" s="131"/>
      <c r="P267" s="542">
        <f t="shared" si="49"/>
        <v>50</v>
      </c>
      <c r="Q267" s="542">
        <f t="shared" si="46"/>
        <v>200</v>
      </c>
      <c r="R267" s="542">
        <f t="shared" si="47"/>
        <v>250</v>
      </c>
    </row>
    <row r="268" spans="2:18" x14ac:dyDescent="0.2">
      <c r="B268" s="172">
        <f t="shared" si="48"/>
        <v>45</v>
      </c>
      <c r="C268" s="129"/>
      <c r="D268" s="129"/>
      <c r="E268" s="133"/>
      <c r="F268" s="133">
        <v>637</v>
      </c>
      <c r="G268" s="194" t="s">
        <v>248</v>
      </c>
      <c r="H268" s="540">
        <v>10350</v>
      </c>
      <c r="I268" s="540"/>
      <c r="J268" s="540">
        <f t="shared" si="44"/>
        <v>10350</v>
      </c>
      <c r="K268" s="473"/>
      <c r="L268" s="540"/>
      <c r="M268" s="540"/>
      <c r="N268" s="540"/>
      <c r="O268" s="131"/>
      <c r="P268" s="542">
        <f t="shared" si="49"/>
        <v>10350</v>
      </c>
      <c r="Q268" s="542">
        <f t="shared" si="46"/>
        <v>0</v>
      </c>
      <c r="R268" s="542">
        <f t="shared" si="47"/>
        <v>10350</v>
      </c>
    </row>
    <row r="269" spans="2:18" x14ac:dyDescent="0.2">
      <c r="B269" s="172">
        <f t="shared" si="48"/>
        <v>46</v>
      </c>
      <c r="C269" s="129"/>
      <c r="D269" s="129"/>
      <c r="E269" s="133"/>
      <c r="F269" s="133">
        <v>718</v>
      </c>
      <c r="G269" s="194" t="s">
        <v>641</v>
      </c>
      <c r="H269" s="540"/>
      <c r="I269" s="540"/>
      <c r="J269" s="540">
        <f t="shared" si="44"/>
        <v>0</v>
      </c>
      <c r="K269" s="473"/>
      <c r="L269" s="540">
        <v>5000</v>
      </c>
      <c r="M269" s="540"/>
      <c r="N269" s="540">
        <f>M269+L269</f>
        <v>5000</v>
      </c>
      <c r="O269" s="131"/>
      <c r="P269" s="542">
        <f t="shared" si="49"/>
        <v>5000</v>
      </c>
      <c r="Q269" s="542">
        <f t="shared" si="46"/>
        <v>0</v>
      </c>
      <c r="R269" s="542">
        <f t="shared" si="47"/>
        <v>5000</v>
      </c>
    </row>
    <row r="270" spans="2:18" ht="15.75" x14ac:dyDescent="0.25">
      <c r="B270" s="172">
        <f t="shared" si="48"/>
        <v>47</v>
      </c>
      <c r="C270" s="22">
        <v>6</v>
      </c>
      <c r="D270" s="126" t="s">
        <v>163</v>
      </c>
      <c r="E270" s="23"/>
      <c r="F270" s="23"/>
      <c r="G270" s="193"/>
      <c r="H270" s="402">
        <f>SUM(H271:H279)</f>
        <v>125674</v>
      </c>
      <c r="I270" s="404">
        <f>SUM(I271:I279)</f>
        <v>0</v>
      </c>
      <c r="J270" s="404">
        <f t="shared" si="44"/>
        <v>125674</v>
      </c>
      <c r="K270" s="791"/>
      <c r="L270" s="366">
        <f>SUM(L271:L280)</f>
        <v>112000</v>
      </c>
      <c r="M270" s="366">
        <f>SUM(M271:M280)</f>
        <v>0</v>
      </c>
      <c r="N270" s="366">
        <f>M270+L270</f>
        <v>112000</v>
      </c>
      <c r="O270" s="784"/>
      <c r="P270" s="360">
        <f t="shared" si="49"/>
        <v>237674</v>
      </c>
      <c r="Q270" s="360">
        <f t="shared" si="46"/>
        <v>0</v>
      </c>
      <c r="R270" s="360">
        <f t="shared" si="47"/>
        <v>237674</v>
      </c>
    </row>
    <row r="271" spans="2:18" x14ac:dyDescent="0.2">
      <c r="B271" s="172">
        <f t="shared" si="48"/>
        <v>48</v>
      </c>
      <c r="C271" s="129"/>
      <c r="D271" s="129"/>
      <c r="E271" s="538" t="s">
        <v>277</v>
      </c>
      <c r="F271" s="133">
        <v>632</v>
      </c>
      <c r="G271" s="194" t="s">
        <v>489</v>
      </c>
      <c r="H271" s="540">
        <v>27000</v>
      </c>
      <c r="I271" s="540"/>
      <c r="J271" s="540">
        <f t="shared" si="44"/>
        <v>27000</v>
      </c>
      <c r="K271" s="473"/>
      <c r="L271" s="540"/>
      <c r="M271" s="540"/>
      <c r="N271" s="540"/>
      <c r="O271" s="131"/>
      <c r="P271" s="542">
        <f t="shared" si="49"/>
        <v>27000</v>
      </c>
      <c r="Q271" s="542">
        <f t="shared" si="46"/>
        <v>0</v>
      </c>
      <c r="R271" s="542">
        <f t="shared" si="47"/>
        <v>27000</v>
      </c>
    </row>
    <row r="272" spans="2:18" x14ac:dyDescent="0.2">
      <c r="B272" s="172">
        <f t="shared" si="48"/>
        <v>49</v>
      </c>
      <c r="C272" s="129"/>
      <c r="D272" s="129"/>
      <c r="E272" s="538" t="s">
        <v>277</v>
      </c>
      <c r="F272" s="133">
        <v>637</v>
      </c>
      <c r="G272" s="194" t="s">
        <v>490</v>
      </c>
      <c r="H272" s="540">
        <v>91800</v>
      </c>
      <c r="I272" s="540"/>
      <c r="J272" s="540">
        <f t="shared" si="44"/>
        <v>91800</v>
      </c>
      <c r="K272" s="473"/>
      <c r="L272" s="540"/>
      <c r="M272" s="540"/>
      <c r="N272" s="540"/>
      <c r="O272" s="131"/>
      <c r="P272" s="542">
        <f t="shared" si="49"/>
        <v>91800</v>
      </c>
      <c r="Q272" s="542">
        <f t="shared" si="46"/>
        <v>0</v>
      </c>
      <c r="R272" s="542">
        <f t="shared" si="47"/>
        <v>91800</v>
      </c>
    </row>
    <row r="273" spans="1:18" x14ac:dyDescent="0.2">
      <c r="B273" s="172">
        <f t="shared" si="48"/>
        <v>50</v>
      </c>
      <c r="C273" s="129"/>
      <c r="D273" s="129"/>
      <c r="E273" s="538" t="s">
        <v>277</v>
      </c>
      <c r="F273" s="133">
        <v>637</v>
      </c>
      <c r="G273" s="194" t="s">
        <v>642</v>
      </c>
      <c r="H273" s="540">
        <v>6694</v>
      </c>
      <c r="I273" s="540"/>
      <c r="J273" s="540">
        <f t="shared" si="44"/>
        <v>6694</v>
      </c>
      <c r="K273" s="473"/>
      <c r="L273" s="540"/>
      <c r="M273" s="540"/>
      <c r="N273" s="540"/>
      <c r="O273" s="131"/>
      <c r="P273" s="542">
        <f t="shared" si="49"/>
        <v>6694</v>
      </c>
      <c r="Q273" s="542">
        <f t="shared" si="46"/>
        <v>0</v>
      </c>
      <c r="R273" s="542">
        <f t="shared" si="47"/>
        <v>6694</v>
      </c>
    </row>
    <row r="274" spans="1:18" x14ac:dyDescent="0.2">
      <c r="B274" s="172">
        <f t="shared" si="48"/>
        <v>51</v>
      </c>
      <c r="C274" s="129"/>
      <c r="D274" s="129"/>
      <c r="E274" s="538" t="s">
        <v>277</v>
      </c>
      <c r="F274" s="133">
        <v>637</v>
      </c>
      <c r="G274" s="194" t="s">
        <v>304</v>
      </c>
      <c r="H274" s="540">
        <v>180</v>
      </c>
      <c r="I274" s="540"/>
      <c r="J274" s="540">
        <f t="shared" si="44"/>
        <v>180</v>
      </c>
      <c r="K274" s="473"/>
      <c r="L274" s="540"/>
      <c r="M274" s="540"/>
      <c r="N274" s="540"/>
      <c r="O274" s="131"/>
      <c r="P274" s="542">
        <f t="shared" si="49"/>
        <v>180</v>
      </c>
      <c r="Q274" s="542">
        <f t="shared" si="46"/>
        <v>0</v>
      </c>
      <c r="R274" s="542">
        <f t="shared" si="47"/>
        <v>180</v>
      </c>
    </row>
    <row r="275" spans="1:18" x14ac:dyDescent="0.2">
      <c r="B275" s="172">
        <f t="shared" si="48"/>
        <v>52</v>
      </c>
      <c r="C275" s="129"/>
      <c r="D275" s="161"/>
      <c r="E275" s="538" t="s">
        <v>277</v>
      </c>
      <c r="F275" s="538">
        <v>716</v>
      </c>
      <c r="G275" s="194" t="s">
        <v>696</v>
      </c>
      <c r="H275" s="540"/>
      <c r="I275" s="540"/>
      <c r="J275" s="540">
        <f t="shared" si="44"/>
        <v>0</v>
      </c>
      <c r="K275" s="473"/>
      <c r="L275" s="369">
        <v>3500</v>
      </c>
      <c r="M275" s="369"/>
      <c r="N275" s="369">
        <f t="shared" ref="N275:N281" si="50">M275+L275</f>
        <v>3500</v>
      </c>
      <c r="O275" s="131"/>
      <c r="P275" s="162">
        <f t="shared" si="49"/>
        <v>3500</v>
      </c>
      <c r="Q275" s="162">
        <f t="shared" si="46"/>
        <v>0</v>
      </c>
      <c r="R275" s="162">
        <f t="shared" si="47"/>
        <v>3500</v>
      </c>
    </row>
    <row r="276" spans="1:18" s="836" customFormat="1" ht="24" x14ac:dyDescent="0.2">
      <c r="A276" s="835"/>
      <c r="B276" s="685">
        <f t="shared" si="48"/>
        <v>53</v>
      </c>
      <c r="C276" s="466"/>
      <c r="D276" s="476"/>
      <c r="E276" s="470" t="s">
        <v>277</v>
      </c>
      <c r="F276" s="470">
        <v>717</v>
      </c>
      <c r="G276" s="511" t="s">
        <v>861</v>
      </c>
      <c r="H276" s="546"/>
      <c r="I276" s="546"/>
      <c r="J276" s="546">
        <f t="shared" si="44"/>
        <v>0</v>
      </c>
      <c r="K276" s="795"/>
      <c r="L276" s="477">
        <v>46500</v>
      </c>
      <c r="M276" s="477"/>
      <c r="N276" s="477">
        <f t="shared" si="50"/>
        <v>46500</v>
      </c>
      <c r="O276" s="459"/>
      <c r="P276" s="837">
        <f t="shared" si="49"/>
        <v>46500</v>
      </c>
      <c r="Q276" s="837">
        <f t="shared" si="46"/>
        <v>0</v>
      </c>
      <c r="R276" s="837">
        <f t="shared" si="47"/>
        <v>46500</v>
      </c>
    </row>
    <row r="277" spans="1:18" x14ac:dyDescent="0.2">
      <c r="B277" s="172">
        <f t="shared" si="48"/>
        <v>54</v>
      </c>
      <c r="C277" s="129"/>
      <c r="D277" s="161"/>
      <c r="E277" s="538" t="s">
        <v>277</v>
      </c>
      <c r="F277" s="718">
        <v>716</v>
      </c>
      <c r="G277" s="708" t="s">
        <v>821</v>
      </c>
      <c r="H277" s="540"/>
      <c r="I277" s="540"/>
      <c r="J277" s="540">
        <f t="shared" si="44"/>
        <v>0</v>
      </c>
      <c r="K277" s="473"/>
      <c r="L277" s="369">
        <f>2000+988</f>
        <v>2988</v>
      </c>
      <c r="M277" s="369"/>
      <c r="N277" s="369">
        <f t="shared" si="50"/>
        <v>2988</v>
      </c>
      <c r="O277" s="131"/>
      <c r="P277" s="162">
        <f t="shared" si="49"/>
        <v>2988</v>
      </c>
      <c r="Q277" s="162">
        <f t="shared" si="46"/>
        <v>0</v>
      </c>
      <c r="R277" s="162">
        <f t="shared" si="47"/>
        <v>2988</v>
      </c>
    </row>
    <row r="278" spans="1:18" x14ac:dyDescent="0.2">
      <c r="B278" s="172">
        <f t="shared" si="48"/>
        <v>55</v>
      </c>
      <c r="C278" s="129"/>
      <c r="D278" s="161"/>
      <c r="E278" s="538" t="s">
        <v>277</v>
      </c>
      <c r="F278" s="538">
        <v>717</v>
      </c>
      <c r="G278" s="194" t="s">
        <v>769</v>
      </c>
      <c r="H278" s="540"/>
      <c r="I278" s="540"/>
      <c r="J278" s="540">
        <f t="shared" si="44"/>
        <v>0</v>
      </c>
      <c r="K278" s="473"/>
      <c r="L278" s="369">
        <v>45000</v>
      </c>
      <c r="M278" s="369"/>
      <c r="N278" s="369">
        <f t="shared" si="50"/>
        <v>45000</v>
      </c>
      <c r="O278" s="131"/>
      <c r="P278" s="162">
        <f t="shared" si="49"/>
        <v>45000</v>
      </c>
      <c r="Q278" s="162">
        <f t="shared" si="46"/>
        <v>0</v>
      </c>
      <c r="R278" s="162">
        <f t="shared" si="47"/>
        <v>45000</v>
      </c>
    </row>
    <row r="279" spans="1:18" x14ac:dyDescent="0.2">
      <c r="B279" s="172">
        <f t="shared" si="48"/>
        <v>56</v>
      </c>
      <c r="C279" s="129"/>
      <c r="D279" s="161"/>
      <c r="E279" s="538" t="s">
        <v>277</v>
      </c>
      <c r="F279" s="718">
        <v>717</v>
      </c>
      <c r="G279" s="708" t="s">
        <v>770</v>
      </c>
      <c r="H279" s="709"/>
      <c r="I279" s="540"/>
      <c r="J279" s="540">
        <f t="shared" si="44"/>
        <v>0</v>
      </c>
      <c r="K279" s="473"/>
      <c r="L279" s="710">
        <f>5000-988</f>
        <v>4012</v>
      </c>
      <c r="M279" s="369"/>
      <c r="N279" s="369">
        <f t="shared" si="50"/>
        <v>4012</v>
      </c>
      <c r="O279" s="131"/>
      <c r="P279" s="711">
        <f t="shared" si="49"/>
        <v>4012</v>
      </c>
      <c r="Q279" s="162">
        <f t="shared" si="46"/>
        <v>0</v>
      </c>
      <c r="R279" s="162">
        <f t="shared" si="47"/>
        <v>4012</v>
      </c>
    </row>
    <row r="280" spans="1:18" x14ac:dyDescent="0.2">
      <c r="B280" s="172">
        <f t="shared" si="48"/>
        <v>57</v>
      </c>
      <c r="C280" s="129"/>
      <c r="D280" s="161"/>
      <c r="E280" s="538" t="s">
        <v>277</v>
      </c>
      <c r="F280" s="698">
        <v>717</v>
      </c>
      <c r="G280" s="714" t="s">
        <v>812</v>
      </c>
      <c r="H280" s="715"/>
      <c r="I280" s="540"/>
      <c r="J280" s="540">
        <f t="shared" si="44"/>
        <v>0</v>
      </c>
      <c r="K280" s="473"/>
      <c r="L280" s="716">
        <v>10000</v>
      </c>
      <c r="M280" s="369"/>
      <c r="N280" s="369">
        <f t="shared" si="50"/>
        <v>10000</v>
      </c>
      <c r="O280" s="131"/>
      <c r="P280" s="717">
        <f t="shared" si="49"/>
        <v>10000</v>
      </c>
      <c r="Q280" s="162">
        <f t="shared" si="46"/>
        <v>0</v>
      </c>
      <c r="R280" s="162">
        <f t="shared" si="47"/>
        <v>10000</v>
      </c>
    </row>
    <row r="281" spans="1:18" ht="15.75" x14ac:dyDescent="0.25">
      <c r="B281" s="172">
        <f t="shared" si="48"/>
        <v>58</v>
      </c>
      <c r="C281" s="22">
        <v>7</v>
      </c>
      <c r="D281" s="126" t="s">
        <v>562</v>
      </c>
      <c r="E281" s="23"/>
      <c r="F281" s="23"/>
      <c r="G281" s="193"/>
      <c r="H281" s="402">
        <f>H282</f>
        <v>2875</v>
      </c>
      <c r="I281" s="404">
        <f>I282</f>
        <v>0</v>
      </c>
      <c r="J281" s="404">
        <f t="shared" si="44"/>
        <v>2875</v>
      </c>
      <c r="K281" s="791"/>
      <c r="L281" s="380">
        <f>L290</f>
        <v>15000</v>
      </c>
      <c r="M281" s="380">
        <f>M290</f>
        <v>0</v>
      </c>
      <c r="N281" s="380">
        <f t="shared" si="50"/>
        <v>15000</v>
      </c>
      <c r="O281" s="784"/>
      <c r="P281" s="360">
        <f t="shared" si="49"/>
        <v>17875</v>
      </c>
      <c r="Q281" s="360">
        <f t="shared" si="46"/>
        <v>0</v>
      </c>
      <c r="R281" s="360">
        <f t="shared" si="47"/>
        <v>17875</v>
      </c>
    </row>
    <row r="282" spans="1:18" x14ac:dyDescent="0.2">
      <c r="B282" s="172">
        <f t="shared" si="48"/>
        <v>59</v>
      </c>
      <c r="C282" s="129"/>
      <c r="D282" s="129"/>
      <c r="E282" s="230" t="s">
        <v>427</v>
      </c>
      <c r="F282" s="228"/>
      <c r="G282" s="227" t="s">
        <v>444</v>
      </c>
      <c r="H282" s="374">
        <f>H283+H284+H285</f>
        <v>2875</v>
      </c>
      <c r="I282" s="374">
        <f>I283+I284+I285</f>
        <v>0</v>
      </c>
      <c r="J282" s="374">
        <f t="shared" si="44"/>
        <v>2875</v>
      </c>
      <c r="K282" s="796"/>
      <c r="L282" s="540"/>
      <c r="M282" s="540"/>
      <c r="N282" s="540"/>
      <c r="O282" s="131"/>
      <c r="P282" s="151">
        <f t="shared" si="49"/>
        <v>2875</v>
      </c>
      <c r="Q282" s="151">
        <f t="shared" si="46"/>
        <v>0</v>
      </c>
      <c r="R282" s="151">
        <f t="shared" si="47"/>
        <v>2875</v>
      </c>
    </row>
    <row r="283" spans="1:18" x14ac:dyDescent="0.2">
      <c r="B283" s="172">
        <f t="shared" si="48"/>
        <v>60</v>
      </c>
      <c r="C283" s="129"/>
      <c r="D283" s="129"/>
      <c r="E283" s="538"/>
      <c r="F283" s="150">
        <v>610</v>
      </c>
      <c r="G283" s="202" t="s">
        <v>257</v>
      </c>
      <c r="H283" s="375">
        <v>700</v>
      </c>
      <c r="I283" s="375"/>
      <c r="J283" s="375">
        <f t="shared" si="44"/>
        <v>700</v>
      </c>
      <c r="K283" s="796"/>
      <c r="L283" s="540"/>
      <c r="M283" s="540"/>
      <c r="N283" s="540"/>
      <c r="O283" s="131"/>
      <c r="P283" s="151">
        <f t="shared" si="49"/>
        <v>700</v>
      </c>
      <c r="Q283" s="151">
        <f t="shared" si="46"/>
        <v>0</v>
      </c>
      <c r="R283" s="151">
        <f t="shared" si="47"/>
        <v>700</v>
      </c>
    </row>
    <row r="284" spans="1:18" x14ac:dyDescent="0.2">
      <c r="B284" s="172">
        <f t="shared" si="48"/>
        <v>61</v>
      </c>
      <c r="C284" s="129"/>
      <c r="D284" s="129"/>
      <c r="E284" s="538"/>
      <c r="F284" s="150">
        <v>620</v>
      </c>
      <c r="G284" s="202" t="s">
        <v>259</v>
      </c>
      <c r="H284" s="375">
        <v>245</v>
      </c>
      <c r="I284" s="375"/>
      <c r="J284" s="375">
        <f t="shared" si="44"/>
        <v>245</v>
      </c>
      <c r="K284" s="796"/>
      <c r="L284" s="540"/>
      <c r="M284" s="540"/>
      <c r="N284" s="540"/>
      <c r="O284" s="131"/>
      <c r="P284" s="151">
        <f t="shared" si="49"/>
        <v>245</v>
      </c>
      <c r="Q284" s="151">
        <f t="shared" si="46"/>
        <v>0</v>
      </c>
      <c r="R284" s="151">
        <f t="shared" si="47"/>
        <v>245</v>
      </c>
    </row>
    <row r="285" spans="1:18" x14ac:dyDescent="0.2">
      <c r="B285" s="172">
        <f t="shared" si="48"/>
        <v>62</v>
      </c>
      <c r="C285" s="129"/>
      <c r="D285" s="129"/>
      <c r="E285" s="538"/>
      <c r="F285" s="150">
        <v>630</v>
      </c>
      <c r="G285" s="202" t="s">
        <v>446</v>
      </c>
      <c r="H285" s="375">
        <f>SUM(H286:H289)</f>
        <v>1930</v>
      </c>
      <c r="I285" s="375">
        <f>SUM(I286:I289)</f>
        <v>0</v>
      </c>
      <c r="J285" s="375">
        <f t="shared" si="44"/>
        <v>1930</v>
      </c>
      <c r="K285" s="796"/>
      <c r="L285" s="540"/>
      <c r="M285" s="540"/>
      <c r="N285" s="540"/>
      <c r="O285" s="131"/>
      <c r="P285" s="151">
        <f t="shared" si="49"/>
        <v>1930</v>
      </c>
      <c r="Q285" s="151">
        <f t="shared" si="46"/>
        <v>0</v>
      </c>
      <c r="R285" s="151">
        <f t="shared" si="47"/>
        <v>1930</v>
      </c>
    </row>
    <row r="286" spans="1:18" x14ac:dyDescent="0.2">
      <c r="B286" s="172">
        <f t="shared" si="48"/>
        <v>63</v>
      </c>
      <c r="C286" s="129"/>
      <c r="D286" s="129"/>
      <c r="E286" s="538"/>
      <c r="F286" s="133">
        <v>633</v>
      </c>
      <c r="G286" s="194" t="s">
        <v>247</v>
      </c>
      <c r="H286" s="540">
        <v>800</v>
      </c>
      <c r="I286" s="540"/>
      <c r="J286" s="540">
        <f t="shared" si="44"/>
        <v>800</v>
      </c>
      <c r="K286" s="473"/>
      <c r="L286" s="540"/>
      <c r="M286" s="540"/>
      <c r="N286" s="540"/>
      <c r="O286" s="131"/>
      <c r="P286" s="542">
        <f t="shared" si="49"/>
        <v>800</v>
      </c>
      <c r="Q286" s="542">
        <f t="shared" si="46"/>
        <v>0</v>
      </c>
      <c r="R286" s="542">
        <f t="shared" si="47"/>
        <v>800</v>
      </c>
    </row>
    <row r="287" spans="1:18" x14ac:dyDescent="0.2">
      <c r="B287" s="172">
        <f t="shared" si="48"/>
        <v>64</v>
      </c>
      <c r="C287" s="129"/>
      <c r="D287" s="129"/>
      <c r="E287" s="538"/>
      <c r="F287" s="133">
        <v>634</v>
      </c>
      <c r="G287" s="194" t="s">
        <v>260</v>
      </c>
      <c r="H287" s="540">
        <v>450</v>
      </c>
      <c r="I287" s="540"/>
      <c r="J287" s="540">
        <f t="shared" si="44"/>
        <v>450</v>
      </c>
      <c r="K287" s="473"/>
      <c r="L287" s="540"/>
      <c r="M287" s="540"/>
      <c r="N287" s="540"/>
      <c r="O287" s="131"/>
      <c r="P287" s="542">
        <f t="shared" si="49"/>
        <v>450</v>
      </c>
      <c r="Q287" s="542">
        <f t="shared" si="46"/>
        <v>0</v>
      </c>
      <c r="R287" s="542">
        <f t="shared" si="47"/>
        <v>450</v>
      </c>
    </row>
    <row r="288" spans="1:18" x14ac:dyDescent="0.2">
      <c r="B288" s="172">
        <f t="shared" si="48"/>
        <v>65</v>
      </c>
      <c r="C288" s="129"/>
      <c r="D288" s="129"/>
      <c r="E288" s="538"/>
      <c r="F288" s="133">
        <v>635</v>
      </c>
      <c r="G288" s="194" t="s">
        <v>261</v>
      </c>
      <c r="H288" s="540">
        <v>350</v>
      </c>
      <c r="I288" s="540"/>
      <c r="J288" s="540">
        <f t="shared" ref="J288:J291" si="51">I288+H288</f>
        <v>350</v>
      </c>
      <c r="K288" s="473"/>
      <c r="L288" s="540"/>
      <c r="M288" s="540"/>
      <c r="N288" s="540"/>
      <c r="O288" s="131"/>
      <c r="P288" s="542">
        <f t="shared" si="49"/>
        <v>350</v>
      </c>
      <c r="Q288" s="542">
        <f t="shared" ref="Q288:Q291" si="52">I288+M288</f>
        <v>0</v>
      </c>
      <c r="R288" s="542">
        <f t="shared" ref="R288:R291" si="53">Q288+P288</f>
        <v>350</v>
      </c>
    </row>
    <row r="289" spans="2:18" x14ac:dyDescent="0.2">
      <c r="B289" s="172">
        <f t="shared" si="48"/>
        <v>66</v>
      </c>
      <c r="C289" s="538"/>
      <c r="D289" s="538"/>
      <c r="E289" s="538"/>
      <c r="F289" s="538">
        <v>637</v>
      </c>
      <c r="G289" s="205" t="s">
        <v>248</v>
      </c>
      <c r="H289" s="540">
        <v>330</v>
      </c>
      <c r="I289" s="540"/>
      <c r="J289" s="540">
        <f t="shared" si="51"/>
        <v>330</v>
      </c>
      <c r="K289" s="473"/>
      <c r="L289" s="540"/>
      <c r="M289" s="540"/>
      <c r="N289" s="540"/>
      <c r="O289" s="131"/>
      <c r="P289" s="542">
        <f t="shared" si="49"/>
        <v>330</v>
      </c>
      <c r="Q289" s="542">
        <f t="shared" si="52"/>
        <v>0</v>
      </c>
      <c r="R289" s="542">
        <f t="shared" si="53"/>
        <v>330</v>
      </c>
    </row>
    <row r="290" spans="2:18" x14ac:dyDescent="0.2">
      <c r="B290" s="172">
        <f t="shared" ref="B290" si="54">B289+1</f>
        <v>67</v>
      </c>
      <c r="C290" s="664"/>
      <c r="D290" s="538"/>
      <c r="E290" s="538"/>
      <c r="F290" s="695">
        <v>717</v>
      </c>
      <c r="G290" s="719" t="s">
        <v>771</v>
      </c>
      <c r="H290" s="367"/>
      <c r="I290" s="541"/>
      <c r="J290" s="541">
        <f t="shared" si="51"/>
        <v>0</v>
      </c>
      <c r="K290" s="473"/>
      <c r="L290" s="367">
        <v>15000</v>
      </c>
      <c r="M290" s="541"/>
      <c r="N290" s="541">
        <f>M290+L290</f>
        <v>15000</v>
      </c>
      <c r="O290" s="131"/>
      <c r="P290" s="720">
        <f t="shared" si="49"/>
        <v>15000</v>
      </c>
      <c r="Q290" s="542">
        <f t="shared" si="52"/>
        <v>0</v>
      </c>
      <c r="R290" s="542">
        <f t="shared" si="53"/>
        <v>15000</v>
      </c>
    </row>
    <row r="291" spans="2:18" ht="16.5" thickBot="1" x14ac:dyDescent="0.3">
      <c r="B291" s="172">
        <v>69</v>
      </c>
      <c r="C291" s="276">
        <v>8</v>
      </c>
      <c r="D291" s="277" t="s">
        <v>548</v>
      </c>
      <c r="E291" s="278"/>
      <c r="F291" s="278"/>
      <c r="G291" s="279"/>
      <c r="H291" s="407">
        <v>0</v>
      </c>
      <c r="I291" s="779">
        <v>0</v>
      </c>
      <c r="J291" s="779">
        <f t="shared" si="51"/>
        <v>0</v>
      </c>
      <c r="K291" s="791"/>
      <c r="L291" s="382">
        <v>0</v>
      </c>
      <c r="M291" s="382">
        <v>0</v>
      </c>
      <c r="N291" s="382">
        <v>0</v>
      </c>
      <c r="O291" s="784"/>
      <c r="P291" s="363">
        <f t="shared" si="49"/>
        <v>0</v>
      </c>
      <c r="Q291" s="363">
        <f t="shared" si="52"/>
        <v>0</v>
      </c>
      <c r="R291" s="363">
        <f t="shared" si="53"/>
        <v>0</v>
      </c>
    </row>
    <row r="330" spans="2:18" ht="27.75" thickBot="1" x14ac:dyDescent="0.4">
      <c r="B330" s="246" t="s">
        <v>139</v>
      </c>
      <c r="C330" s="246"/>
      <c r="D330" s="246"/>
      <c r="E330" s="246"/>
      <c r="F330" s="246"/>
      <c r="G330" s="246"/>
      <c r="H330" s="246"/>
      <c r="I330" s="246"/>
      <c r="J330" s="246"/>
      <c r="K330" s="246"/>
      <c r="L330" s="246"/>
      <c r="M330" s="246"/>
      <c r="N330" s="246"/>
      <c r="O330" s="246"/>
      <c r="P330" s="246"/>
    </row>
    <row r="331" spans="2:18" ht="13.5" customHeight="1" thickBot="1" x14ac:dyDescent="0.25">
      <c r="B331" s="874" t="s">
        <v>632</v>
      </c>
      <c r="C331" s="875"/>
      <c r="D331" s="875"/>
      <c r="E331" s="875"/>
      <c r="F331" s="875"/>
      <c r="G331" s="875"/>
      <c r="H331" s="875"/>
      <c r="I331" s="875"/>
      <c r="J331" s="875"/>
      <c r="K331" s="875"/>
      <c r="L331" s="875"/>
      <c r="M331" s="875"/>
      <c r="N331" s="876"/>
      <c r="O331" s="787"/>
      <c r="P331" s="867" t="s">
        <v>724</v>
      </c>
      <c r="Q331" s="867" t="s">
        <v>842</v>
      </c>
      <c r="R331" s="867" t="s">
        <v>724</v>
      </c>
    </row>
    <row r="332" spans="2:18" ht="13.5" customHeight="1" thickTop="1" x14ac:dyDescent="0.2">
      <c r="B332" s="523"/>
      <c r="C332" s="863" t="s">
        <v>478</v>
      </c>
      <c r="D332" s="863" t="s">
        <v>477</v>
      </c>
      <c r="E332" s="863" t="s">
        <v>475</v>
      </c>
      <c r="F332" s="863" t="s">
        <v>476</v>
      </c>
      <c r="G332" s="877" t="s">
        <v>3</v>
      </c>
      <c r="H332" s="870" t="s">
        <v>725</v>
      </c>
      <c r="I332" s="870" t="s">
        <v>842</v>
      </c>
      <c r="J332" s="870" t="s">
        <v>725</v>
      </c>
      <c r="K332" s="790"/>
      <c r="L332" s="872" t="s">
        <v>726</v>
      </c>
      <c r="M332" s="872" t="s">
        <v>842</v>
      </c>
      <c r="N332" s="872" t="s">
        <v>726</v>
      </c>
      <c r="O332" s="781"/>
      <c r="P332" s="868"/>
      <c r="Q332" s="868"/>
      <c r="R332" s="868"/>
    </row>
    <row r="333" spans="2:18" ht="37.5" customHeight="1" thickBot="1" x14ac:dyDescent="0.25">
      <c r="B333" s="523"/>
      <c r="C333" s="864"/>
      <c r="D333" s="864"/>
      <c r="E333" s="864"/>
      <c r="F333" s="864"/>
      <c r="G333" s="878"/>
      <c r="H333" s="871"/>
      <c r="I333" s="871"/>
      <c r="J333" s="871"/>
      <c r="K333" s="790"/>
      <c r="L333" s="873"/>
      <c r="M333" s="873"/>
      <c r="N333" s="873"/>
      <c r="O333" s="781"/>
      <c r="P333" s="869"/>
      <c r="Q333" s="869"/>
      <c r="R333" s="869"/>
    </row>
    <row r="334" spans="2:18" ht="19.5" thickTop="1" thickBot="1" x14ac:dyDescent="0.25">
      <c r="B334" s="524">
        <v>1</v>
      </c>
      <c r="C334" s="124" t="s">
        <v>210</v>
      </c>
      <c r="D334" s="110"/>
      <c r="E334" s="110"/>
      <c r="F334" s="110"/>
      <c r="G334" s="192"/>
      <c r="H334" s="400">
        <f>H335+H347+H362+H365+H367</f>
        <v>1620460</v>
      </c>
      <c r="I334" s="400">
        <f>I335+I347+I362+I365+I367</f>
        <v>0</v>
      </c>
      <c r="J334" s="400">
        <f t="shared" ref="J334:J374" si="55">I334+H334</f>
        <v>1620460</v>
      </c>
      <c r="K334" s="783"/>
      <c r="L334" s="365">
        <f>L335+L347+L362+L365+L367</f>
        <v>78583</v>
      </c>
      <c r="M334" s="365">
        <f>M335+M347+M362+M365+M367</f>
        <v>0</v>
      </c>
      <c r="N334" s="365">
        <f>M334+L334</f>
        <v>78583</v>
      </c>
      <c r="O334" s="783"/>
      <c r="P334" s="379">
        <f t="shared" ref="P334:P358" si="56">H334+L334</f>
        <v>1699043</v>
      </c>
      <c r="Q334" s="379">
        <f t="shared" ref="Q334:Q358" si="57">I334+M334</f>
        <v>0</v>
      </c>
      <c r="R334" s="379">
        <f t="shared" ref="R334:R358" si="58">Q334+P334</f>
        <v>1699043</v>
      </c>
    </row>
    <row r="335" spans="2:18" ht="16.5" thickTop="1" x14ac:dyDescent="0.25">
      <c r="B335" s="172">
        <f>B334+1</f>
        <v>2</v>
      </c>
      <c r="C335" s="22">
        <v>1</v>
      </c>
      <c r="D335" s="126" t="s">
        <v>140</v>
      </c>
      <c r="E335" s="23"/>
      <c r="F335" s="23"/>
      <c r="G335" s="193"/>
      <c r="H335" s="401">
        <f>H336+H337+H338+H346</f>
        <v>900000</v>
      </c>
      <c r="I335" s="414">
        <f>I336+I337+I338+I346</f>
        <v>0</v>
      </c>
      <c r="J335" s="414">
        <f t="shared" si="55"/>
        <v>900000</v>
      </c>
      <c r="K335" s="784"/>
      <c r="L335" s="385">
        <f>SUM(L336:L346)</f>
        <v>0</v>
      </c>
      <c r="M335" s="798">
        <f>SUM(M336:M346)</f>
        <v>0</v>
      </c>
      <c r="N335" s="798">
        <f>SUM(N336:N346)</f>
        <v>0</v>
      </c>
      <c r="O335" s="784"/>
      <c r="P335" s="377">
        <f t="shared" si="56"/>
        <v>900000</v>
      </c>
      <c r="Q335" s="377">
        <f t="shared" si="57"/>
        <v>0</v>
      </c>
      <c r="R335" s="377">
        <f t="shared" si="58"/>
        <v>900000</v>
      </c>
    </row>
    <row r="336" spans="2:18" x14ac:dyDescent="0.2">
      <c r="B336" s="172">
        <f t="shared" ref="B336:B374" si="59">B335+1</f>
        <v>3</v>
      </c>
      <c r="C336" s="144"/>
      <c r="D336" s="145"/>
      <c r="E336" s="130" t="s">
        <v>308</v>
      </c>
      <c r="F336" s="145" t="s">
        <v>211</v>
      </c>
      <c r="G336" s="202" t="s">
        <v>257</v>
      </c>
      <c r="H336" s="375">
        <v>556300</v>
      </c>
      <c r="I336" s="375">
        <v>-4000</v>
      </c>
      <c r="J336" s="375">
        <f t="shared" si="55"/>
        <v>552300</v>
      </c>
      <c r="K336" s="147"/>
      <c r="L336" s="375"/>
      <c r="M336" s="375"/>
      <c r="N336" s="375"/>
      <c r="O336" s="147"/>
      <c r="P336" s="167">
        <f t="shared" si="56"/>
        <v>556300</v>
      </c>
      <c r="Q336" s="167">
        <f t="shared" si="57"/>
        <v>-4000</v>
      </c>
      <c r="R336" s="167">
        <f t="shared" si="58"/>
        <v>552300</v>
      </c>
    </row>
    <row r="337" spans="2:18" x14ac:dyDescent="0.2">
      <c r="B337" s="172">
        <f t="shared" si="59"/>
        <v>4</v>
      </c>
      <c r="C337" s="144"/>
      <c r="D337" s="145"/>
      <c r="E337" s="130" t="s">
        <v>308</v>
      </c>
      <c r="F337" s="145" t="s">
        <v>212</v>
      </c>
      <c r="G337" s="202" t="s">
        <v>306</v>
      </c>
      <c r="H337" s="375">
        <v>201700</v>
      </c>
      <c r="I337" s="375"/>
      <c r="J337" s="375">
        <f t="shared" si="55"/>
        <v>201700</v>
      </c>
      <c r="K337" s="147"/>
      <c r="L337" s="386"/>
      <c r="M337" s="386"/>
      <c r="N337" s="386"/>
      <c r="O337" s="147"/>
      <c r="P337" s="167">
        <f t="shared" si="56"/>
        <v>201700</v>
      </c>
      <c r="Q337" s="167">
        <f t="shared" si="57"/>
        <v>0</v>
      </c>
      <c r="R337" s="167">
        <f t="shared" si="58"/>
        <v>201700</v>
      </c>
    </row>
    <row r="338" spans="2:18" x14ac:dyDescent="0.2">
      <c r="B338" s="172">
        <f t="shared" si="59"/>
        <v>5</v>
      </c>
      <c r="C338" s="144"/>
      <c r="D338" s="145"/>
      <c r="E338" s="130" t="s">
        <v>308</v>
      </c>
      <c r="F338" s="145" t="s">
        <v>218</v>
      </c>
      <c r="G338" s="202" t="s">
        <v>249</v>
      </c>
      <c r="H338" s="375">
        <f>SUM(H339:H345)</f>
        <v>141034</v>
      </c>
      <c r="I338" s="375">
        <f>SUM(I339:I345)</f>
        <v>500</v>
      </c>
      <c r="J338" s="375">
        <f t="shared" si="55"/>
        <v>141534</v>
      </c>
      <c r="K338" s="147"/>
      <c r="L338" s="386"/>
      <c r="M338" s="386"/>
      <c r="N338" s="386"/>
      <c r="O338" s="147"/>
      <c r="P338" s="167">
        <f t="shared" si="56"/>
        <v>141034</v>
      </c>
      <c r="Q338" s="167">
        <f t="shared" si="57"/>
        <v>500</v>
      </c>
      <c r="R338" s="167">
        <f t="shared" si="58"/>
        <v>141534</v>
      </c>
    </row>
    <row r="339" spans="2:18" x14ac:dyDescent="0.2">
      <c r="B339" s="172">
        <f t="shared" si="59"/>
        <v>6</v>
      </c>
      <c r="C339" s="129"/>
      <c r="D339" s="130"/>
      <c r="E339" s="130"/>
      <c r="F339" s="130" t="s">
        <v>213</v>
      </c>
      <c r="G339" s="194" t="s">
        <v>307</v>
      </c>
      <c r="H339" s="540">
        <f>970+2000</f>
        <v>2970</v>
      </c>
      <c r="I339" s="540">
        <v>2000</v>
      </c>
      <c r="J339" s="540">
        <f t="shared" si="55"/>
        <v>4970</v>
      </c>
      <c r="K339" s="131"/>
      <c r="L339" s="541"/>
      <c r="M339" s="541"/>
      <c r="N339" s="541"/>
      <c r="O339" s="131"/>
      <c r="P339" s="168">
        <f t="shared" si="56"/>
        <v>2970</v>
      </c>
      <c r="Q339" s="168">
        <f t="shared" si="57"/>
        <v>2000</v>
      </c>
      <c r="R339" s="168">
        <f t="shared" si="58"/>
        <v>4970</v>
      </c>
    </row>
    <row r="340" spans="2:18" x14ac:dyDescent="0.2">
      <c r="B340" s="172">
        <f t="shared" si="59"/>
        <v>7</v>
      </c>
      <c r="C340" s="129"/>
      <c r="D340" s="130"/>
      <c r="E340" s="130"/>
      <c r="F340" s="130" t="s">
        <v>199</v>
      </c>
      <c r="G340" s="194" t="s">
        <v>246</v>
      </c>
      <c r="H340" s="540">
        <v>25000</v>
      </c>
      <c r="I340" s="540"/>
      <c r="J340" s="540">
        <f t="shared" si="55"/>
        <v>25000</v>
      </c>
      <c r="K340" s="131"/>
      <c r="L340" s="541"/>
      <c r="M340" s="541"/>
      <c r="N340" s="541"/>
      <c r="O340" s="131"/>
      <c r="P340" s="168">
        <f t="shared" si="56"/>
        <v>25000</v>
      </c>
      <c r="Q340" s="168">
        <f t="shared" si="57"/>
        <v>0</v>
      </c>
      <c r="R340" s="168">
        <f t="shared" si="58"/>
        <v>25000</v>
      </c>
    </row>
    <row r="341" spans="2:18" x14ac:dyDescent="0.2">
      <c r="B341" s="172">
        <f t="shared" si="59"/>
        <v>8</v>
      </c>
      <c r="C341" s="129"/>
      <c r="D341" s="130"/>
      <c r="E341" s="130"/>
      <c r="F341" s="130" t="s">
        <v>200</v>
      </c>
      <c r="G341" s="194" t="s">
        <v>247</v>
      </c>
      <c r="H341" s="540">
        <f>37149-4000</f>
        <v>33149</v>
      </c>
      <c r="I341" s="540">
        <v>-3500</v>
      </c>
      <c r="J341" s="540">
        <f t="shared" si="55"/>
        <v>29649</v>
      </c>
      <c r="K341" s="131"/>
      <c r="L341" s="541"/>
      <c r="M341" s="541"/>
      <c r="N341" s="541"/>
      <c r="O341" s="131"/>
      <c r="P341" s="168">
        <f t="shared" si="56"/>
        <v>33149</v>
      </c>
      <c r="Q341" s="168">
        <f t="shared" si="57"/>
        <v>-3500</v>
      </c>
      <c r="R341" s="168">
        <f t="shared" si="58"/>
        <v>29649</v>
      </c>
    </row>
    <row r="342" spans="2:18" x14ac:dyDescent="0.2">
      <c r="B342" s="172">
        <f t="shared" si="59"/>
        <v>9</v>
      </c>
      <c r="C342" s="129"/>
      <c r="D342" s="130"/>
      <c r="E342" s="130"/>
      <c r="F342" s="130" t="s">
        <v>201</v>
      </c>
      <c r="G342" s="194" t="s">
        <v>260</v>
      </c>
      <c r="H342" s="540">
        <v>31980</v>
      </c>
      <c r="I342" s="540"/>
      <c r="J342" s="540">
        <f t="shared" si="55"/>
        <v>31980</v>
      </c>
      <c r="K342" s="131"/>
      <c r="L342" s="541"/>
      <c r="M342" s="541"/>
      <c r="N342" s="541"/>
      <c r="O342" s="131"/>
      <c r="P342" s="168">
        <f t="shared" si="56"/>
        <v>31980</v>
      </c>
      <c r="Q342" s="168">
        <f t="shared" si="57"/>
        <v>0</v>
      </c>
      <c r="R342" s="168">
        <f t="shared" si="58"/>
        <v>31980</v>
      </c>
    </row>
    <row r="343" spans="2:18" x14ac:dyDescent="0.2">
      <c r="B343" s="172">
        <f t="shared" si="59"/>
        <v>10</v>
      </c>
      <c r="C343" s="129"/>
      <c r="D343" s="130"/>
      <c r="E343" s="130"/>
      <c r="F343" s="130" t="s">
        <v>214</v>
      </c>
      <c r="G343" s="194" t="s">
        <v>261</v>
      </c>
      <c r="H343" s="540">
        <v>1800</v>
      </c>
      <c r="I343" s="540"/>
      <c r="J343" s="540">
        <f t="shared" si="55"/>
        <v>1800</v>
      </c>
      <c r="K343" s="131"/>
      <c r="L343" s="541"/>
      <c r="M343" s="541"/>
      <c r="N343" s="541"/>
      <c r="O343" s="131"/>
      <c r="P343" s="168">
        <f t="shared" si="56"/>
        <v>1800</v>
      </c>
      <c r="Q343" s="168">
        <f t="shared" si="57"/>
        <v>0</v>
      </c>
      <c r="R343" s="168">
        <f t="shared" si="58"/>
        <v>1800</v>
      </c>
    </row>
    <row r="344" spans="2:18" x14ac:dyDescent="0.2">
      <c r="B344" s="172">
        <f t="shared" si="59"/>
        <v>11</v>
      </c>
      <c r="C344" s="129"/>
      <c r="D344" s="130"/>
      <c r="E344" s="130"/>
      <c r="F344" s="130" t="s">
        <v>216</v>
      </c>
      <c r="G344" s="194" t="s">
        <v>248</v>
      </c>
      <c r="H344" s="540">
        <v>43635</v>
      </c>
      <c r="I344" s="540"/>
      <c r="J344" s="540">
        <f t="shared" si="55"/>
        <v>43635</v>
      </c>
      <c r="K344" s="131"/>
      <c r="L344" s="541"/>
      <c r="M344" s="541"/>
      <c r="N344" s="541"/>
      <c r="O344" s="131"/>
      <c r="P344" s="168">
        <f t="shared" si="56"/>
        <v>43635</v>
      </c>
      <c r="Q344" s="168">
        <f t="shared" si="57"/>
        <v>0</v>
      </c>
      <c r="R344" s="168">
        <f t="shared" si="58"/>
        <v>43635</v>
      </c>
    </row>
    <row r="345" spans="2:18" x14ac:dyDescent="0.2">
      <c r="B345" s="172">
        <f t="shared" si="59"/>
        <v>12</v>
      </c>
      <c r="C345" s="129"/>
      <c r="D345" s="170"/>
      <c r="E345" s="130" t="s">
        <v>838</v>
      </c>
      <c r="F345" s="130" t="s">
        <v>216</v>
      </c>
      <c r="G345" s="194" t="s">
        <v>660</v>
      </c>
      <c r="H345" s="540">
        <f>500+2000</f>
        <v>2500</v>
      </c>
      <c r="I345" s="540">
        <v>2000</v>
      </c>
      <c r="J345" s="540">
        <f t="shared" si="55"/>
        <v>4500</v>
      </c>
      <c r="K345" s="131"/>
      <c r="L345" s="541"/>
      <c r="M345" s="541"/>
      <c r="N345" s="541"/>
      <c r="O345" s="131"/>
      <c r="P345" s="168">
        <f t="shared" si="56"/>
        <v>2500</v>
      </c>
      <c r="Q345" s="168">
        <f t="shared" si="57"/>
        <v>2000</v>
      </c>
      <c r="R345" s="168">
        <f t="shared" si="58"/>
        <v>4500</v>
      </c>
    </row>
    <row r="346" spans="2:18" x14ac:dyDescent="0.2">
      <c r="B346" s="172">
        <f t="shared" si="59"/>
        <v>13</v>
      </c>
      <c r="C346" s="129"/>
      <c r="D346" s="170"/>
      <c r="E346" s="288"/>
      <c r="F346" s="282" t="s">
        <v>217</v>
      </c>
      <c r="G346" s="202" t="s">
        <v>268</v>
      </c>
      <c r="H346" s="375">
        <v>966</v>
      </c>
      <c r="I346" s="375">
        <v>3500</v>
      </c>
      <c r="J346" s="375">
        <f t="shared" si="55"/>
        <v>4466</v>
      </c>
      <c r="K346" s="131"/>
      <c r="L346" s="541"/>
      <c r="M346" s="541"/>
      <c r="N346" s="541"/>
      <c r="O346" s="131"/>
      <c r="P346" s="167">
        <f t="shared" si="56"/>
        <v>966</v>
      </c>
      <c r="Q346" s="167">
        <f t="shared" si="57"/>
        <v>3500</v>
      </c>
      <c r="R346" s="167">
        <f t="shared" si="58"/>
        <v>4466</v>
      </c>
    </row>
    <row r="347" spans="2:18" ht="15.75" x14ac:dyDescent="0.25">
      <c r="B347" s="172">
        <f t="shared" si="59"/>
        <v>14</v>
      </c>
      <c r="C347" s="20">
        <v>2</v>
      </c>
      <c r="D347" s="125" t="s">
        <v>99</v>
      </c>
      <c r="E347" s="21"/>
      <c r="F347" s="21"/>
      <c r="G347" s="195"/>
      <c r="H347" s="402">
        <f>H348+H351</f>
        <v>686960</v>
      </c>
      <c r="I347" s="404">
        <f>I348+I351</f>
        <v>0</v>
      </c>
      <c r="J347" s="404">
        <f t="shared" si="55"/>
        <v>686960</v>
      </c>
      <c r="K347" s="785"/>
      <c r="L347" s="387">
        <f>SUM(L348:L361)</f>
        <v>73583</v>
      </c>
      <c r="M347" s="368">
        <f>SUM(M348:M360)</f>
        <v>0</v>
      </c>
      <c r="N347" s="368">
        <f>M347+L347</f>
        <v>73583</v>
      </c>
      <c r="O347" s="785"/>
      <c r="P347" s="378">
        <f t="shared" si="56"/>
        <v>760543</v>
      </c>
      <c r="Q347" s="378">
        <f t="shared" si="57"/>
        <v>0</v>
      </c>
      <c r="R347" s="378">
        <f t="shared" si="58"/>
        <v>760543</v>
      </c>
    </row>
    <row r="348" spans="2:18" x14ac:dyDescent="0.2">
      <c r="B348" s="172">
        <f t="shared" si="59"/>
        <v>15</v>
      </c>
      <c r="C348" s="129"/>
      <c r="D348" s="129"/>
      <c r="E348" s="133" t="s">
        <v>239</v>
      </c>
      <c r="F348" s="133">
        <v>630</v>
      </c>
      <c r="G348" s="202" t="s">
        <v>249</v>
      </c>
      <c r="H348" s="375">
        <f>H349+H350</f>
        <v>614700</v>
      </c>
      <c r="I348" s="375">
        <f>I349+I350</f>
        <v>0</v>
      </c>
      <c r="J348" s="375">
        <f t="shared" si="55"/>
        <v>614700</v>
      </c>
      <c r="K348" s="131"/>
      <c r="L348" s="540"/>
      <c r="M348" s="540"/>
      <c r="N348" s="540"/>
      <c r="O348" s="131"/>
      <c r="P348" s="545">
        <f t="shared" si="56"/>
        <v>614700</v>
      </c>
      <c r="Q348" s="545">
        <f t="shared" si="57"/>
        <v>0</v>
      </c>
      <c r="R348" s="545">
        <f t="shared" si="58"/>
        <v>614700</v>
      </c>
    </row>
    <row r="349" spans="2:18" x14ac:dyDescent="0.2">
      <c r="B349" s="172">
        <f t="shared" si="59"/>
        <v>16</v>
      </c>
      <c r="C349" s="129"/>
      <c r="D349" s="129"/>
      <c r="E349" s="133"/>
      <c r="F349" s="133">
        <v>632</v>
      </c>
      <c r="G349" s="194" t="s">
        <v>238</v>
      </c>
      <c r="H349" s="540">
        <f>95400+96000+256000</f>
        <v>447400</v>
      </c>
      <c r="I349" s="540"/>
      <c r="J349" s="540">
        <f t="shared" si="55"/>
        <v>447400</v>
      </c>
      <c r="K349" s="131"/>
      <c r="L349" s="540"/>
      <c r="M349" s="540"/>
      <c r="N349" s="540"/>
      <c r="O349" s="131"/>
      <c r="P349" s="169">
        <f t="shared" si="56"/>
        <v>447400</v>
      </c>
      <c r="Q349" s="169">
        <f t="shared" si="57"/>
        <v>0</v>
      </c>
      <c r="R349" s="169">
        <f t="shared" si="58"/>
        <v>447400</v>
      </c>
    </row>
    <row r="350" spans="2:18" x14ac:dyDescent="0.2">
      <c r="B350" s="172">
        <f t="shared" si="59"/>
        <v>17</v>
      </c>
      <c r="C350" s="129"/>
      <c r="D350" s="129"/>
      <c r="E350" s="133"/>
      <c r="F350" s="133">
        <v>635</v>
      </c>
      <c r="G350" s="194" t="s">
        <v>491</v>
      </c>
      <c r="H350" s="388">
        <f>84400+78000+4900</f>
        <v>167300</v>
      </c>
      <c r="I350" s="388"/>
      <c r="J350" s="388">
        <f t="shared" si="55"/>
        <v>167300</v>
      </c>
      <c r="K350" s="131"/>
      <c r="L350" s="540"/>
      <c r="M350" s="540"/>
      <c r="N350" s="540"/>
      <c r="O350" s="131"/>
      <c r="P350" s="169">
        <f t="shared" si="56"/>
        <v>167300</v>
      </c>
      <c r="Q350" s="169">
        <f t="shared" si="57"/>
        <v>0</v>
      </c>
      <c r="R350" s="169">
        <f t="shared" si="58"/>
        <v>167300</v>
      </c>
    </row>
    <row r="351" spans="2:18" x14ac:dyDescent="0.2">
      <c r="B351" s="172">
        <f t="shared" si="59"/>
        <v>18</v>
      </c>
      <c r="C351" s="129"/>
      <c r="D351" s="129"/>
      <c r="E351" s="133" t="s">
        <v>239</v>
      </c>
      <c r="F351" s="157"/>
      <c r="G351" s="227" t="s">
        <v>698</v>
      </c>
      <c r="H351" s="383">
        <f>H352+H353+H354</f>
        <v>72260</v>
      </c>
      <c r="I351" s="383">
        <f>I352+I353+I354</f>
        <v>0</v>
      </c>
      <c r="J351" s="383">
        <f t="shared" si="55"/>
        <v>72260</v>
      </c>
      <c r="K351" s="131"/>
      <c r="L351" s="540"/>
      <c r="M351" s="540"/>
      <c r="N351" s="540"/>
      <c r="O351" s="131"/>
      <c r="P351" s="545">
        <f t="shared" si="56"/>
        <v>72260</v>
      </c>
      <c r="Q351" s="545">
        <f t="shared" si="57"/>
        <v>0</v>
      </c>
      <c r="R351" s="545">
        <f t="shared" si="58"/>
        <v>72260</v>
      </c>
    </row>
    <row r="352" spans="2:18" x14ac:dyDescent="0.2">
      <c r="B352" s="172">
        <f t="shared" si="59"/>
        <v>19</v>
      </c>
      <c r="C352" s="129"/>
      <c r="D352" s="129"/>
      <c r="E352" s="133"/>
      <c r="F352" s="155">
        <v>610</v>
      </c>
      <c r="G352" s="202" t="s">
        <v>257</v>
      </c>
      <c r="H352" s="375">
        <v>14200</v>
      </c>
      <c r="I352" s="375"/>
      <c r="J352" s="375">
        <f t="shared" si="55"/>
        <v>14200</v>
      </c>
      <c r="K352" s="131"/>
      <c r="L352" s="540"/>
      <c r="M352" s="540"/>
      <c r="N352" s="540"/>
      <c r="O352" s="131"/>
      <c r="P352" s="545">
        <f t="shared" si="56"/>
        <v>14200</v>
      </c>
      <c r="Q352" s="545">
        <f t="shared" si="57"/>
        <v>0</v>
      </c>
      <c r="R352" s="545">
        <f t="shared" si="58"/>
        <v>14200</v>
      </c>
    </row>
    <row r="353" spans="2:18" x14ac:dyDescent="0.2">
      <c r="B353" s="172">
        <f t="shared" si="59"/>
        <v>20</v>
      </c>
      <c r="C353" s="129"/>
      <c r="D353" s="129"/>
      <c r="E353" s="133"/>
      <c r="F353" s="155">
        <v>620</v>
      </c>
      <c r="G353" s="202" t="s">
        <v>259</v>
      </c>
      <c r="H353" s="375">
        <v>10640</v>
      </c>
      <c r="I353" s="375"/>
      <c r="J353" s="375">
        <f t="shared" si="55"/>
        <v>10640</v>
      </c>
      <c r="K353" s="131"/>
      <c r="L353" s="540"/>
      <c r="M353" s="540"/>
      <c r="N353" s="540"/>
      <c r="O353" s="131"/>
      <c r="P353" s="545">
        <f t="shared" si="56"/>
        <v>10640</v>
      </c>
      <c r="Q353" s="545">
        <f t="shared" si="57"/>
        <v>0</v>
      </c>
      <c r="R353" s="545">
        <f t="shared" si="58"/>
        <v>10640</v>
      </c>
    </row>
    <row r="354" spans="2:18" x14ac:dyDescent="0.2">
      <c r="B354" s="172">
        <f t="shared" si="59"/>
        <v>21</v>
      </c>
      <c r="C354" s="129"/>
      <c r="D354" s="129"/>
      <c r="E354" s="133"/>
      <c r="F354" s="155">
        <v>630</v>
      </c>
      <c r="G354" s="202" t="s">
        <v>249</v>
      </c>
      <c r="H354" s="375">
        <f>SUM(H355:H358)</f>
        <v>47420</v>
      </c>
      <c r="I354" s="375">
        <f>SUM(I355:I358)</f>
        <v>0</v>
      </c>
      <c r="J354" s="375">
        <f t="shared" si="55"/>
        <v>47420</v>
      </c>
      <c r="K354" s="131"/>
      <c r="L354" s="540"/>
      <c r="M354" s="540"/>
      <c r="N354" s="540"/>
      <c r="O354" s="131"/>
      <c r="P354" s="545">
        <f t="shared" si="56"/>
        <v>47420</v>
      </c>
      <c r="Q354" s="545">
        <f t="shared" si="57"/>
        <v>0</v>
      </c>
      <c r="R354" s="545">
        <f t="shared" si="58"/>
        <v>47420</v>
      </c>
    </row>
    <row r="355" spans="2:18" x14ac:dyDescent="0.2">
      <c r="B355" s="172">
        <f t="shared" si="59"/>
        <v>22</v>
      </c>
      <c r="C355" s="129"/>
      <c r="D355" s="129"/>
      <c r="E355" s="133"/>
      <c r="F355" s="158">
        <v>633</v>
      </c>
      <c r="G355" s="194" t="s">
        <v>247</v>
      </c>
      <c r="H355" s="540">
        <f>5400+200</f>
        <v>5600</v>
      </c>
      <c r="I355" s="540">
        <v>5000</v>
      </c>
      <c r="J355" s="540">
        <f t="shared" si="55"/>
        <v>10600</v>
      </c>
      <c r="K355" s="131"/>
      <c r="L355" s="540"/>
      <c r="M355" s="540"/>
      <c r="N355" s="540"/>
      <c r="O355" s="131"/>
      <c r="P355" s="169">
        <f t="shared" si="56"/>
        <v>5600</v>
      </c>
      <c r="Q355" s="169">
        <f t="shared" si="57"/>
        <v>5000</v>
      </c>
      <c r="R355" s="169">
        <f t="shared" si="58"/>
        <v>10600</v>
      </c>
    </row>
    <row r="356" spans="2:18" x14ac:dyDescent="0.2">
      <c r="B356" s="172">
        <f t="shared" si="59"/>
        <v>23</v>
      </c>
      <c r="C356" s="129"/>
      <c r="D356" s="129"/>
      <c r="E356" s="133"/>
      <c r="F356" s="133">
        <v>634</v>
      </c>
      <c r="G356" s="194" t="s">
        <v>260</v>
      </c>
      <c r="H356" s="540">
        <f>4500+900</f>
        <v>5400</v>
      </c>
      <c r="I356" s="540"/>
      <c r="J356" s="540">
        <f t="shared" si="55"/>
        <v>5400</v>
      </c>
      <c r="K356" s="131"/>
      <c r="L356" s="540"/>
      <c r="M356" s="540"/>
      <c r="N356" s="540"/>
      <c r="O356" s="131"/>
      <c r="P356" s="169">
        <f t="shared" si="56"/>
        <v>5400</v>
      </c>
      <c r="Q356" s="169">
        <f t="shared" si="57"/>
        <v>0</v>
      </c>
      <c r="R356" s="169">
        <f t="shared" si="58"/>
        <v>5400</v>
      </c>
    </row>
    <row r="357" spans="2:18" x14ac:dyDescent="0.2">
      <c r="B357" s="172">
        <f t="shared" si="59"/>
        <v>24</v>
      </c>
      <c r="C357" s="129"/>
      <c r="D357" s="129"/>
      <c r="E357" s="133"/>
      <c r="F357" s="133">
        <v>635</v>
      </c>
      <c r="G357" s="194" t="s">
        <v>261</v>
      </c>
      <c r="H357" s="540">
        <v>9000</v>
      </c>
      <c r="I357" s="540"/>
      <c r="J357" s="540">
        <f t="shared" si="55"/>
        <v>9000</v>
      </c>
      <c r="K357" s="131"/>
      <c r="L357" s="540"/>
      <c r="M357" s="540"/>
      <c r="N357" s="540"/>
      <c r="O357" s="131"/>
      <c r="P357" s="169">
        <f t="shared" si="56"/>
        <v>9000</v>
      </c>
      <c r="Q357" s="169">
        <f t="shared" si="57"/>
        <v>0</v>
      </c>
      <c r="R357" s="169">
        <f t="shared" si="58"/>
        <v>9000</v>
      </c>
    </row>
    <row r="358" spans="2:18" x14ac:dyDescent="0.2">
      <c r="B358" s="172">
        <f t="shared" si="59"/>
        <v>25</v>
      </c>
      <c r="C358" s="129"/>
      <c r="D358" s="129"/>
      <c r="E358" s="133"/>
      <c r="F358" s="133">
        <v>637</v>
      </c>
      <c r="G358" s="194" t="s">
        <v>248</v>
      </c>
      <c r="H358" s="540">
        <f>100+9000+1000+900+220+16200</f>
        <v>27420</v>
      </c>
      <c r="I358" s="540">
        <v>-5000</v>
      </c>
      <c r="J358" s="540">
        <f t="shared" si="55"/>
        <v>22420</v>
      </c>
      <c r="K358" s="131"/>
      <c r="L358" s="540"/>
      <c r="M358" s="540"/>
      <c r="N358" s="540"/>
      <c r="O358" s="131"/>
      <c r="P358" s="169">
        <f t="shared" si="56"/>
        <v>27420</v>
      </c>
      <c r="Q358" s="169">
        <f t="shared" si="57"/>
        <v>-5000</v>
      </c>
      <c r="R358" s="169">
        <f t="shared" si="58"/>
        <v>22420</v>
      </c>
    </row>
    <row r="359" spans="2:18" x14ac:dyDescent="0.2">
      <c r="B359" s="172">
        <f t="shared" si="59"/>
        <v>26</v>
      </c>
      <c r="C359" s="129"/>
      <c r="D359" s="129"/>
      <c r="E359" s="161"/>
      <c r="F359" s="133"/>
      <c r="G359" s="194"/>
      <c r="H359" s="540"/>
      <c r="I359" s="540"/>
      <c r="J359" s="540">
        <f t="shared" si="55"/>
        <v>0</v>
      </c>
      <c r="K359" s="131"/>
      <c r="L359" s="540"/>
      <c r="M359" s="540"/>
      <c r="N359" s="540"/>
      <c r="O359" s="131"/>
      <c r="P359" s="169"/>
      <c r="Q359" s="169"/>
      <c r="R359" s="169"/>
    </row>
    <row r="360" spans="2:18" x14ac:dyDescent="0.2">
      <c r="B360" s="172">
        <f t="shared" si="59"/>
        <v>27</v>
      </c>
      <c r="C360" s="129"/>
      <c r="D360" s="129"/>
      <c r="E360" s="133" t="s">
        <v>239</v>
      </c>
      <c r="F360" s="133">
        <v>714</v>
      </c>
      <c r="G360" s="353" t="s">
        <v>686</v>
      </c>
      <c r="H360" s="540"/>
      <c r="I360" s="540"/>
      <c r="J360" s="540">
        <f t="shared" si="55"/>
        <v>0</v>
      </c>
      <c r="K360" s="131"/>
      <c r="L360" s="496">
        <f>70000+18000-16480</f>
        <v>71520</v>
      </c>
      <c r="M360" s="496"/>
      <c r="N360" s="496">
        <f>M360+L360</f>
        <v>71520</v>
      </c>
      <c r="O360" s="131"/>
      <c r="P360" s="169">
        <f t="shared" ref="P360:P374" si="60">H360+L360</f>
        <v>71520</v>
      </c>
      <c r="Q360" s="169">
        <f t="shared" ref="Q360:Q374" si="61">I360+M360</f>
        <v>0</v>
      </c>
      <c r="R360" s="169">
        <f t="shared" ref="R360:R374" si="62">Q360+P360</f>
        <v>71520</v>
      </c>
    </row>
    <row r="361" spans="2:18" x14ac:dyDescent="0.2">
      <c r="B361" s="172">
        <f t="shared" si="59"/>
        <v>28</v>
      </c>
      <c r="C361" s="129"/>
      <c r="D361" s="161"/>
      <c r="E361" s="538" t="s">
        <v>239</v>
      </c>
      <c r="F361" s="538">
        <v>716</v>
      </c>
      <c r="G361" s="353" t="s">
        <v>862</v>
      </c>
      <c r="H361" s="540"/>
      <c r="I361" s="540"/>
      <c r="J361" s="540"/>
      <c r="K361" s="131"/>
      <c r="L361" s="496">
        <v>2063</v>
      </c>
      <c r="M361" s="496"/>
      <c r="N361" s="496">
        <f>M361+L361</f>
        <v>2063</v>
      </c>
      <c r="O361" s="131"/>
      <c r="P361" s="169">
        <f t="shared" ref="P361" si="63">H361+L361</f>
        <v>2063</v>
      </c>
      <c r="Q361" s="169">
        <f t="shared" ref="Q361" si="64">I361+M361</f>
        <v>0</v>
      </c>
      <c r="R361" s="169">
        <f t="shared" ref="R361" si="65">Q361+P361</f>
        <v>2063</v>
      </c>
    </row>
    <row r="362" spans="2:18" ht="15.75" x14ac:dyDescent="0.25">
      <c r="B362" s="172">
        <f t="shared" si="59"/>
        <v>29</v>
      </c>
      <c r="C362" s="22">
        <v>3</v>
      </c>
      <c r="D362" s="126" t="s">
        <v>141</v>
      </c>
      <c r="E362" s="23"/>
      <c r="F362" s="23"/>
      <c r="G362" s="193"/>
      <c r="H362" s="402">
        <f>H363</f>
        <v>5000</v>
      </c>
      <c r="I362" s="404">
        <f>I363</f>
        <v>0</v>
      </c>
      <c r="J362" s="404">
        <f t="shared" si="55"/>
        <v>5000</v>
      </c>
      <c r="K362" s="784"/>
      <c r="L362" s="387">
        <f>L363+L364</f>
        <v>5000</v>
      </c>
      <c r="M362" s="368">
        <f>M363+M364</f>
        <v>0</v>
      </c>
      <c r="N362" s="368">
        <f>M362+L362</f>
        <v>5000</v>
      </c>
      <c r="O362" s="784"/>
      <c r="P362" s="377">
        <f t="shared" si="60"/>
        <v>10000</v>
      </c>
      <c r="Q362" s="377">
        <f t="shared" si="61"/>
        <v>0</v>
      </c>
      <c r="R362" s="377">
        <f t="shared" si="62"/>
        <v>10000</v>
      </c>
    </row>
    <row r="363" spans="2:18" x14ac:dyDescent="0.2">
      <c r="B363" s="172">
        <f t="shared" si="59"/>
        <v>30</v>
      </c>
      <c r="C363" s="129"/>
      <c r="D363" s="129"/>
      <c r="E363" s="133" t="s">
        <v>241</v>
      </c>
      <c r="F363" s="133">
        <v>635</v>
      </c>
      <c r="G363" s="194" t="s">
        <v>536</v>
      </c>
      <c r="H363" s="540">
        <v>5000</v>
      </c>
      <c r="I363" s="540"/>
      <c r="J363" s="540">
        <f t="shared" si="55"/>
        <v>5000</v>
      </c>
      <c r="K363" s="131"/>
      <c r="L363" s="540"/>
      <c r="M363" s="540"/>
      <c r="N363" s="540"/>
      <c r="O363" s="131"/>
      <c r="P363" s="169">
        <f t="shared" si="60"/>
        <v>5000</v>
      </c>
      <c r="Q363" s="169">
        <f t="shared" si="61"/>
        <v>0</v>
      </c>
      <c r="R363" s="169">
        <f t="shared" si="62"/>
        <v>5000</v>
      </c>
    </row>
    <row r="364" spans="2:18" x14ac:dyDescent="0.2">
      <c r="B364" s="172">
        <f t="shared" si="59"/>
        <v>31</v>
      </c>
      <c r="C364" s="129"/>
      <c r="D364" s="161"/>
      <c r="E364" s="133" t="s">
        <v>241</v>
      </c>
      <c r="F364" s="538">
        <v>713</v>
      </c>
      <c r="G364" s="762" t="s">
        <v>834</v>
      </c>
      <c r="H364" s="540"/>
      <c r="I364" s="540"/>
      <c r="J364" s="540">
        <f t="shared" si="55"/>
        <v>0</v>
      </c>
      <c r="K364" s="131"/>
      <c r="L364" s="540">
        <v>5000</v>
      </c>
      <c r="M364" s="540"/>
      <c r="N364" s="540">
        <f>M364+L364</f>
        <v>5000</v>
      </c>
      <c r="O364" s="131"/>
      <c r="P364" s="216">
        <f t="shared" si="60"/>
        <v>5000</v>
      </c>
      <c r="Q364" s="216">
        <f t="shared" si="61"/>
        <v>0</v>
      </c>
      <c r="R364" s="216">
        <f t="shared" si="62"/>
        <v>5000</v>
      </c>
    </row>
    <row r="365" spans="2:18" ht="15.75" x14ac:dyDescent="0.25">
      <c r="B365" s="172">
        <f t="shared" si="59"/>
        <v>32</v>
      </c>
      <c r="C365" s="22">
        <v>4</v>
      </c>
      <c r="D365" s="126" t="s">
        <v>474</v>
      </c>
      <c r="E365" s="23"/>
      <c r="F365" s="23"/>
      <c r="G365" s="193"/>
      <c r="H365" s="402">
        <f>H366</f>
        <v>7000</v>
      </c>
      <c r="I365" s="404">
        <f>I366</f>
        <v>0</v>
      </c>
      <c r="J365" s="404">
        <f t="shared" si="55"/>
        <v>7000</v>
      </c>
      <c r="K365" s="784"/>
      <c r="L365" s="387">
        <f>L366</f>
        <v>0</v>
      </c>
      <c r="M365" s="368">
        <f>M366</f>
        <v>0</v>
      </c>
      <c r="N365" s="368">
        <f>M365+L365</f>
        <v>0</v>
      </c>
      <c r="O365" s="784"/>
      <c r="P365" s="377">
        <f t="shared" si="60"/>
        <v>7000</v>
      </c>
      <c r="Q365" s="377">
        <f t="shared" si="61"/>
        <v>0</v>
      </c>
      <c r="R365" s="377">
        <f t="shared" si="62"/>
        <v>7000</v>
      </c>
    </row>
    <row r="366" spans="2:18" x14ac:dyDescent="0.2">
      <c r="B366" s="172">
        <f t="shared" si="59"/>
        <v>33</v>
      </c>
      <c r="C366" s="134"/>
      <c r="D366" s="134"/>
      <c r="E366" s="538" t="s">
        <v>278</v>
      </c>
      <c r="F366" s="538">
        <v>637</v>
      </c>
      <c r="G366" s="205" t="s">
        <v>279</v>
      </c>
      <c r="H366" s="540">
        <v>7000</v>
      </c>
      <c r="I366" s="540"/>
      <c r="J366" s="540">
        <f t="shared" si="55"/>
        <v>7000</v>
      </c>
      <c r="K366" s="131"/>
      <c r="L366" s="540"/>
      <c r="M366" s="540"/>
      <c r="N366" s="540"/>
      <c r="O366" s="131"/>
      <c r="P366" s="169">
        <f t="shared" si="60"/>
        <v>7000</v>
      </c>
      <c r="Q366" s="169">
        <f t="shared" si="61"/>
        <v>0</v>
      </c>
      <c r="R366" s="169">
        <f t="shared" si="62"/>
        <v>7000</v>
      </c>
    </row>
    <row r="367" spans="2:18" ht="15.75" x14ac:dyDescent="0.25">
      <c r="B367" s="172">
        <f t="shared" si="59"/>
        <v>34</v>
      </c>
      <c r="C367" s="22">
        <v>5</v>
      </c>
      <c r="D367" s="126" t="s">
        <v>97</v>
      </c>
      <c r="E367" s="23"/>
      <c r="F367" s="23"/>
      <c r="G367" s="193"/>
      <c r="H367" s="402">
        <f>SUM(H368:H374)</f>
        <v>21500</v>
      </c>
      <c r="I367" s="404">
        <f>SUM(I368:I374)</f>
        <v>0</v>
      </c>
      <c r="J367" s="404">
        <f t="shared" si="55"/>
        <v>21500</v>
      </c>
      <c r="K367" s="784"/>
      <c r="L367" s="387">
        <v>0</v>
      </c>
      <c r="M367" s="368">
        <v>0</v>
      </c>
      <c r="N367" s="368">
        <f>M367+L367</f>
        <v>0</v>
      </c>
      <c r="O367" s="784"/>
      <c r="P367" s="377">
        <f t="shared" si="60"/>
        <v>21500</v>
      </c>
      <c r="Q367" s="377">
        <f t="shared" si="61"/>
        <v>0</v>
      </c>
      <c r="R367" s="377">
        <f t="shared" si="62"/>
        <v>21500</v>
      </c>
    </row>
    <row r="368" spans="2:18" x14ac:dyDescent="0.2">
      <c r="B368" s="172">
        <f t="shared" si="59"/>
        <v>35</v>
      </c>
      <c r="C368" s="129"/>
      <c r="D368" s="129"/>
      <c r="E368" s="538" t="s">
        <v>274</v>
      </c>
      <c r="F368" s="538">
        <v>640</v>
      </c>
      <c r="G368" s="205" t="s">
        <v>743</v>
      </c>
      <c r="H368" s="540">
        <v>5000</v>
      </c>
      <c r="I368" s="540"/>
      <c r="J368" s="540">
        <f t="shared" si="55"/>
        <v>5000</v>
      </c>
      <c r="K368" s="131"/>
      <c r="L368" s="540"/>
      <c r="M368" s="540"/>
      <c r="N368" s="540"/>
      <c r="O368" s="131"/>
      <c r="P368" s="169">
        <f t="shared" si="60"/>
        <v>5000</v>
      </c>
      <c r="Q368" s="169">
        <f t="shared" si="61"/>
        <v>0</v>
      </c>
      <c r="R368" s="169">
        <f t="shared" si="62"/>
        <v>5000</v>
      </c>
    </row>
    <row r="369" spans="2:18" x14ac:dyDescent="0.2">
      <c r="B369" s="172">
        <f t="shared" si="59"/>
        <v>36</v>
      </c>
      <c r="C369" s="129"/>
      <c r="D369" s="129"/>
      <c r="E369" s="538" t="s">
        <v>274</v>
      </c>
      <c r="F369" s="538">
        <v>640</v>
      </c>
      <c r="G369" s="205" t="s">
        <v>744</v>
      </c>
      <c r="H369" s="540">
        <v>4000</v>
      </c>
      <c r="I369" s="540"/>
      <c r="J369" s="540">
        <f t="shared" si="55"/>
        <v>4000</v>
      </c>
      <c r="K369" s="131"/>
      <c r="L369" s="540"/>
      <c r="M369" s="540"/>
      <c r="N369" s="540"/>
      <c r="O369" s="131"/>
      <c r="P369" s="169">
        <f t="shared" si="60"/>
        <v>4000</v>
      </c>
      <c r="Q369" s="169">
        <f t="shared" si="61"/>
        <v>0</v>
      </c>
      <c r="R369" s="169">
        <f t="shared" si="62"/>
        <v>4000</v>
      </c>
    </row>
    <row r="370" spans="2:18" x14ac:dyDescent="0.2">
      <c r="B370" s="172">
        <f t="shared" si="59"/>
        <v>37</v>
      </c>
      <c r="C370" s="129"/>
      <c r="D370" s="129"/>
      <c r="E370" s="538" t="s">
        <v>274</v>
      </c>
      <c r="F370" s="538">
        <v>640</v>
      </c>
      <c r="G370" s="205" t="s">
        <v>745</v>
      </c>
      <c r="H370" s="540">
        <v>1000</v>
      </c>
      <c r="I370" s="540"/>
      <c r="J370" s="540">
        <f t="shared" si="55"/>
        <v>1000</v>
      </c>
      <c r="K370" s="131"/>
      <c r="L370" s="540"/>
      <c r="M370" s="540"/>
      <c r="N370" s="540"/>
      <c r="O370" s="131"/>
      <c r="P370" s="169">
        <f t="shared" si="60"/>
        <v>1000</v>
      </c>
      <c r="Q370" s="169">
        <f t="shared" si="61"/>
        <v>0</v>
      </c>
      <c r="R370" s="169">
        <f t="shared" si="62"/>
        <v>1000</v>
      </c>
    </row>
    <row r="371" spans="2:18" x14ac:dyDescent="0.2">
      <c r="B371" s="172">
        <f t="shared" si="59"/>
        <v>38</v>
      </c>
      <c r="C371" s="129"/>
      <c r="D371" s="129"/>
      <c r="E371" s="538" t="s">
        <v>274</v>
      </c>
      <c r="F371" s="133">
        <v>620</v>
      </c>
      <c r="G371" s="194" t="s">
        <v>259</v>
      </c>
      <c r="H371" s="540">
        <v>1200</v>
      </c>
      <c r="I371" s="540"/>
      <c r="J371" s="540">
        <f t="shared" si="55"/>
        <v>1200</v>
      </c>
      <c r="K371" s="131"/>
      <c r="L371" s="540"/>
      <c r="M371" s="540"/>
      <c r="N371" s="540"/>
      <c r="O371" s="131"/>
      <c r="P371" s="169">
        <f t="shared" si="60"/>
        <v>1200</v>
      </c>
      <c r="Q371" s="169">
        <f t="shared" si="61"/>
        <v>0</v>
      </c>
      <c r="R371" s="169">
        <f t="shared" si="62"/>
        <v>1200</v>
      </c>
    </row>
    <row r="372" spans="2:18" x14ac:dyDescent="0.2">
      <c r="B372" s="172">
        <f t="shared" si="59"/>
        <v>39</v>
      </c>
      <c r="C372" s="129"/>
      <c r="D372" s="129"/>
      <c r="E372" s="538" t="s">
        <v>274</v>
      </c>
      <c r="F372" s="133">
        <v>634</v>
      </c>
      <c r="G372" s="194" t="s">
        <v>304</v>
      </c>
      <c r="H372" s="540">
        <v>500</v>
      </c>
      <c r="I372" s="540"/>
      <c r="J372" s="540">
        <f t="shared" si="55"/>
        <v>500</v>
      </c>
      <c r="K372" s="131"/>
      <c r="L372" s="540"/>
      <c r="M372" s="540"/>
      <c r="N372" s="540"/>
      <c r="O372" s="131"/>
      <c r="P372" s="169">
        <f t="shared" si="60"/>
        <v>500</v>
      </c>
      <c r="Q372" s="169">
        <f t="shared" si="61"/>
        <v>0</v>
      </c>
      <c r="R372" s="169">
        <f t="shared" si="62"/>
        <v>500</v>
      </c>
    </row>
    <row r="373" spans="2:18" x14ac:dyDescent="0.2">
      <c r="B373" s="172">
        <f t="shared" si="59"/>
        <v>40</v>
      </c>
      <c r="C373" s="129"/>
      <c r="D373" s="129"/>
      <c r="E373" s="538" t="s">
        <v>274</v>
      </c>
      <c r="F373" s="133">
        <v>637</v>
      </c>
      <c r="G373" s="194" t="s">
        <v>423</v>
      </c>
      <c r="H373" s="540">
        <v>8000</v>
      </c>
      <c r="I373" s="540"/>
      <c r="J373" s="540">
        <f t="shared" si="55"/>
        <v>8000</v>
      </c>
      <c r="K373" s="131"/>
      <c r="L373" s="540"/>
      <c r="M373" s="540"/>
      <c r="N373" s="540"/>
      <c r="O373" s="131"/>
      <c r="P373" s="169">
        <f t="shared" si="60"/>
        <v>8000</v>
      </c>
      <c r="Q373" s="169">
        <f t="shared" si="61"/>
        <v>0</v>
      </c>
      <c r="R373" s="169">
        <f t="shared" si="62"/>
        <v>8000</v>
      </c>
    </row>
    <row r="374" spans="2:18" ht="13.5" thickBot="1" x14ac:dyDescent="0.25">
      <c r="B374" s="210">
        <f t="shared" si="59"/>
        <v>41</v>
      </c>
      <c r="C374" s="138"/>
      <c r="D374" s="138"/>
      <c r="E374" s="214" t="s">
        <v>274</v>
      </c>
      <c r="F374" s="139">
        <v>637</v>
      </c>
      <c r="G374" s="203" t="s">
        <v>304</v>
      </c>
      <c r="H374" s="372">
        <v>1800</v>
      </c>
      <c r="I374" s="372"/>
      <c r="J374" s="372">
        <f t="shared" si="55"/>
        <v>1800</v>
      </c>
      <c r="K374" s="131"/>
      <c r="L374" s="372"/>
      <c r="M374" s="372"/>
      <c r="N374" s="372"/>
      <c r="O374" s="131"/>
      <c r="P374" s="217">
        <f t="shared" si="60"/>
        <v>1800</v>
      </c>
      <c r="Q374" s="217">
        <f t="shared" si="61"/>
        <v>0</v>
      </c>
      <c r="R374" s="217">
        <f t="shared" si="62"/>
        <v>1800</v>
      </c>
    </row>
    <row r="384" spans="2:18" ht="27.75" thickBot="1" x14ac:dyDescent="0.4">
      <c r="B384" s="246" t="s">
        <v>221</v>
      </c>
      <c r="C384" s="246"/>
      <c r="D384" s="246"/>
      <c r="E384" s="246"/>
      <c r="F384" s="246"/>
      <c r="G384" s="246"/>
      <c r="H384" s="465"/>
      <c r="I384" s="246"/>
      <c r="J384" s="246"/>
      <c r="K384" s="246"/>
      <c r="L384" s="246"/>
      <c r="M384" s="246"/>
      <c r="N384" s="246"/>
      <c r="O384" s="246"/>
      <c r="P384" s="246"/>
    </row>
    <row r="385" spans="2:18" ht="13.5" customHeight="1" thickBot="1" x14ac:dyDescent="0.25">
      <c r="B385" s="874" t="s">
        <v>632</v>
      </c>
      <c r="C385" s="875"/>
      <c r="D385" s="875"/>
      <c r="E385" s="875"/>
      <c r="F385" s="875"/>
      <c r="G385" s="875"/>
      <c r="H385" s="875"/>
      <c r="I385" s="875"/>
      <c r="J385" s="875"/>
      <c r="K385" s="875"/>
      <c r="L385" s="875"/>
      <c r="M385" s="875"/>
      <c r="N385" s="876"/>
      <c r="O385" s="787"/>
      <c r="P385" s="867" t="s">
        <v>724</v>
      </c>
      <c r="Q385" s="867" t="s">
        <v>842</v>
      </c>
      <c r="R385" s="867" t="s">
        <v>724</v>
      </c>
    </row>
    <row r="386" spans="2:18" ht="13.5" customHeight="1" thickTop="1" x14ac:dyDescent="0.2">
      <c r="B386" s="523"/>
      <c r="C386" s="863" t="s">
        <v>478</v>
      </c>
      <c r="D386" s="863" t="s">
        <v>477</v>
      </c>
      <c r="E386" s="863" t="s">
        <v>475</v>
      </c>
      <c r="F386" s="863" t="s">
        <v>476</v>
      </c>
      <c r="G386" s="877" t="s">
        <v>3</v>
      </c>
      <c r="H386" s="870" t="s">
        <v>725</v>
      </c>
      <c r="I386" s="870" t="s">
        <v>842</v>
      </c>
      <c r="J386" s="870" t="s">
        <v>725</v>
      </c>
      <c r="K386" s="790"/>
      <c r="L386" s="872" t="s">
        <v>726</v>
      </c>
      <c r="M386" s="872" t="s">
        <v>842</v>
      </c>
      <c r="N386" s="872" t="s">
        <v>726</v>
      </c>
      <c r="O386" s="781"/>
      <c r="P386" s="868"/>
      <c r="Q386" s="868"/>
      <c r="R386" s="868"/>
    </row>
    <row r="387" spans="2:18" ht="48.75" customHeight="1" thickBot="1" x14ac:dyDescent="0.25">
      <c r="B387" s="523"/>
      <c r="C387" s="864"/>
      <c r="D387" s="864"/>
      <c r="E387" s="864"/>
      <c r="F387" s="864"/>
      <c r="G387" s="878"/>
      <c r="H387" s="871"/>
      <c r="I387" s="871"/>
      <c r="J387" s="871"/>
      <c r="K387" s="790"/>
      <c r="L387" s="873"/>
      <c r="M387" s="873"/>
      <c r="N387" s="873"/>
      <c r="O387" s="781"/>
      <c r="P387" s="869"/>
      <c r="Q387" s="869"/>
      <c r="R387" s="869"/>
    </row>
    <row r="388" spans="2:18" ht="19.5" thickTop="1" thickBot="1" x14ac:dyDescent="0.25">
      <c r="B388" s="827">
        <v>1</v>
      </c>
      <c r="C388" s="124" t="s">
        <v>222</v>
      </c>
      <c r="D388" s="110"/>
      <c r="E388" s="110"/>
      <c r="F388" s="110"/>
      <c r="G388" s="110"/>
      <c r="H388" s="400">
        <f>H389+H393+H409</f>
        <v>3370146</v>
      </c>
      <c r="I388" s="400">
        <f>I389+I393+I409</f>
        <v>-2000</v>
      </c>
      <c r="J388" s="400">
        <f t="shared" ref="J388:J405" si="66">I388+H388</f>
        <v>3368146</v>
      </c>
      <c r="K388" s="783"/>
      <c r="L388" s="396">
        <f>L389+L393+L409</f>
        <v>1303750</v>
      </c>
      <c r="M388" s="396">
        <f>M389+M393+M409</f>
        <v>0</v>
      </c>
      <c r="N388" s="396">
        <f>M388+L388</f>
        <v>1303750</v>
      </c>
      <c r="O388" s="783"/>
      <c r="P388" s="379">
        <f t="shared" ref="P388:P396" si="67">H388+L388</f>
        <v>4673896</v>
      </c>
      <c r="Q388" s="379">
        <f t="shared" ref="Q388:Q405" si="68">I388+M388</f>
        <v>-2000</v>
      </c>
      <c r="R388" s="379">
        <f t="shared" ref="R388:R405" si="69">Q388+P388</f>
        <v>4671896</v>
      </c>
    </row>
    <row r="389" spans="2:18" ht="16.5" thickTop="1" x14ac:dyDescent="0.25">
      <c r="B389" s="135">
        <f>B388+1</f>
        <v>2</v>
      </c>
      <c r="C389" s="22">
        <v>1</v>
      </c>
      <c r="D389" s="126" t="s">
        <v>161</v>
      </c>
      <c r="E389" s="23"/>
      <c r="F389" s="23"/>
      <c r="G389" s="341"/>
      <c r="H389" s="401">
        <f>H390+H391+H392</f>
        <v>2606146</v>
      </c>
      <c r="I389" s="414">
        <f>I390+I391+I392</f>
        <v>0</v>
      </c>
      <c r="J389" s="414">
        <f t="shared" si="66"/>
        <v>2606146</v>
      </c>
      <c r="K389" s="784"/>
      <c r="L389" s="380"/>
      <c r="M389" s="380"/>
      <c r="N389" s="380"/>
      <c r="O389" s="784"/>
      <c r="P389" s="360">
        <f t="shared" si="67"/>
        <v>2606146</v>
      </c>
      <c r="Q389" s="377">
        <f t="shared" si="68"/>
        <v>0</v>
      </c>
      <c r="R389" s="377">
        <f t="shared" si="69"/>
        <v>2606146</v>
      </c>
    </row>
    <row r="390" spans="2:18" x14ac:dyDescent="0.2">
      <c r="B390" s="135">
        <f t="shared" ref="B390:B454" si="70">B389+1</f>
        <v>3</v>
      </c>
      <c r="C390" s="129"/>
      <c r="D390" s="130"/>
      <c r="E390" s="130" t="s">
        <v>235</v>
      </c>
      <c r="F390" s="130" t="s">
        <v>216</v>
      </c>
      <c r="G390" s="342" t="s">
        <v>643</v>
      </c>
      <c r="H390" s="540">
        <f>460000-4600-4000-4900-43600-40751-8500-8000-20603</f>
        <v>325046</v>
      </c>
      <c r="I390" s="540"/>
      <c r="J390" s="540">
        <f t="shared" si="66"/>
        <v>325046</v>
      </c>
      <c r="K390" s="131"/>
      <c r="L390" s="541"/>
      <c r="M390" s="541"/>
      <c r="N390" s="541"/>
      <c r="O390" s="131"/>
      <c r="P390" s="136">
        <f t="shared" si="67"/>
        <v>325046</v>
      </c>
      <c r="Q390" s="136">
        <f t="shared" si="68"/>
        <v>0</v>
      </c>
      <c r="R390" s="136">
        <f t="shared" si="69"/>
        <v>325046</v>
      </c>
    </row>
    <row r="391" spans="2:18" x14ac:dyDescent="0.2">
      <c r="B391" s="135">
        <f t="shared" si="70"/>
        <v>4</v>
      </c>
      <c r="C391" s="129"/>
      <c r="D391" s="130"/>
      <c r="E391" s="130" t="s">
        <v>235</v>
      </c>
      <c r="F391" s="130" t="s">
        <v>216</v>
      </c>
      <c r="G391" s="342" t="s">
        <v>644</v>
      </c>
      <c r="H391" s="540">
        <f>2100000+186100-2000-27000</f>
        <v>2257100</v>
      </c>
      <c r="I391" s="540"/>
      <c r="J391" s="540">
        <f t="shared" si="66"/>
        <v>2257100</v>
      </c>
      <c r="K391" s="131"/>
      <c r="L391" s="541"/>
      <c r="M391" s="541"/>
      <c r="N391" s="541"/>
      <c r="O391" s="131"/>
      <c r="P391" s="136">
        <f t="shared" si="67"/>
        <v>2257100</v>
      </c>
      <c r="Q391" s="136">
        <f t="shared" si="68"/>
        <v>0</v>
      </c>
      <c r="R391" s="136">
        <f t="shared" si="69"/>
        <v>2257100</v>
      </c>
    </row>
    <row r="392" spans="2:18" x14ac:dyDescent="0.2">
      <c r="B392" s="135">
        <f t="shared" si="70"/>
        <v>5</v>
      </c>
      <c r="C392" s="129"/>
      <c r="D392" s="179"/>
      <c r="E392" s="130" t="s">
        <v>235</v>
      </c>
      <c r="F392" s="130" t="s">
        <v>216</v>
      </c>
      <c r="G392" s="342" t="s">
        <v>700</v>
      </c>
      <c r="H392" s="540">
        <f>10000+14000</f>
        <v>24000</v>
      </c>
      <c r="I392" s="540"/>
      <c r="J392" s="540">
        <f t="shared" si="66"/>
        <v>24000</v>
      </c>
      <c r="K392" s="131"/>
      <c r="L392" s="541"/>
      <c r="M392" s="541"/>
      <c r="N392" s="541"/>
      <c r="O392" s="131"/>
      <c r="P392" s="136">
        <f t="shared" si="67"/>
        <v>24000</v>
      </c>
      <c r="Q392" s="136">
        <f t="shared" si="68"/>
        <v>0</v>
      </c>
      <c r="R392" s="136">
        <f t="shared" si="69"/>
        <v>24000</v>
      </c>
    </row>
    <row r="393" spans="2:18" ht="15.75" x14ac:dyDescent="0.25">
      <c r="B393" s="135">
        <f t="shared" si="70"/>
        <v>6</v>
      </c>
      <c r="C393" s="20">
        <v>2</v>
      </c>
      <c r="D393" s="125" t="s">
        <v>219</v>
      </c>
      <c r="E393" s="21"/>
      <c r="F393" s="21"/>
      <c r="G393" s="343"/>
      <c r="H393" s="402">
        <f>H394+H395+H396+H397+H398</f>
        <v>764000</v>
      </c>
      <c r="I393" s="404">
        <f>I398</f>
        <v>-2000</v>
      </c>
      <c r="J393" s="404">
        <f t="shared" si="66"/>
        <v>762000</v>
      </c>
      <c r="K393" s="785"/>
      <c r="L393" s="368">
        <f>L407+L408</f>
        <v>87000</v>
      </c>
      <c r="M393" s="368">
        <f>SUM(M394:M408)</f>
        <v>0</v>
      </c>
      <c r="N393" s="368">
        <f>M393+L393</f>
        <v>87000</v>
      </c>
      <c r="O393" s="785"/>
      <c r="P393" s="361">
        <f t="shared" si="67"/>
        <v>851000</v>
      </c>
      <c r="Q393" s="378">
        <f t="shared" si="68"/>
        <v>-2000</v>
      </c>
      <c r="R393" s="378">
        <f t="shared" si="69"/>
        <v>849000</v>
      </c>
    </row>
    <row r="394" spans="2:18" x14ac:dyDescent="0.2">
      <c r="B394" s="135">
        <f t="shared" si="70"/>
        <v>7</v>
      </c>
      <c r="C394" s="129"/>
      <c r="D394" s="129"/>
      <c r="E394" s="133" t="s">
        <v>235</v>
      </c>
      <c r="F394" s="133">
        <v>635</v>
      </c>
      <c r="G394" s="342" t="s">
        <v>856</v>
      </c>
      <c r="H394" s="540">
        <f>630000-50000+40000</f>
        <v>620000</v>
      </c>
      <c r="I394" s="540"/>
      <c r="J394" s="540">
        <f t="shared" si="66"/>
        <v>620000</v>
      </c>
      <c r="K394" s="131"/>
      <c r="L394" s="540"/>
      <c r="M394" s="540"/>
      <c r="N394" s="540"/>
      <c r="O394" s="131"/>
      <c r="P394" s="542">
        <f t="shared" si="67"/>
        <v>620000</v>
      </c>
      <c r="Q394" s="542">
        <f t="shared" si="68"/>
        <v>0</v>
      </c>
      <c r="R394" s="542">
        <f t="shared" si="69"/>
        <v>620000</v>
      </c>
    </row>
    <row r="395" spans="2:18" x14ac:dyDescent="0.2">
      <c r="B395" s="135">
        <f t="shared" si="70"/>
        <v>8</v>
      </c>
      <c r="C395" s="129"/>
      <c r="D395" s="129"/>
      <c r="E395" s="133" t="s">
        <v>235</v>
      </c>
      <c r="F395" s="133">
        <v>635</v>
      </c>
      <c r="G395" s="342" t="s">
        <v>447</v>
      </c>
      <c r="H395" s="540">
        <v>70000</v>
      </c>
      <c r="I395" s="540"/>
      <c r="J395" s="540">
        <f t="shared" si="66"/>
        <v>70000</v>
      </c>
      <c r="K395" s="131"/>
      <c r="L395" s="540"/>
      <c r="M395" s="540"/>
      <c r="N395" s="540"/>
      <c r="O395" s="131"/>
      <c r="P395" s="542">
        <f t="shared" si="67"/>
        <v>70000</v>
      </c>
      <c r="Q395" s="542">
        <f t="shared" si="68"/>
        <v>0</v>
      </c>
      <c r="R395" s="542">
        <f t="shared" si="69"/>
        <v>70000</v>
      </c>
    </row>
    <row r="396" spans="2:18" x14ac:dyDescent="0.2">
      <c r="B396" s="135">
        <f t="shared" si="70"/>
        <v>9</v>
      </c>
      <c r="C396" s="129"/>
      <c r="D396" s="129"/>
      <c r="E396" s="133" t="s">
        <v>235</v>
      </c>
      <c r="F396" s="133">
        <v>637</v>
      </c>
      <c r="G396" s="342" t="s">
        <v>604</v>
      </c>
      <c r="H396" s="540">
        <v>2000</v>
      </c>
      <c r="I396" s="540"/>
      <c r="J396" s="540">
        <f t="shared" si="66"/>
        <v>2000</v>
      </c>
      <c r="K396" s="131"/>
      <c r="L396" s="540"/>
      <c r="M396" s="540"/>
      <c r="N396" s="540"/>
      <c r="O396" s="131"/>
      <c r="P396" s="542">
        <f t="shared" si="67"/>
        <v>2000</v>
      </c>
      <c r="Q396" s="542">
        <f t="shared" si="68"/>
        <v>0</v>
      </c>
      <c r="R396" s="542">
        <f t="shared" si="69"/>
        <v>2000</v>
      </c>
    </row>
    <row r="397" spans="2:18" x14ac:dyDescent="0.2">
      <c r="B397" s="135">
        <f t="shared" si="70"/>
        <v>10</v>
      </c>
      <c r="C397" s="129"/>
      <c r="D397" s="161"/>
      <c r="E397" s="133" t="s">
        <v>235</v>
      </c>
      <c r="F397" s="744">
        <v>635</v>
      </c>
      <c r="G397" s="745" t="s">
        <v>803</v>
      </c>
      <c r="H397" s="746">
        <f>7500+4500</f>
        <v>12000</v>
      </c>
      <c r="I397" s="746"/>
      <c r="J397" s="746">
        <f t="shared" si="66"/>
        <v>12000</v>
      </c>
      <c r="K397" s="131"/>
      <c r="L397" s="747"/>
      <c r="M397" s="747"/>
      <c r="N397" s="747"/>
      <c r="O397" s="131"/>
      <c r="P397" s="748">
        <f>L397+H397</f>
        <v>12000</v>
      </c>
      <c r="Q397" s="720">
        <f t="shared" si="68"/>
        <v>0</v>
      </c>
      <c r="R397" s="720">
        <f t="shared" si="69"/>
        <v>12000</v>
      </c>
    </row>
    <row r="398" spans="2:18" x14ac:dyDescent="0.2">
      <c r="B398" s="135">
        <f t="shared" si="70"/>
        <v>11</v>
      </c>
      <c r="C398" s="129"/>
      <c r="D398" s="161"/>
      <c r="E398" s="133" t="s">
        <v>235</v>
      </c>
      <c r="F398" s="157"/>
      <c r="G398" s="227" t="s">
        <v>661</v>
      </c>
      <c r="H398" s="383">
        <f>H399+H400+H401</f>
        <v>60000</v>
      </c>
      <c r="I398" s="383">
        <f>I399+I400+I401</f>
        <v>-2000</v>
      </c>
      <c r="J398" s="383">
        <f t="shared" si="66"/>
        <v>58000</v>
      </c>
      <c r="K398" s="131"/>
      <c r="L398" s="369"/>
      <c r="M398" s="369"/>
      <c r="N398" s="369"/>
      <c r="O398" s="131"/>
      <c r="P398" s="497">
        <f t="shared" ref="P398:P405" si="71">H398+L398</f>
        <v>60000</v>
      </c>
      <c r="Q398" s="497">
        <f t="shared" si="68"/>
        <v>-2000</v>
      </c>
      <c r="R398" s="497">
        <f t="shared" si="69"/>
        <v>58000</v>
      </c>
    </row>
    <row r="399" spans="2:18" x14ac:dyDescent="0.2">
      <c r="B399" s="135">
        <f t="shared" si="70"/>
        <v>12</v>
      </c>
      <c r="C399" s="129"/>
      <c r="D399" s="161"/>
      <c r="E399" s="133"/>
      <c r="F399" s="155">
        <v>610</v>
      </c>
      <c r="G399" s="202" t="s">
        <v>257</v>
      </c>
      <c r="H399" s="375">
        <v>14200</v>
      </c>
      <c r="I399" s="375"/>
      <c r="J399" s="375">
        <f t="shared" si="66"/>
        <v>14200</v>
      </c>
      <c r="K399" s="131"/>
      <c r="L399" s="369"/>
      <c r="M399" s="369"/>
      <c r="N399" s="369"/>
      <c r="O399" s="131"/>
      <c r="P399" s="497">
        <f t="shared" si="71"/>
        <v>14200</v>
      </c>
      <c r="Q399" s="497">
        <f t="shared" si="68"/>
        <v>0</v>
      </c>
      <c r="R399" s="497">
        <f t="shared" si="69"/>
        <v>14200</v>
      </c>
    </row>
    <row r="400" spans="2:18" x14ac:dyDescent="0.2">
      <c r="B400" s="135">
        <f t="shared" si="70"/>
        <v>13</v>
      </c>
      <c r="C400" s="129"/>
      <c r="D400" s="161"/>
      <c r="E400" s="133"/>
      <c r="F400" s="155">
        <v>620</v>
      </c>
      <c r="G400" s="202" t="s">
        <v>259</v>
      </c>
      <c r="H400" s="375">
        <v>9900</v>
      </c>
      <c r="I400" s="375"/>
      <c r="J400" s="375">
        <f t="shared" si="66"/>
        <v>9900</v>
      </c>
      <c r="K400" s="131"/>
      <c r="L400" s="369"/>
      <c r="M400" s="369"/>
      <c r="N400" s="369"/>
      <c r="O400" s="131"/>
      <c r="P400" s="497">
        <f t="shared" si="71"/>
        <v>9900</v>
      </c>
      <c r="Q400" s="497">
        <f t="shared" si="68"/>
        <v>0</v>
      </c>
      <c r="R400" s="497">
        <f t="shared" si="69"/>
        <v>9900</v>
      </c>
    </row>
    <row r="401" spans="2:18" x14ac:dyDescent="0.2">
      <c r="B401" s="135">
        <f t="shared" si="70"/>
        <v>14</v>
      </c>
      <c r="C401" s="129"/>
      <c r="D401" s="161"/>
      <c r="E401" s="133"/>
      <c r="F401" s="155">
        <v>630</v>
      </c>
      <c r="G401" s="202" t="s">
        <v>249</v>
      </c>
      <c r="H401" s="375">
        <f>SUM(H402:H405)</f>
        <v>35900</v>
      </c>
      <c r="I401" s="375">
        <f>SUM(I402:I405)</f>
        <v>-2000</v>
      </c>
      <c r="J401" s="375">
        <f t="shared" si="66"/>
        <v>33900</v>
      </c>
      <c r="K401" s="131"/>
      <c r="L401" s="369"/>
      <c r="M401" s="369"/>
      <c r="N401" s="369"/>
      <c r="O401" s="131"/>
      <c r="P401" s="497">
        <f t="shared" si="71"/>
        <v>35900</v>
      </c>
      <c r="Q401" s="497">
        <f t="shared" si="68"/>
        <v>-2000</v>
      </c>
      <c r="R401" s="497">
        <f t="shared" si="69"/>
        <v>33900</v>
      </c>
    </row>
    <row r="402" spans="2:18" x14ac:dyDescent="0.2">
      <c r="B402" s="135">
        <f t="shared" si="70"/>
        <v>15</v>
      </c>
      <c r="C402" s="129"/>
      <c r="D402" s="161"/>
      <c r="E402" s="133"/>
      <c r="F402" s="158">
        <v>633</v>
      </c>
      <c r="G402" s="194" t="s">
        <v>247</v>
      </c>
      <c r="H402" s="540">
        <v>12300</v>
      </c>
      <c r="I402" s="540"/>
      <c r="J402" s="540">
        <f t="shared" si="66"/>
        <v>12300</v>
      </c>
      <c r="K402" s="131"/>
      <c r="L402" s="369"/>
      <c r="M402" s="369"/>
      <c r="N402" s="369"/>
      <c r="O402" s="131"/>
      <c r="P402" s="162">
        <f t="shared" si="71"/>
        <v>12300</v>
      </c>
      <c r="Q402" s="162">
        <f t="shared" si="68"/>
        <v>0</v>
      </c>
      <c r="R402" s="162">
        <f t="shared" si="69"/>
        <v>12300</v>
      </c>
    </row>
    <row r="403" spans="2:18" x14ac:dyDescent="0.2">
      <c r="B403" s="135">
        <f t="shared" si="70"/>
        <v>16</v>
      </c>
      <c r="C403" s="129"/>
      <c r="D403" s="161"/>
      <c r="E403" s="133"/>
      <c r="F403" s="130" t="s">
        <v>201</v>
      </c>
      <c r="G403" s="194" t="s">
        <v>260</v>
      </c>
      <c r="H403" s="540">
        <v>7400</v>
      </c>
      <c r="I403" s="540"/>
      <c r="J403" s="540">
        <f t="shared" si="66"/>
        <v>7400</v>
      </c>
      <c r="K403" s="131"/>
      <c r="L403" s="369"/>
      <c r="M403" s="369"/>
      <c r="N403" s="369"/>
      <c r="O403" s="131"/>
      <c r="P403" s="162">
        <f t="shared" si="71"/>
        <v>7400</v>
      </c>
      <c r="Q403" s="162">
        <f t="shared" si="68"/>
        <v>0</v>
      </c>
      <c r="R403" s="162">
        <f t="shared" si="69"/>
        <v>7400</v>
      </c>
    </row>
    <row r="404" spans="2:18" x14ac:dyDescent="0.2">
      <c r="B404" s="135">
        <f t="shared" si="70"/>
        <v>17</v>
      </c>
      <c r="C404" s="129"/>
      <c r="D404" s="161"/>
      <c r="E404" s="133"/>
      <c r="F404" s="130" t="s">
        <v>214</v>
      </c>
      <c r="G404" s="194" t="s">
        <v>261</v>
      </c>
      <c r="H404" s="540">
        <v>330</v>
      </c>
      <c r="I404" s="540"/>
      <c r="J404" s="540">
        <f t="shared" si="66"/>
        <v>330</v>
      </c>
      <c r="K404" s="131"/>
      <c r="L404" s="369"/>
      <c r="M404" s="369"/>
      <c r="N404" s="369"/>
      <c r="O404" s="131"/>
      <c r="P404" s="162">
        <f t="shared" si="71"/>
        <v>330</v>
      </c>
      <c r="Q404" s="162">
        <f t="shared" si="68"/>
        <v>0</v>
      </c>
      <c r="R404" s="162">
        <f t="shared" si="69"/>
        <v>330</v>
      </c>
    </row>
    <row r="405" spans="2:18" x14ac:dyDescent="0.2">
      <c r="B405" s="135">
        <f t="shared" si="70"/>
        <v>18</v>
      </c>
      <c r="C405" s="129"/>
      <c r="D405" s="161"/>
      <c r="E405" s="133"/>
      <c r="F405" s="133">
        <v>637</v>
      </c>
      <c r="G405" s="194" t="s">
        <v>248</v>
      </c>
      <c r="H405" s="540">
        <v>15870</v>
      </c>
      <c r="I405" s="540">
        <v>-2000</v>
      </c>
      <c r="J405" s="540">
        <f t="shared" si="66"/>
        <v>13870</v>
      </c>
      <c r="K405" s="131"/>
      <c r="L405" s="369"/>
      <c r="M405" s="369"/>
      <c r="N405" s="369"/>
      <c r="O405" s="131"/>
      <c r="P405" s="162">
        <f t="shared" si="71"/>
        <v>15870</v>
      </c>
      <c r="Q405" s="162">
        <f t="shared" si="68"/>
        <v>-2000</v>
      </c>
      <c r="R405" s="162">
        <f t="shared" si="69"/>
        <v>13870</v>
      </c>
    </row>
    <row r="406" spans="2:18" x14ac:dyDescent="0.2">
      <c r="B406" s="135">
        <f t="shared" si="70"/>
        <v>19</v>
      </c>
      <c r="C406" s="129"/>
      <c r="D406" s="161"/>
      <c r="E406" s="133"/>
      <c r="F406" s="133"/>
      <c r="G406" s="342"/>
      <c r="H406" s="540"/>
      <c r="I406" s="540"/>
      <c r="J406" s="540"/>
      <c r="K406" s="131"/>
      <c r="L406" s="369"/>
      <c r="M406" s="369"/>
      <c r="N406" s="369"/>
      <c r="O406" s="131"/>
      <c r="P406" s="162"/>
      <c r="Q406" s="162"/>
      <c r="R406" s="162"/>
    </row>
    <row r="407" spans="2:18" x14ac:dyDescent="0.2">
      <c r="B407" s="135">
        <f t="shared" si="70"/>
        <v>20</v>
      </c>
      <c r="C407" s="686"/>
      <c r="D407" s="161"/>
      <c r="E407" s="133"/>
      <c r="F407" s="133">
        <v>714</v>
      </c>
      <c r="G407" s="548" t="s">
        <v>685</v>
      </c>
      <c r="H407" s="540"/>
      <c r="I407" s="540"/>
      <c r="J407" s="540"/>
      <c r="K407" s="131"/>
      <c r="L407" s="496">
        <f>70000+5000</f>
        <v>75000</v>
      </c>
      <c r="M407" s="496"/>
      <c r="N407" s="496">
        <f t="shared" ref="N407:N454" si="72">M407+L407</f>
        <v>75000</v>
      </c>
      <c r="O407" s="131"/>
      <c r="P407" s="162">
        <f t="shared" ref="P407:P454" si="73">H407+L407</f>
        <v>75000</v>
      </c>
      <c r="Q407" s="162">
        <f t="shared" ref="Q407:Q454" si="74">I407+M407</f>
        <v>0</v>
      </c>
      <c r="R407" s="162">
        <f t="shared" ref="R407:R454" si="75">Q407+P407</f>
        <v>75000</v>
      </c>
    </row>
    <row r="408" spans="2:18" x14ac:dyDescent="0.2">
      <c r="B408" s="135">
        <f t="shared" si="70"/>
        <v>21</v>
      </c>
      <c r="C408" s="686"/>
      <c r="D408" s="161"/>
      <c r="E408" s="133"/>
      <c r="F408" s="133">
        <v>714</v>
      </c>
      <c r="G408" s="548" t="s">
        <v>827</v>
      </c>
      <c r="H408" s="540"/>
      <c r="I408" s="540"/>
      <c r="J408" s="540"/>
      <c r="K408" s="131"/>
      <c r="L408" s="496">
        <v>12000</v>
      </c>
      <c r="M408" s="496"/>
      <c r="N408" s="496">
        <f t="shared" si="72"/>
        <v>12000</v>
      </c>
      <c r="O408" s="131"/>
      <c r="P408" s="162">
        <f t="shared" si="73"/>
        <v>12000</v>
      </c>
      <c r="Q408" s="162">
        <f t="shared" si="74"/>
        <v>0</v>
      </c>
      <c r="R408" s="162">
        <f t="shared" si="75"/>
        <v>12000</v>
      </c>
    </row>
    <row r="409" spans="2:18" ht="15.75" x14ac:dyDescent="0.25">
      <c r="B409" s="135">
        <f t="shared" si="70"/>
        <v>22</v>
      </c>
      <c r="C409" s="22">
        <v>3</v>
      </c>
      <c r="D409" s="126" t="s">
        <v>220</v>
      </c>
      <c r="E409" s="23"/>
      <c r="F409" s="23"/>
      <c r="G409" s="341"/>
      <c r="H409" s="402"/>
      <c r="I409" s="404"/>
      <c r="J409" s="404"/>
      <c r="K409" s="784"/>
      <c r="L409" s="366">
        <f>SUM(L410:L454)</f>
        <v>1216750</v>
      </c>
      <c r="M409" s="366">
        <f>SUM(M410:M454)</f>
        <v>0</v>
      </c>
      <c r="N409" s="366">
        <f t="shared" si="72"/>
        <v>1216750</v>
      </c>
      <c r="O409" s="784"/>
      <c r="P409" s="360">
        <f t="shared" si="73"/>
        <v>1216750</v>
      </c>
      <c r="Q409" s="377">
        <f t="shared" si="74"/>
        <v>0</v>
      </c>
      <c r="R409" s="377">
        <f t="shared" si="75"/>
        <v>1216750</v>
      </c>
    </row>
    <row r="410" spans="2:18" x14ac:dyDescent="0.2">
      <c r="B410" s="135">
        <f t="shared" si="70"/>
        <v>23</v>
      </c>
      <c r="C410" s="129"/>
      <c r="D410" s="129"/>
      <c r="E410" s="133" t="s">
        <v>235</v>
      </c>
      <c r="F410" s="133">
        <v>717</v>
      </c>
      <c r="G410" s="342" t="s">
        <v>662</v>
      </c>
      <c r="H410" s="369"/>
      <c r="I410" s="369"/>
      <c r="J410" s="369"/>
      <c r="K410" s="131"/>
      <c r="L410" s="540">
        <f>60000+30000</f>
        <v>90000</v>
      </c>
      <c r="M410" s="540"/>
      <c r="N410" s="540">
        <f t="shared" si="72"/>
        <v>90000</v>
      </c>
      <c r="O410" s="131"/>
      <c r="P410" s="542">
        <f t="shared" si="73"/>
        <v>90000</v>
      </c>
      <c r="Q410" s="542">
        <f t="shared" si="74"/>
        <v>0</v>
      </c>
      <c r="R410" s="542">
        <f t="shared" si="75"/>
        <v>90000</v>
      </c>
    </row>
    <row r="411" spans="2:18" x14ac:dyDescent="0.2">
      <c r="B411" s="135">
        <f t="shared" si="70"/>
        <v>24</v>
      </c>
      <c r="C411" s="129"/>
      <c r="D411" s="129"/>
      <c r="E411" s="133" t="s">
        <v>235</v>
      </c>
      <c r="F411" s="133">
        <v>717</v>
      </c>
      <c r="G411" s="617" t="s">
        <v>663</v>
      </c>
      <c r="H411" s="369"/>
      <c r="I411" s="369"/>
      <c r="J411" s="369"/>
      <c r="K411" s="131"/>
      <c r="L411" s="540">
        <v>2325</v>
      </c>
      <c r="M411" s="540"/>
      <c r="N411" s="540">
        <f t="shared" si="72"/>
        <v>2325</v>
      </c>
      <c r="O411" s="131"/>
      <c r="P411" s="542">
        <f t="shared" si="73"/>
        <v>2325</v>
      </c>
      <c r="Q411" s="542">
        <f t="shared" si="74"/>
        <v>0</v>
      </c>
      <c r="R411" s="542">
        <f t="shared" si="75"/>
        <v>2325</v>
      </c>
    </row>
    <row r="412" spans="2:18" x14ac:dyDescent="0.2">
      <c r="B412" s="655">
        <f t="shared" si="70"/>
        <v>25</v>
      </c>
      <c r="C412" s="129"/>
      <c r="D412" s="129"/>
      <c r="E412" s="133" t="s">
        <v>235</v>
      </c>
      <c r="F412" s="133">
        <v>717</v>
      </c>
      <c r="G412" s="342" t="s">
        <v>645</v>
      </c>
      <c r="H412" s="369"/>
      <c r="I412" s="369"/>
      <c r="J412" s="369"/>
      <c r="K412" s="131"/>
      <c r="L412" s="540">
        <f>293000-2325</f>
        <v>290675</v>
      </c>
      <c r="M412" s="540"/>
      <c r="N412" s="540">
        <f t="shared" si="72"/>
        <v>290675</v>
      </c>
      <c r="O412" s="131"/>
      <c r="P412" s="542">
        <f t="shared" si="73"/>
        <v>290675</v>
      </c>
      <c r="Q412" s="542">
        <f t="shared" si="74"/>
        <v>0</v>
      </c>
      <c r="R412" s="542">
        <f t="shared" si="75"/>
        <v>290675</v>
      </c>
    </row>
    <row r="413" spans="2:18" x14ac:dyDescent="0.2">
      <c r="B413" s="655">
        <f t="shared" si="70"/>
        <v>26</v>
      </c>
      <c r="C413" s="129"/>
      <c r="D413" s="129"/>
      <c r="E413" s="133" t="s">
        <v>235</v>
      </c>
      <c r="F413" s="133">
        <v>716</v>
      </c>
      <c r="G413" s="342" t="s">
        <v>645</v>
      </c>
      <c r="H413" s="369"/>
      <c r="I413" s="369"/>
      <c r="J413" s="369"/>
      <c r="K413" s="131"/>
      <c r="L413" s="540">
        <v>7000</v>
      </c>
      <c r="M413" s="540"/>
      <c r="N413" s="540">
        <f t="shared" si="72"/>
        <v>7000</v>
      </c>
      <c r="O413" s="131"/>
      <c r="P413" s="542">
        <f t="shared" si="73"/>
        <v>7000</v>
      </c>
      <c r="Q413" s="542">
        <f t="shared" si="74"/>
        <v>0</v>
      </c>
      <c r="R413" s="542">
        <f t="shared" si="75"/>
        <v>7000</v>
      </c>
    </row>
    <row r="414" spans="2:18" x14ac:dyDescent="0.2">
      <c r="B414" s="655">
        <f t="shared" si="70"/>
        <v>27</v>
      </c>
      <c r="C414" s="129"/>
      <c r="D414" s="129"/>
      <c r="E414" s="133" t="s">
        <v>235</v>
      </c>
      <c r="F414" s="133">
        <v>716</v>
      </c>
      <c r="G414" s="342" t="s">
        <v>816</v>
      </c>
      <c r="H414" s="369"/>
      <c r="I414" s="369"/>
      <c r="J414" s="369"/>
      <c r="K414" s="131"/>
      <c r="L414" s="540">
        <v>480</v>
      </c>
      <c r="M414" s="540"/>
      <c r="N414" s="540">
        <f t="shared" si="72"/>
        <v>480</v>
      </c>
      <c r="O414" s="131"/>
      <c r="P414" s="542">
        <f t="shared" si="73"/>
        <v>480</v>
      </c>
      <c r="Q414" s="542">
        <f t="shared" si="74"/>
        <v>0</v>
      </c>
      <c r="R414" s="542">
        <f t="shared" si="75"/>
        <v>480</v>
      </c>
    </row>
    <row r="415" spans="2:18" x14ac:dyDescent="0.2">
      <c r="B415" s="655">
        <f t="shared" si="70"/>
        <v>28</v>
      </c>
      <c r="C415" s="129"/>
      <c r="D415" s="129"/>
      <c r="E415" s="133" t="s">
        <v>235</v>
      </c>
      <c r="F415" s="133">
        <v>717</v>
      </c>
      <c r="G415" s="342" t="s">
        <v>718</v>
      </c>
      <c r="H415" s="369"/>
      <c r="I415" s="369"/>
      <c r="J415" s="369"/>
      <c r="K415" s="131"/>
      <c r="L415" s="540">
        <f>62000+32323</f>
        <v>94323</v>
      </c>
      <c r="M415" s="540"/>
      <c r="N415" s="540">
        <f t="shared" si="72"/>
        <v>94323</v>
      </c>
      <c r="O415" s="131"/>
      <c r="P415" s="542">
        <f t="shared" si="73"/>
        <v>94323</v>
      </c>
      <c r="Q415" s="542">
        <f t="shared" si="74"/>
        <v>0</v>
      </c>
      <c r="R415" s="542">
        <f t="shared" si="75"/>
        <v>94323</v>
      </c>
    </row>
    <row r="416" spans="2:18" x14ac:dyDescent="0.2">
      <c r="B416" s="135">
        <f t="shared" si="70"/>
        <v>29</v>
      </c>
      <c r="C416" s="129"/>
      <c r="D416" s="129"/>
      <c r="E416" s="133" t="s">
        <v>235</v>
      </c>
      <c r="F416" s="133">
        <v>716</v>
      </c>
      <c r="G416" s="342" t="s">
        <v>702</v>
      </c>
      <c r="H416" s="369"/>
      <c r="I416" s="369"/>
      <c r="J416" s="369"/>
      <c r="K416" s="131"/>
      <c r="L416" s="540">
        <f>900+2000</f>
        <v>2900</v>
      </c>
      <c r="M416" s="540"/>
      <c r="N416" s="540">
        <f t="shared" si="72"/>
        <v>2900</v>
      </c>
      <c r="O416" s="131"/>
      <c r="P416" s="542">
        <f t="shared" si="73"/>
        <v>2900</v>
      </c>
      <c r="Q416" s="542">
        <f t="shared" si="74"/>
        <v>0</v>
      </c>
      <c r="R416" s="542">
        <f t="shared" si="75"/>
        <v>2900</v>
      </c>
    </row>
    <row r="417" spans="2:18" x14ac:dyDescent="0.2">
      <c r="B417" s="135">
        <f t="shared" si="70"/>
        <v>30</v>
      </c>
      <c r="C417" s="538"/>
      <c r="D417" s="538"/>
      <c r="E417" s="133" t="s">
        <v>235</v>
      </c>
      <c r="F417" s="133">
        <v>717</v>
      </c>
      <c r="G417" s="342" t="s">
        <v>702</v>
      </c>
      <c r="H417" s="369"/>
      <c r="I417" s="369"/>
      <c r="J417" s="369"/>
      <c r="K417" s="131"/>
      <c r="L417" s="540">
        <f>9000-900-2680</f>
        <v>5420</v>
      </c>
      <c r="M417" s="540"/>
      <c r="N417" s="540">
        <f t="shared" si="72"/>
        <v>5420</v>
      </c>
      <c r="O417" s="131"/>
      <c r="P417" s="542">
        <f t="shared" si="73"/>
        <v>5420</v>
      </c>
      <c r="Q417" s="542">
        <f t="shared" si="74"/>
        <v>0</v>
      </c>
      <c r="R417" s="542">
        <f t="shared" si="75"/>
        <v>5420</v>
      </c>
    </row>
    <row r="418" spans="2:18" x14ac:dyDescent="0.2">
      <c r="B418" s="135">
        <f t="shared" si="70"/>
        <v>31</v>
      </c>
      <c r="C418" s="538"/>
      <c r="D418" s="538"/>
      <c r="E418" s="181" t="s">
        <v>235</v>
      </c>
      <c r="F418" s="181">
        <v>716</v>
      </c>
      <c r="G418" s="305" t="s">
        <v>717</v>
      </c>
      <c r="H418" s="473"/>
      <c r="I418" s="473"/>
      <c r="J418" s="473"/>
      <c r="K418" s="131"/>
      <c r="L418" s="541">
        <v>5000</v>
      </c>
      <c r="M418" s="541"/>
      <c r="N418" s="541">
        <f t="shared" si="72"/>
        <v>5000</v>
      </c>
      <c r="O418" s="131"/>
      <c r="P418" s="136">
        <f t="shared" si="73"/>
        <v>5000</v>
      </c>
      <c r="Q418" s="136">
        <f t="shared" si="74"/>
        <v>0</v>
      </c>
      <c r="R418" s="136">
        <f t="shared" si="75"/>
        <v>5000</v>
      </c>
    </row>
    <row r="419" spans="2:18" x14ac:dyDescent="0.2">
      <c r="B419" s="135">
        <f t="shared" si="70"/>
        <v>32</v>
      </c>
      <c r="C419" s="538"/>
      <c r="D419" s="538"/>
      <c r="E419" s="538" t="s">
        <v>235</v>
      </c>
      <c r="F419" s="538">
        <v>716</v>
      </c>
      <c r="G419" s="539" t="s">
        <v>697</v>
      </c>
      <c r="H419" s="540"/>
      <c r="I419" s="540"/>
      <c r="J419" s="540"/>
      <c r="K419" s="131"/>
      <c r="L419" s="541">
        <v>2000</v>
      </c>
      <c r="M419" s="541"/>
      <c r="N419" s="541">
        <f t="shared" si="72"/>
        <v>2000</v>
      </c>
      <c r="O419" s="131"/>
      <c r="P419" s="136">
        <f t="shared" si="73"/>
        <v>2000</v>
      </c>
      <c r="Q419" s="136">
        <f t="shared" si="74"/>
        <v>0</v>
      </c>
      <c r="R419" s="136">
        <f t="shared" si="75"/>
        <v>2000</v>
      </c>
    </row>
    <row r="420" spans="2:18" x14ac:dyDescent="0.2">
      <c r="B420" s="135">
        <f t="shared" si="70"/>
        <v>33</v>
      </c>
      <c r="C420" s="538"/>
      <c r="D420" s="538"/>
      <c r="E420" s="538" t="s">
        <v>235</v>
      </c>
      <c r="F420" s="538">
        <v>717</v>
      </c>
      <c r="G420" s="539" t="s">
        <v>697</v>
      </c>
      <c r="H420" s="540"/>
      <c r="I420" s="540"/>
      <c r="J420" s="540"/>
      <c r="K420" s="793"/>
      <c r="L420" s="540">
        <f>20000-2000</f>
        <v>18000</v>
      </c>
      <c r="M420" s="540"/>
      <c r="N420" s="540">
        <f t="shared" si="72"/>
        <v>18000</v>
      </c>
      <c r="O420" s="131"/>
      <c r="P420" s="542">
        <f t="shared" si="73"/>
        <v>18000</v>
      </c>
      <c r="Q420" s="542">
        <f t="shared" si="74"/>
        <v>0</v>
      </c>
      <c r="R420" s="542">
        <f t="shared" si="75"/>
        <v>18000</v>
      </c>
    </row>
    <row r="421" spans="2:18" x14ac:dyDescent="0.2">
      <c r="B421" s="135">
        <f t="shared" si="70"/>
        <v>34</v>
      </c>
      <c r="C421" s="538"/>
      <c r="D421" s="538"/>
      <c r="E421" s="133" t="s">
        <v>235</v>
      </c>
      <c r="F421" s="538">
        <v>716</v>
      </c>
      <c r="G421" s="539" t="s">
        <v>747</v>
      </c>
      <c r="H421" s="540"/>
      <c r="I421" s="540"/>
      <c r="J421" s="540"/>
      <c r="K421" s="793"/>
      <c r="L421" s="540">
        <v>500</v>
      </c>
      <c r="M421" s="540"/>
      <c r="N421" s="540">
        <f t="shared" si="72"/>
        <v>500</v>
      </c>
      <c r="O421" s="131"/>
      <c r="P421" s="542">
        <f t="shared" si="73"/>
        <v>500</v>
      </c>
      <c r="Q421" s="542">
        <f t="shared" si="74"/>
        <v>0</v>
      </c>
      <c r="R421" s="542">
        <f t="shared" si="75"/>
        <v>500</v>
      </c>
    </row>
    <row r="422" spans="2:18" x14ac:dyDescent="0.2">
      <c r="B422" s="135">
        <f t="shared" si="70"/>
        <v>35</v>
      </c>
      <c r="C422" s="538"/>
      <c r="D422" s="538"/>
      <c r="E422" s="133" t="s">
        <v>235</v>
      </c>
      <c r="F422" s="664">
        <v>717</v>
      </c>
      <c r="G422" s="665" t="s">
        <v>748</v>
      </c>
      <c r="H422" s="540"/>
      <c r="I422" s="540"/>
      <c r="J422" s="540"/>
      <c r="K422" s="793"/>
      <c r="L422" s="540">
        <f>1500+6000</f>
        <v>7500</v>
      </c>
      <c r="M422" s="540"/>
      <c r="N422" s="540">
        <f t="shared" si="72"/>
        <v>7500</v>
      </c>
      <c r="O422" s="131"/>
      <c r="P422" s="542">
        <f t="shared" si="73"/>
        <v>7500</v>
      </c>
      <c r="Q422" s="542">
        <f t="shared" si="74"/>
        <v>0</v>
      </c>
      <c r="R422" s="542">
        <f t="shared" si="75"/>
        <v>7500</v>
      </c>
    </row>
    <row r="423" spans="2:18" x14ac:dyDescent="0.2">
      <c r="B423" s="135">
        <f t="shared" si="70"/>
        <v>36</v>
      </c>
      <c r="C423" s="538"/>
      <c r="D423" s="538"/>
      <c r="E423" s="181" t="s">
        <v>235</v>
      </c>
      <c r="F423" s="664">
        <v>717</v>
      </c>
      <c r="G423" s="665" t="s">
        <v>749</v>
      </c>
      <c r="H423" s="540"/>
      <c r="I423" s="540"/>
      <c r="J423" s="540"/>
      <c r="K423" s="793"/>
      <c r="L423" s="540">
        <f>14900-4000</f>
        <v>10900</v>
      </c>
      <c r="M423" s="540"/>
      <c r="N423" s="540">
        <f t="shared" si="72"/>
        <v>10900</v>
      </c>
      <c r="O423" s="131"/>
      <c r="P423" s="542">
        <f t="shared" si="73"/>
        <v>10900</v>
      </c>
      <c r="Q423" s="542">
        <f t="shared" si="74"/>
        <v>0</v>
      </c>
      <c r="R423" s="542">
        <f t="shared" si="75"/>
        <v>10900</v>
      </c>
    </row>
    <row r="424" spans="2:18" x14ac:dyDescent="0.2">
      <c r="B424" s="668">
        <f t="shared" si="70"/>
        <v>37</v>
      </c>
      <c r="C424" s="664"/>
      <c r="D424" s="664"/>
      <c r="E424" s="664" t="s">
        <v>235</v>
      </c>
      <c r="F424" s="664">
        <v>716</v>
      </c>
      <c r="G424" s="665" t="s">
        <v>750</v>
      </c>
      <c r="H424" s="541"/>
      <c r="I424" s="541"/>
      <c r="J424" s="541"/>
      <c r="K424" s="793"/>
      <c r="L424" s="541">
        <v>1500</v>
      </c>
      <c r="M424" s="541"/>
      <c r="N424" s="541">
        <f t="shared" si="72"/>
        <v>1500</v>
      </c>
      <c r="O424" s="131"/>
      <c r="P424" s="136">
        <f t="shared" si="73"/>
        <v>1500</v>
      </c>
      <c r="Q424" s="136">
        <f t="shared" si="74"/>
        <v>0</v>
      </c>
      <c r="R424" s="136">
        <f t="shared" si="75"/>
        <v>1500</v>
      </c>
    </row>
    <row r="425" spans="2:18" x14ac:dyDescent="0.2">
      <c r="B425" s="655">
        <f t="shared" si="70"/>
        <v>38</v>
      </c>
      <c r="C425" s="538"/>
      <c r="D425" s="538"/>
      <c r="E425" s="538" t="s">
        <v>235</v>
      </c>
      <c r="F425" s="538">
        <v>717</v>
      </c>
      <c r="G425" s="539" t="s">
        <v>772</v>
      </c>
      <c r="H425" s="540"/>
      <c r="I425" s="540"/>
      <c r="J425" s="540"/>
      <c r="K425" s="793"/>
      <c r="L425" s="540">
        <v>40000</v>
      </c>
      <c r="M425" s="540"/>
      <c r="N425" s="540">
        <f t="shared" si="72"/>
        <v>40000</v>
      </c>
      <c r="O425" s="131"/>
      <c r="P425" s="542">
        <f t="shared" si="73"/>
        <v>40000</v>
      </c>
      <c r="Q425" s="542">
        <f t="shared" si="74"/>
        <v>0</v>
      </c>
      <c r="R425" s="542">
        <f t="shared" si="75"/>
        <v>40000</v>
      </c>
    </row>
    <row r="426" spans="2:18" x14ac:dyDescent="0.2">
      <c r="B426" s="655">
        <f t="shared" si="70"/>
        <v>39</v>
      </c>
      <c r="C426" s="538"/>
      <c r="D426" s="538"/>
      <c r="E426" s="133" t="s">
        <v>235</v>
      </c>
      <c r="F426" s="687">
        <v>717</v>
      </c>
      <c r="G426" s="688" t="s">
        <v>773</v>
      </c>
      <c r="H426" s="663"/>
      <c r="I426" s="663"/>
      <c r="J426" s="663"/>
      <c r="K426" s="793"/>
      <c r="L426" s="663">
        <v>5000</v>
      </c>
      <c r="M426" s="663"/>
      <c r="N426" s="663">
        <f t="shared" si="72"/>
        <v>5000</v>
      </c>
      <c r="O426" s="131"/>
      <c r="P426" s="689">
        <f t="shared" si="73"/>
        <v>5000</v>
      </c>
      <c r="Q426" s="689">
        <f t="shared" si="74"/>
        <v>0</v>
      </c>
      <c r="R426" s="689">
        <f t="shared" si="75"/>
        <v>5000</v>
      </c>
    </row>
    <row r="427" spans="2:18" x14ac:dyDescent="0.2">
      <c r="B427" s="655">
        <f t="shared" si="70"/>
        <v>40</v>
      </c>
      <c r="C427" s="538"/>
      <c r="D427" s="538"/>
      <c r="E427" s="181" t="s">
        <v>235</v>
      </c>
      <c r="F427" s="687">
        <v>717</v>
      </c>
      <c r="G427" s="688" t="s">
        <v>774</v>
      </c>
      <c r="H427" s="663"/>
      <c r="I427" s="663"/>
      <c r="J427" s="663"/>
      <c r="K427" s="793"/>
      <c r="L427" s="663">
        <f>3000-49</f>
        <v>2951</v>
      </c>
      <c r="M427" s="663"/>
      <c r="N427" s="663">
        <f t="shared" si="72"/>
        <v>2951</v>
      </c>
      <c r="O427" s="131"/>
      <c r="P427" s="689">
        <f t="shared" si="73"/>
        <v>2951</v>
      </c>
      <c r="Q427" s="689">
        <f t="shared" si="74"/>
        <v>0</v>
      </c>
      <c r="R427" s="689">
        <f t="shared" si="75"/>
        <v>2951</v>
      </c>
    </row>
    <row r="428" spans="2:18" x14ac:dyDescent="0.2">
      <c r="B428" s="655">
        <f t="shared" si="70"/>
        <v>41</v>
      </c>
      <c r="C428" s="538"/>
      <c r="D428" s="538"/>
      <c r="E428" s="538" t="s">
        <v>235</v>
      </c>
      <c r="F428" s="690">
        <v>717</v>
      </c>
      <c r="G428" s="662" t="s">
        <v>775</v>
      </c>
      <c r="H428" s="663"/>
      <c r="I428" s="663"/>
      <c r="J428" s="663"/>
      <c r="K428" s="793"/>
      <c r="L428" s="663">
        <v>1000</v>
      </c>
      <c r="M428" s="663"/>
      <c r="N428" s="663">
        <f t="shared" si="72"/>
        <v>1000</v>
      </c>
      <c r="O428" s="131"/>
      <c r="P428" s="689">
        <f t="shared" si="73"/>
        <v>1000</v>
      </c>
      <c r="Q428" s="689">
        <f t="shared" si="74"/>
        <v>0</v>
      </c>
      <c r="R428" s="689">
        <f t="shared" si="75"/>
        <v>1000</v>
      </c>
    </row>
    <row r="429" spans="2:18" x14ac:dyDescent="0.2">
      <c r="B429" s="655">
        <f t="shared" si="70"/>
        <v>42</v>
      </c>
      <c r="C429" s="181"/>
      <c r="D429" s="181"/>
      <c r="E429" s="538" t="s">
        <v>235</v>
      </c>
      <c r="F429" s="690">
        <v>716</v>
      </c>
      <c r="G429" s="662" t="s">
        <v>776</v>
      </c>
      <c r="H429" s="691"/>
      <c r="I429" s="691"/>
      <c r="J429" s="691"/>
      <c r="K429" s="793"/>
      <c r="L429" s="691">
        <v>3000</v>
      </c>
      <c r="M429" s="691"/>
      <c r="N429" s="691">
        <f t="shared" si="72"/>
        <v>3000</v>
      </c>
      <c r="O429" s="131"/>
      <c r="P429" s="692">
        <f t="shared" si="73"/>
        <v>3000</v>
      </c>
      <c r="Q429" s="692">
        <f t="shared" si="74"/>
        <v>0</v>
      </c>
      <c r="R429" s="692">
        <f t="shared" si="75"/>
        <v>3000</v>
      </c>
    </row>
    <row r="430" spans="2:18" x14ac:dyDescent="0.2">
      <c r="B430" s="655">
        <f t="shared" si="70"/>
        <v>43</v>
      </c>
      <c r="C430" s="664"/>
      <c r="D430" s="664"/>
      <c r="E430" s="538" t="s">
        <v>235</v>
      </c>
      <c r="F430" s="690">
        <v>717</v>
      </c>
      <c r="G430" s="662" t="s">
        <v>777</v>
      </c>
      <c r="H430" s="693"/>
      <c r="I430" s="693"/>
      <c r="J430" s="693"/>
      <c r="K430" s="793"/>
      <c r="L430" s="693">
        <f>118000-8139-32323</f>
        <v>77538</v>
      </c>
      <c r="M430" s="693"/>
      <c r="N430" s="693">
        <f t="shared" si="72"/>
        <v>77538</v>
      </c>
      <c r="O430" s="131"/>
      <c r="P430" s="694">
        <f t="shared" si="73"/>
        <v>77538</v>
      </c>
      <c r="Q430" s="694">
        <f t="shared" si="74"/>
        <v>0</v>
      </c>
      <c r="R430" s="694">
        <f t="shared" si="75"/>
        <v>77538</v>
      </c>
    </row>
    <row r="431" spans="2:18" x14ac:dyDescent="0.2">
      <c r="B431" s="655">
        <f t="shared" si="70"/>
        <v>44</v>
      </c>
      <c r="C431" s="664"/>
      <c r="D431" s="664"/>
      <c r="E431" s="538" t="s">
        <v>235</v>
      </c>
      <c r="F431" s="690">
        <v>716</v>
      </c>
      <c r="G431" s="662" t="s">
        <v>778</v>
      </c>
      <c r="H431" s="693"/>
      <c r="I431" s="693"/>
      <c r="J431" s="693"/>
      <c r="K431" s="793"/>
      <c r="L431" s="693">
        <v>2000</v>
      </c>
      <c r="M431" s="693"/>
      <c r="N431" s="693">
        <f t="shared" si="72"/>
        <v>2000</v>
      </c>
      <c r="O431" s="131"/>
      <c r="P431" s="694">
        <f t="shared" si="73"/>
        <v>2000</v>
      </c>
      <c r="Q431" s="694">
        <f t="shared" si="74"/>
        <v>0</v>
      </c>
      <c r="R431" s="694">
        <f t="shared" si="75"/>
        <v>2000</v>
      </c>
    </row>
    <row r="432" spans="2:18" x14ac:dyDescent="0.2">
      <c r="B432" s="655">
        <f t="shared" si="70"/>
        <v>45</v>
      </c>
      <c r="C432" s="664"/>
      <c r="D432" s="664"/>
      <c r="E432" s="538" t="s">
        <v>235</v>
      </c>
      <c r="F432" s="690">
        <v>716</v>
      </c>
      <c r="G432" s="662" t="s">
        <v>779</v>
      </c>
      <c r="H432" s="693"/>
      <c r="I432" s="693"/>
      <c r="J432" s="693"/>
      <c r="K432" s="793"/>
      <c r="L432" s="693">
        <v>2000</v>
      </c>
      <c r="M432" s="693"/>
      <c r="N432" s="693">
        <f t="shared" si="72"/>
        <v>2000</v>
      </c>
      <c r="O432" s="131"/>
      <c r="P432" s="694">
        <f t="shared" si="73"/>
        <v>2000</v>
      </c>
      <c r="Q432" s="694">
        <f t="shared" si="74"/>
        <v>0</v>
      </c>
      <c r="R432" s="694">
        <f t="shared" si="75"/>
        <v>2000</v>
      </c>
    </row>
    <row r="433" spans="2:18" x14ac:dyDescent="0.2">
      <c r="B433" s="655">
        <f t="shared" si="70"/>
        <v>46</v>
      </c>
      <c r="C433" s="664"/>
      <c r="D433" s="664"/>
      <c r="E433" s="538" t="s">
        <v>235</v>
      </c>
      <c r="F433" s="690">
        <v>717</v>
      </c>
      <c r="G433" s="662" t="s">
        <v>780</v>
      </c>
      <c r="H433" s="693"/>
      <c r="I433" s="693"/>
      <c r="J433" s="693"/>
      <c r="K433" s="793"/>
      <c r="L433" s="693">
        <f>6000+5717</f>
        <v>11717</v>
      </c>
      <c r="M433" s="693"/>
      <c r="N433" s="693">
        <f t="shared" si="72"/>
        <v>11717</v>
      </c>
      <c r="O433" s="131"/>
      <c r="P433" s="694">
        <f t="shared" si="73"/>
        <v>11717</v>
      </c>
      <c r="Q433" s="694">
        <f t="shared" si="74"/>
        <v>0</v>
      </c>
      <c r="R433" s="694">
        <f t="shared" si="75"/>
        <v>11717</v>
      </c>
    </row>
    <row r="434" spans="2:18" x14ac:dyDescent="0.2">
      <c r="B434" s="655">
        <f t="shared" si="70"/>
        <v>47</v>
      </c>
      <c r="C434" s="664"/>
      <c r="D434" s="664"/>
      <c r="E434" s="538" t="s">
        <v>235</v>
      </c>
      <c r="F434" s="690">
        <v>717</v>
      </c>
      <c r="G434" s="662" t="s">
        <v>781</v>
      </c>
      <c r="H434" s="693"/>
      <c r="I434" s="693"/>
      <c r="J434" s="693"/>
      <c r="K434" s="793"/>
      <c r="L434" s="693">
        <f>1000+203</f>
        <v>1203</v>
      </c>
      <c r="M434" s="693"/>
      <c r="N434" s="693">
        <f t="shared" si="72"/>
        <v>1203</v>
      </c>
      <c r="O434" s="131"/>
      <c r="P434" s="694">
        <f t="shared" si="73"/>
        <v>1203</v>
      </c>
      <c r="Q434" s="694">
        <f t="shared" si="74"/>
        <v>0</v>
      </c>
      <c r="R434" s="694">
        <f t="shared" si="75"/>
        <v>1203</v>
      </c>
    </row>
    <row r="435" spans="2:18" x14ac:dyDescent="0.2">
      <c r="B435" s="655">
        <f t="shared" si="70"/>
        <v>48</v>
      </c>
      <c r="C435" s="664"/>
      <c r="D435" s="664"/>
      <c r="E435" s="538" t="s">
        <v>235</v>
      </c>
      <c r="F435" s="690">
        <v>716</v>
      </c>
      <c r="G435" s="662" t="s">
        <v>782</v>
      </c>
      <c r="H435" s="693"/>
      <c r="I435" s="693"/>
      <c r="J435" s="693"/>
      <c r="K435" s="793"/>
      <c r="L435" s="693">
        <v>3500</v>
      </c>
      <c r="M435" s="693"/>
      <c r="N435" s="693">
        <f t="shared" si="72"/>
        <v>3500</v>
      </c>
      <c r="O435" s="131"/>
      <c r="P435" s="694">
        <f t="shared" si="73"/>
        <v>3500</v>
      </c>
      <c r="Q435" s="694">
        <f t="shared" si="74"/>
        <v>0</v>
      </c>
      <c r="R435" s="694">
        <f t="shared" si="75"/>
        <v>3500</v>
      </c>
    </row>
    <row r="436" spans="2:18" x14ac:dyDescent="0.2">
      <c r="B436" s="655">
        <f t="shared" si="70"/>
        <v>49</v>
      </c>
      <c r="C436" s="664"/>
      <c r="D436" s="664"/>
      <c r="E436" s="538" t="s">
        <v>235</v>
      </c>
      <c r="F436" s="690">
        <v>716</v>
      </c>
      <c r="G436" s="662" t="s">
        <v>783</v>
      </c>
      <c r="H436" s="693"/>
      <c r="I436" s="693"/>
      <c r="J436" s="693"/>
      <c r="K436" s="793"/>
      <c r="L436" s="693">
        <v>3500</v>
      </c>
      <c r="M436" s="693"/>
      <c r="N436" s="693">
        <f t="shared" si="72"/>
        <v>3500</v>
      </c>
      <c r="O436" s="131"/>
      <c r="P436" s="694">
        <f t="shared" si="73"/>
        <v>3500</v>
      </c>
      <c r="Q436" s="694">
        <f t="shared" si="74"/>
        <v>0</v>
      </c>
      <c r="R436" s="694">
        <f t="shared" si="75"/>
        <v>3500</v>
      </c>
    </row>
    <row r="437" spans="2:18" x14ac:dyDescent="0.2">
      <c r="B437" s="655">
        <f t="shared" si="70"/>
        <v>50</v>
      </c>
      <c r="C437" s="664"/>
      <c r="D437" s="664"/>
      <c r="E437" s="538" t="s">
        <v>235</v>
      </c>
      <c r="F437" s="690">
        <v>717</v>
      </c>
      <c r="G437" s="662" t="s">
        <v>784</v>
      </c>
      <c r="H437" s="693"/>
      <c r="I437" s="693"/>
      <c r="J437" s="693"/>
      <c r="K437" s="793"/>
      <c r="L437" s="693">
        <f>2500+2268</f>
        <v>4768</v>
      </c>
      <c r="M437" s="693"/>
      <c r="N437" s="693">
        <f t="shared" si="72"/>
        <v>4768</v>
      </c>
      <c r="O437" s="131"/>
      <c r="P437" s="694">
        <f t="shared" si="73"/>
        <v>4768</v>
      </c>
      <c r="Q437" s="694">
        <f t="shared" si="74"/>
        <v>0</v>
      </c>
      <c r="R437" s="694">
        <f t="shared" si="75"/>
        <v>4768</v>
      </c>
    </row>
    <row r="438" spans="2:18" x14ac:dyDescent="0.2">
      <c r="B438" s="655">
        <f t="shared" si="70"/>
        <v>51</v>
      </c>
      <c r="C438" s="664"/>
      <c r="D438" s="664"/>
      <c r="E438" s="538" t="s">
        <v>235</v>
      </c>
      <c r="F438" s="690">
        <v>717</v>
      </c>
      <c r="G438" s="662" t="s">
        <v>785</v>
      </c>
      <c r="H438" s="693"/>
      <c r="I438" s="693"/>
      <c r="J438" s="693"/>
      <c r="K438" s="793"/>
      <c r="L438" s="693">
        <v>2500</v>
      </c>
      <c r="M438" s="693"/>
      <c r="N438" s="693">
        <f t="shared" si="72"/>
        <v>2500</v>
      </c>
      <c r="O438" s="131"/>
      <c r="P438" s="694">
        <f t="shared" si="73"/>
        <v>2500</v>
      </c>
      <c r="Q438" s="694">
        <f t="shared" si="74"/>
        <v>0</v>
      </c>
      <c r="R438" s="694">
        <f t="shared" si="75"/>
        <v>2500</v>
      </c>
    </row>
    <row r="439" spans="2:18" x14ac:dyDescent="0.2">
      <c r="B439" s="655">
        <f t="shared" si="70"/>
        <v>52</v>
      </c>
      <c r="C439" s="664"/>
      <c r="D439" s="664"/>
      <c r="E439" s="538" t="s">
        <v>235</v>
      </c>
      <c r="F439" s="695">
        <v>717</v>
      </c>
      <c r="G439" s="696" t="s">
        <v>786</v>
      </c>
      <c r="H439" s="367"/>
      <c r="I439" s="367"/>
      <c r="J439" s="367"/>
      <c r="K439" s="793"/>
      <c r="L439" s="367">
        <f>5000+1740</f>
        <v>6740</v>
      </c>
      <c r="M439" s="367"/>
      <c r="N439" s="367">
        <f t="shared" si="72"/>
        <v>6740</v>
      </c>
      <c r="O439" s="131"/>
      <c r="P439" s="697">
        <f t="shared" si="73"/>
        <v>6740</v>
      </c>
      <c r="Q439" s="697">
        <f t="shared" si="74"/>
        <v>0</v>
      </c>
      <c r="R439" s="697">
        <f t="shared" si="75"/>
        <v>6740</v>
      </c>
    </row>
    <row r="440" spans="2:18" x14ac:dyDescent="0.2">
      <c r="B440" s="655">
        <f t="shared" si="70"/>
        <v>53</v>
      </c>
      <c r="C440" s="664"/>
      <c r="D440" s="664"/>
      <c r="E440" s="538" t="s">
        <v>235</v>
      </c>
      <c r="F440" s="695">
        <v>717</v>
      </c>
      <c r="G440" s="696" t="s">
        <v>787</v>
      </c>
      <c r="H440" s="367"/>
      <c r="I440" s="367"/>
      <c r="J440" s="367"/>
      <c r="K440" s="793"/>
      <c r="L440" s="367">
        <v>17550</v>
      </c>
      <c r="M440" s="367"/>
      <c r="N440" s="367">
        <f t="shared" si="72"/>
        <v>17550</v>
      </c>
      <c r="O440" s="131"/>
      <c r="P440" s="697">
        <f t="shared" si="73"/>
        <v>17550</v>
      </c>
      <c r="Q440" s="697">
        <f t="shared" si="74"/>
        <v>0</v>
      </c>
      <c r="R440" s="697">
        <f t="shared" si="75"/>
        <v>17550</v>
      </c>
    </row>
    <row r="441" spans="2:18" x14ac:dyDescent="0.2">
      <c r="B441" s="655">
        <f t="shared" si="70"/>
        <v>54</v>
      </c>
      <c r="C441" s="664"/>
      <c r="D441" s="664"/>
      <c r="E441" s="538" t="s">
        <v>235</v>
      </c>
      <c r="F441" s="695">
        <v>716</v>
      </c>
      <c r="G441" s="696" t="s">
        <v>788</v>
      </c>
      <c r="H441" s="367"/>
      <c r="I441" s="367"/>
      <c r="J441" s="367"/>
      <c r="K441" s="793"/>
      <c r="L441" s="367">
        <v>2500</v>
      </c>
      <c r="M441" s="367"/>
      <c r="N441" s="367">
        <f t="shared" si="72"/>
        <v>2500</v>
      </c>
      <c r="O441" s="131"/>
      <c r="P441" s="697">
        <f t="shared" si="73"/>
        <v>2500</v>
      </c>
      <c r="Q441" s="697">
        <f t="shared" si="74"/>
        <v>0</v>
      </c>
      <c r="R441" s="697">
        <f t="shared" si="75"/>
        <v>2500</v>
      </c>
    </row>
    <row r="442" spans="2:18" x14ac:dyDescent="0.2">
      <c r="B442" s="655">
        <f t="shared" si="70"/>
        <v>55</v>
      </c>
      <c r="C442" s="664"/>
      <c r="D442" s="664"/>
      <c r="E442" s="538" t="s">
        <v>235</v>
      </c>
      <c r="F442" s="695">
        <v>717</v>
      </c>
      <c r="G442" s="696" t="s">
        <v>789</v>
      </c>
      <c r="H442" s="367"/>
      <c r="I442" s="367"/>
      <c r="J442" s="367"/>
      <c r="K442" s="793"/>
      <c r="L442" s="367">
        <f>15000-500</f>
        <v>14500</v>
      </c>
      <c r="M442" s="367"/>
      <c r="N442" s="367">
        <f t="shared" si="72"/>
        <v>14500</v>
      </c>
      <c r="O442" s="131"/>
      <c r="P442" s="697">
        <f t="shared" si="73"/>
        <v>14500</v>
      </c>
      <c r="Q442" s="697">
        <f t="shared" si="74"/>
        <v>0</v>
      </c>
      <c r="R442" s="697">
        <f t="shared" si="75"/>
        <v>14500</v>
      </c>
    </row>
    <row r="443" spans="2:18" x14ac:dyDescent="0.2">
      <c r="B443" s="655">
        <f t="shared" si="70"/>
        <v>56</v>
      </c>
      <c r="C443" s="664"/>
      <c r="D443" s="664"/>
      <c r="E443" s="538" t="s">
        <v>235</v>
      </c>
      <c r="F443" s="695">
        <v>716</v>
      </c>
      <c r="G443" s="696" t="s">
        <v>857</v>
      </c>
      <c r="H443" s="367"/>
      <c r="I443" s="367"/>
      <c r="J443" s="367"/>
      <c r="K443" s="793"/>
      <c r="L443" s="367">
        <v>500</v>
      </c>
      <c r="M443" s="367"/>
      <c r="N443" s="367">
        <f t="shared" si="72"/>
        <v>500</v>
      </c>
      <c r="O443" s="131"/>
      <c r="P443" s="697">
        <f t="shared" si="73"/>
        <v>500</v>
      </c>
      <c r="Q443" s="697">
        <f t="shared" si="74"/>
        <v>0</v>
      </c>
      <c r="R443" s="697">
        <f t="shared" si="75"/>
        <v>500</v>
      </c>
    </row>
    <row r="444" spans="2:18" x14ac:dyDescent="0.2">
      <c r="B444" s="655">
        <f t="shared" si="70"/>
        <v>57</v>
      </c>
      <c r="C444" s="664"/>
      <c r="D444" s="664"/>
      <c r="E444" s="538" t="s">
        <v>235</v>
      </c>
      <c r="F444" s="695">
        <v>717</v>
      </c>
      <c r="G444" s="696" t="s">
        <v>790</v>
      </c>
      <c r="H444" s="367"/>
      <c r="I444" s="367"/>
      <c r="J444" s="367"/>
      <c r="K444" s="793"/>
      <c r="L444" s="367">
        <f>80000-800-1740</f>
        <v>77460</v>
      </c>
      <c r="M444" s="367"/>
      <c r="N444" s="367">
        <f t="shared" si="72"/>
        <v>77460</v>
      </c>
      <c r="O444" s="131"/>
      <c r="P444" s="697">
        <f t="shared" si="73"/>
        <v>77460</v>
      </c>
      <c r="Q444" s="697">
        <f t="shared" si="74"/>
        <v>0</v>
      </c>
      <c r="R444" s="697">
        <f t="shared" si="75"/>
        <v>77460</v>
      </c>
    </row>
    <row r="445" spans="2:18" x14ac:dyDescent="0.2">
      <c r="B445" s="655">
        <f t="shared" si="70"/>
        <v>58</v>
      </c>
      <c r="C445" s="664"/>
      <c r="D445" s="664"/>
      <c r="E445" s="538" t="s">
        <v>235</v>
      </c>
      <c r="F445" s="695">
        <v>716</v>
      </c>
      <c r="G445" s="696" t="s">
        <v>820</v>
      </c>
      <c r="H445" s="367"/>
      <c r="I445" s="367"/>
      <c r="J445" s="367"/>
      <c r="K445" s="793"/>
      <c r="L445" s="367">
        <v>800</v>
      </c>
      <c r="M445" s="367"/>
      <c r="N445" s="367">
        <f t="shared" si="72"/>
        <v>800</v>
      </c>
      <c r="O445" s="131"/>
      <c r="P445" s="697">
        <f t="shared" si="73"/>
        <v>800</v>
      </c>
      <c r="Q445" s="697">
        <f t="shared" si="74"/>
        <v>0</v>
      </c>
      <c r="R445" s="697">
        <f t="shared" si="75"/>
        <v>800</v>
      </c>
    </row>
    <row r="446" spans="2:18" x14ac:dyDescent="0.2">
      <c r="B446" s="655">
        <f t="shared" si="70"/>
        <v>59</v>
      </c>
      <c r="C446" s="664"/>
      <c r="D446" s="664"/>
      <c r="E446" s="538" t="s">
        <v>235</v>
      </c>
      <c r="F446" s="698">
        <v>717</v>
      </c>
      <c r="G446" s="699" t="s">
        <v>791</v>
      </c>
      <c r="H446" s="700"/>
      <c r="I446" s="700"/>
      <c r="J446" s="700"/>
      <c r="K446" s="793"/>
      <c r="L446" s="700">
        <v>75500</v>
      </c>
      <c r="M446" s="700"/>
      <c r="N446" s="700">
        <f t="shared" si="72"/>
        <v>75500</v>
      </c>
      <c r="O446" s="131"/>
      <c r="P446" s="701">
        <f t="shared" si="73"/>
        <v>75500</v>
      </c>
      <c r="Q446" s="701">
        <f t="shared" si="74"/>
        <v>0</v>
      </c>
      <c r="R446" s="701">
        <f t="shared" si="75"/>
        <v>75500</v>
      </c>
    </row>
    <row r="447" spans="2:18" x14ac:dyDescent="0.2">
      <c r="B447" s="655">
        <f t="shared" si="70"/>
        <v>60</v>
      </c>
      <c r="C447" s="664"/>
      <c r="D447" s="664"/>
      <c r="E447" s="538" t="s">
        <v>235</v>
      </c>
      <c r="F447" s="698">
        <v>716</v>
      </c>
      <c r="G447" s="699" t="s">
        <v>792</v>
      </c>
      <c r="H447" s="700"/>
      <c r="I447" s="700"/>
      <c r="J447" s="700"/>
      <c r="K447" s="793"/>
      <c r="L447" s="700">
        <v>4500</v>
      </c>
      <c r="M447" s="700"/>
      <c r="N447" s="700">
        <f t="shared" si="72"/>
        <v>4500</v>
      </c>
      <c r="O447" s="131"/>
      <c r="P447" s="701">
        <f t="shared" si="73"/>
        <v>4500</v>
      </c>
      <c r="Q447" s="701">
        <f t="shared" si="74"/>
        <v>0</v>
      </c>
      <c r="R447" s="701">
        <f t="shared" si="75"/>
        <v>4500</v>
      </c>
    </row>
    <row r="448" spans="2:18" ht="45" x14ac:dyDescent="0.2">
      <c r="B448" s="825">
        <f t="shared" si="70"/>
        <v>61</v>
      </c>
      <c r="C448" s="678"/>
      <c r="D448" s="678"/>
      <c r="E448" s="679" t="s">
        <v>235</v>
      </c>
      <c r="F448" s="702">
        <v>717</v>
      </c>
      <c r="G448" s="703" t="s">
        <v>805</v>
      </c>
      <c r="H448" s="704"/>
      <c r="I448" s="704"/>
      <c r="J448" s="704"/>
      <c r="K448" s="797"/>
      <c r="L448" s="704">
        <v>19000</v>
      </c>
      <c r="M448" s="704"/>
      <c r="N448" s="704">
        <f t="shared" si="72"/>
        <v>19000</v>
      </c>
      <c r="O448" s="459"/>
      <c r="P448" s="705">
        <f t="shared" si="73"/>
        <v>19000</v>
      </c>
      <c r="Q448" s="705">
        <f t="shared" si="74"/>
        <v>0</v>
      </c>
      <c r="R448" s="705">
        <f t="shared" si="75"/>
        <v>19000</v>
      </c>
    </row>
    <row r="449" spans="2:18" ht="22.5" x14ac:dyDescent="0.2">
      <c r="B449" s="655">
        <f t="shared" si="70"/>
        <v>62</v>
      </c>
      <c r="C449" s="664"/>
      <c r="D449" s="664"/>
      <c r="E449" s="676" t="s">
        <v>235</v>
      </c>
      <c r="F449" s="706">
        <v>716</v>
      </c>
      <c r="G449" s="707" t="s">
        <v>806</v>
      </c>
      <c r="H449" s="700"/>
      <c r="I449" s="700"/>
      <c r="J449" s="700"/>
      <c r="K449" s="793"/>
      <c r="L449" s="700">
        <v>1000</v>
      </c>
      <c r="M449" s="700"/>
      <c r="N449" s="700">
        <f t="shared" si="72"/>
        <v>1000</v>
      </c>
      <c r="O449" s="131"/>
      <c r="P449" s="701">
        <f t="shared" si="73"/>
        <v>1000</v>
      </c>
      <c r="Q449" s="701">
        <f t="shared" si="74"/>
        <v>0</v>
      </c>
      <c r="R449" s="701">
        <f t="shared" si="75"/>
        <v>1000</v>
      </c>
    </row>
    <row r="450" spans="2:18" ht="22.5" x14ac:dyDescent="0.2">
      <c r="B450" s="655">
        <f t="shared" si="70"/>
        <v>63</v>
      </c>
      <c r="C450" s="664"/>
      <c r="D450" s="664"/>
      <c r="E450" s="676" t="s">
        <v>235</v>
      </c>
      <c r="F450" s="706">
        <v>717</v>
      </c>
      <c r="G450" s="707" t="s">
        <v>807</v>
      </c>
      <c r="H450" s="700"/>
      <c r="I450" s="700"/>
      <c r="J450" s="700"/>
      <c r="K450" s="793"/>
      <c r="L450" s="700">
        <f>3000+6500</f>
        <v>9500</v>
      </c>
      <c r="M450" s="700"/>
      <c r="N450" s="700">
        <f t="shared" si="72"/>
        <v>9500</v>
      </c>
      <c r="O450" s="131"/>
      <c r="P450" s="701">
        <f t="shared" si="73"/>
        <v>9500</v>
      </c>
      <c r="Q450" s="701">
        <f t="shared" si="74"/>
        <v>0</v>
      </c>
      <c r="R450" s="701">
        <f t="shared" si="75"/>
        <v>9500</v>
      </c>
    </row>
    <row r="451" spans="2:18" ht="22.5" x14ac:dyDescent="0.2">
      <c r="B451" s="655">
        <f t="shared" si="70"/>
        <v>64</v>
      </c>
      <c r="C451" s="664"/>
      <c r="D451" s="664"/>
      <c r="E451" s="676" t="s">
        <v>235</v>
      </c>
      <c r="F451" s="706">
        <v>717</v>
      </c>
      <c r="G451" s="707" t="s">
        <v>808</v>
      </c>
      <c r="H451" s="700"/>
      <c r="I451" s="700"/>
      <c r="J451" s="700"/>
      <c r="K451" s="793"/>
      <c r="L451" s="700">
        <v>5000</v>
      </c>
      <c r="M451" s="700"/>
      <c r="N451" s="700">
        <f t="shared" si="72"/>
        <v>5000</v>
      </c>
      <c r="O451" s="131"/>
      <c r="P451" s="701">
        <f t="shared" si="73"/>
        <v>5000</v>
      </c>
      <c r="Q451" s="701">
        <f t="shared" si="74"/>
        <v>0</v>
      </c>
      <c r="R451" s="701">
        <f t="shared" si="75"/>
        <v>5000</v>
      </c>
    </row>
    <row r="452" spans="2:18" x14ac:dyDescent="0.2">
      <c r="B452" s="655">
        <f t="shared" si="70"/>
        <v>65</v>
      </c>
      <c r="C452" s="664"/>
      <c r="D452" s="664"/>
      <c r="E452" s="676" t="s">
        <v>235</v>
      </c>
      <c r="F452" s="706">
        <v>717</v>
      </c>
      <c r="G452" s="707" t="s">
        <v>809</v>
      </c>
      <c r="H452" s="700"/>
      <c r="I452" s="700"/>
      <c r="J452" s="700"/>
      <c r="K452" s="793"/>
      <c r="L452" s="700">
        <f>20000-20000</f>
        <v>0</v>
      </c>
      <c r="M452" s="700"/>
      <c r="N452" s="700">
        <f t="shared" si="72"/>
        <v>0</v>
      </c>
      <c r="O452" s="131"/>
      <c r="P452" s="701">
        <f t="shared" si="73"/>
        <v>0</v>
      </c>
      <c r="Q452" s="701">
        <f t="shared" si="74"/>
        <v>0</v>
      </c>
      <c r="R452" s="701">
        <f t="shared" si="75"/>
        <v>0</v>
      </c>
    </row>
    <row r="453" spans="2:18" x14ac:dyDescent="0.2">
      <c r="B453" s="655">
        <f t="shared" si="70"/>
        <v>66</v>
      </c>
      <c r="C453" s="538"/>
      <c r="D453" s="538"/>
      <c r="E453" s="538" t="s">
        <v>235</v>
      </c>
      <c r="F453" s="718">
        <v>717</v>
      </c>
      <c r="G453" s="751" t="s">
        <v>793</v>
      </c>
      <c r="H453" s="709"/>
      <c r="I453" s="799"/>
      <c r="J453" s="799"/>
      <c r="K453" s="793"/>
      <c r="L453" s="709">
        <v>133000</v>
      </c>
      <c r="M453" s="799"/>
      <c r="N453" s="799">
        <f t="shared" si="72"/>
        <v>133000</v>
      </c>
      <c r="O453" s="131"/>
      <c r="P453" s="752">
        <f t="shared" si="73"/>
        <v>133000</v>
      </c>
      <c r="Q453" s="800">
        <f t="shared" si="74"/>
        <v>0</v>
      </c>
      <c r="R453" s="800">
        <f t="shared" si="75"/>
        <v>133000</v>
      </c>
    </row>
    <row r="454" spans="2:18" ht="13.5" thickBot="1" x14ac:dyDescent="0.25">
      <c r="B454" s="520">
        <f t="shared" si="70"/>
        <v>67</v>
      </c>
      <c r="C454" s="214"/>
      <c r="D454" s="214"/>
      <c r="E454" s="214" t="s">
        <v>235</v>
      </c>
      <c r="F454" s="214">
        <v>716</v>
      </c>
      <c r="G454" s="500" t="s">
        <v>828</v>
      </c>
      <c r="H454" s="372"/>
      <c r="I454" s="372"/>
      <c r="J454" s="372"/>
      <c r="K454" s="793"/>
      <c r="L454" s="372">
        <v>150000</v>
      </c>
      <c r="M454" s="372"/>
      <c r="N454" s="372">
        <f t="shared" si="72"/>
        <v>150000</v>
      </c>
      <c r="O454" s="131"/>
      <c r="P454" s="140">
        <f t="shared" si="73"/>
        <v>150000</v>
      </c>
      <c r="Q454" s="140">
        <f t="shared" si="74"/>
        <v>0</v>
      </c>
      <c r="R454" s="140">
        <f t="shared" si="75"/>
        <v>150000</v>
      </c>
    </row>
    <row r="496" spans="2:16" ht="27.75" thickBot="1" x14ac:dyDescent="0.4">
      <c r="B496" s="882" t="s">
        <v>232</v>
      </c>
      <c r="C496" s="882"/>
      <c r="D496" s="882"/>
      <c r="E496" s="882"/>
      <c r="F496" s="882"/>
      <c r="G496" s="882"/>
      <c r="H496" s="882"/>
      <c r="I496" s="247"/>
      <c r="J496" s="247"/>
      <c r="L496" s="247"/>
      <c r="M496" s="247"/>
      <c r="N496" s="247"/>
      <c r="P496" s="247"/>
    </row>
    <row r="497" spans="2:21" ht="13.5" customHeight="1" thickBot="1" x14ac:dyDescent="0.25">
      <c r="B497" s="874" t="s">
        <v>632</v>
      </c>
      <c r="C497" s="875"/>
      <c r="D497" s="875"/>
      <c r="E497" s="875"/>
      <c r="F497" s="875"/>
      <c r="G497" s="875"/>
      <c r="H497" s="875"/>
      <c r="I497" s="875"/>
      <c r="J497" s="875"/>
      <c r="K497" s="875"/>
      <c r="L497" s="875"/>
      <c r="M497" s="875"/>
      <c r="N497" s="876"/>
      <c r="O497" s="787"/>
      <c r="P497" s="867" t="s">
        <v>724</v>
      </c>
      <c r="Q497" s="867" t="s">
        <v>842</v>
      </c>
      <c r="R497" s="867" t="s">
        <v>724</v>
      </c>
    </row>
    <row r="498" spans="2:21" ht="13.5" customHeight="1" thickTop="1" x14ac:dyDescent="0.2">
      <c r="B498" s="523"/>
      <c r="C498" s="863" t="s">
        <v>478</v>
      </c>
      <c r="D498" s="863" t="s">
        <v>477</v>
      </c>
      <c r="E498" s="863" t="s">
        <v>475</v>
      </c>
      <c r="F498" s="863" t="s">
        <v>476</v>
      </c>
      <c r="G498" s="877" t="s">
        <v>3</v>
      </c>
      <c r="H498" s="870" t="s">
        <v>725</v>
      </c>
      <c r="I498" s="870" t="s">
        <v>842</v>
      </c>
      <c r="J498" s="870" t="s">
        <v>725</v>
      </c>
      <c r="K498" s="790"/>
      <c r="L498" s="872" t="s">
        <v>726</v>
      </c>
      <c r="M498" s="872" t="s">
        <v>842</v>
      </c>
      <c r="N498" s="872" t="s">
        <v>726</v>
      </c>
      <c r="O498" s="781"/>
      <c r="P498" s="868"/>
      <c r="Q498" s="868"/>
      <c r="R498" s="868"/>
    </row>
    <row r="499" spans="2:21" ht="47.25" customHeight="1" thickBot="1" x14ac:dyDescent="0.25">
      <c r="B499" s="523"/>
      <c r="C499" s="864"/>
      <c r="D499" s="864"/>
      <c r="E499" s="864"/>
      <c r="F499" s="864"/>
      <c r="G499" s="878"/>
      <c r="H499" s="871"/>
      <c r="I499" s="871"/>
      <c r="J499" s="871"/>
      <c r="K499" s="790"/>
      <c r="L499" s="873"/>
      <c r="M499" s="873"/>
      <c r="N499" s="873"/>
      <c r="O499" s="781"/>
      <c r="P499" s="869"/>
      <c r="Q499" s="869"/>
      <c r="R499" s="869"/>
    </row>
    <row r="500" spans="2:21" ht="19.5" thickTop="1" thickBot="1" x14ac:dyDescent="0.25">
      <c r="B500" s="524">
        <v>1</v>
      </c>
      <c r="C500" s="124" t="s">
        <v>233</v>
      </c>
      <c r="D500" s="110"/>
      <c r="E500" s="110"/>
      <c r="F500" s="110"/>
      <c r="G500" s="192"/>
      <c r="H500" s="442">
        <f>H501+H657+H858+H960+H1230</f>
        <v>12464646</v>
      </c>
      <c r="I500" s="442">
        <f>I501+I657+I858+I960+I1230</f>
        <v>4983</v>
      </c>
      <c r="J500" s="442">
        <f t="shared" ref="J500:J565" si="76">I500+H500</f>
        <v>12469629</v>
      </c>
      <c r="K500" s="783"/>
      <c r="L500" s="396">
        <f>L501+L657+L858+L960+L1230</f>
        <v>346436</v>
      </c>
      <c r="M500" s="396">
        <f>M501+M657+M858+M960+M1230</f>
        <v>0</v>
      </c>
      <c r="N500" s="396">
        <f>M500+L500</f>
        <v>346436</v>
      </c>
      <c r="O500" s="783"/>
      <c r="P500" s="379">
        <f t="shared" ref="P500:P532" si="77">H500+L500</f>
        <v>12811082</v>
      </c>
      <c r="Q500" s="379">
        <f t="shared" ref="Q500:Q565" si="78">I500+M500</f>
        <v>4983</v>
      </c>
      <c r="R500" s="379">
        <f t="shared" ref="R500:R565" si="79">Q500+P500</f>
        <v>12816065</v>
      </c>
    </row>
    <row r="501" spans="2:21" ht="16.5" thickTop="1" x14ac:dyDescent="0.25">
      <c r="B501" s="172">
        <f>B500+1</f>
        <v>2</v>
      </c>
      <c r="C501" s="22">
        <v>1</v>
      </c>
      <c r="D501" s="126" t="s">
        <v>106</v>
      </c>
      <c r="E501" s="23"/>
      <c r="F501" s="23"/>
      <c r="G501" s="193"/>
      <c r="H501" s="414">
        <f>H502+H653+H654+H655+H640+H651</f>
        <v>2899509</v>
      </c>
      <c r="I501" s="414">
        <f>I502+I653+I654+I655+I640+I651</f>
        <v>15910</v>
      </c>
      <c r="J501" s="414">
        <f t="shared" si="76"/>
        <v>2915419</v>
      </c>
      <c r="K501" s="784"/>
      <c r="L501" s="198">
        <f>L502</f>
        <v>87740</v>
      </c>
      <c r="M501" s="198">
        <f>M502</f>
        <v>0</v>
      </c>
      <c r="N501" s="198">
        <f>M501+L501</f>
        <v>87740</v>
      </c>
      <c r="O501" s="784"/>
      <c r="P501" s="377">
        <f t="shared" si="77"/>
        <v>2987249</v>
      </c>
      <c r="Q501" s="377">
        <f t="shared" si="78"/>
        <v>15910</v>
      </c>
      <c r="R501" s="377">
        <f t="shared" si="79"/>
        <v>3003159</v>
      </c>
    </row>
    <row r="502" spans="2:21" ht="15" x14ac:dyDescent="0.25">
      <c r="B502" s="172">
        <f t="shared" ref="B502:B567" si="80">B501+1</f>
        <v>3</v>
      </c>
      <c r="C502" s="144"/>
      <c r="D502" s="145"/>
      <c r="E502" s="171" t="s">
        <v>512</v>
      </c>
      <c r="F502" s="145"/>
      <c r="G502" s="202"/>
      <c r="H502" s="415">
        <f>H503+H511+H521+H528+H537+H547+H555+H565+H576+H586+H596+H606+H613+H621+H631</f>
        <v>2323885</v>
      </c>
      <c r="I502" s="415">
        <f>I503+I511+I521+I528+I537+I547+I555+I565+I576+I586+I596+I606+I613+I621+I631</f>
        <v>20120</v>
      </c>
      <c r="J502" s="415">
        <f t="shared" si="76"/>
        <v>2344005</v>
      </c>
      <c r="K502" s="330"/>
      <c r="L502" s="419">
        <f>L503+L511+L521+L528+L537+L547+L640+L555+L565+L576+L586+L596+L606+L613+L621+L631</f>
        <v>87740</v>
      </c>
      <c r="M502" s="419">
        <f>M503+M511+M521+M528+M537+M547+M640+M555+M565+M576+M586+M596+M606+M613+M621+M631</f>
        <v>0</v>
      </c>
      <c r="N502" s="419">
        <f>M502+L502</f>
        <v>87740</v>
      </c>
      <c r="O502" s="330"/>
      <c r="P502" s="338">
        <f t="shared" si="77"/>
        <v>2411625</v>
      </c>
      <c r="Q502" s="338">
        <f t="shared" si="78"/>
        <v>20120</v>
      </c>
      <c r="R502" s="338">
        <f t="shared" si="79"/>
        <v>2431745</v>
      </c>
    </row>
    <row r="503" spans="2:21" ht="15" x14ac:dyDescent="0.25">
      <c r="B503" s="172">
        <f t="shared" si="80"/>
        <v>4</v>
      </c>
      <c r="C503" s="75"/>
      <c r="D503" s="28" t="s">
        <v>4</v>
      </c>
      <c r="E503" s="175" t="s">
        <v>290</v>
      </c>
      <c r="F503" s="149" t="s">
        <v>340</v>
      </c>
      <c r="G503" s="239"/>
      <c r="H503" s="416">
        <f>SUM(H504:H506)</f>
        <v>115362</v>
      </c>
      <c r="I503" s="416">
        <f>SUM(I504:I506)</f>
        <v>2360</v>
      </c>
      <c r="J503" s="416">
        <f t="shared" si="76"/>
        <v>117722</v>
      </c>
      <c r="K503" s="330"/>
      <c r="L503" s="420"/>
      <c r="M503" s="420"/>
      <c r="N503" s="420"/>
      <c r="O503" s="330"/>
      <c r="P503" s="329">
        <f t="shared" si="77"/>
        <v>115362</v>
      </c>
      <c r="Q503" s="329">
        <f t="shared" si="78"/>
        <v>2360</v>
      </c>
      <c r="R503" s="329">
        <f t="shared" si="79"/>
        <v>117722</v>
      </c>
      <c r="U503" s="17"/>
    </row>
    <row r="504" spans="2:21" x14ac:dyDescent="0.2">
      <c r="B504" s="172">
        <f t="shared" si="80"/>
        <v>5</v>
      </c>
      <c r="C504" s="144"/>
      <c r="D504" s="145"/>
      <c r="E504" s="130"/>
      <c r="F504" s="145" t="s">
        <v>211</v>
      </c>
      <c r="G504" s="202" t="s">
        <v>506</v>
      </c>
      <c r="H504" s="375">
        <f>63745+3145</f>
        <v>66890</v>
      </c>
      <c r="I504" s="375">
        <v>1182</v>
      </c>
      <c r="J504" s="375">
        <f t="shared" si="76"/>
        <v>68072</v>
      </c>
      <c r="K504" s="147"/>
      <c r="L504" s="384"/>
      <c r="M504" s="384"/>
      <c r="N504" s="384"/>
      <c r="O504" s="147"/>
      <c r="P504" s="167">
        <f t="shared" si="77"/>
        <v>66890</v>
      </c>
      <c r="Q504" s="167">
        <f t="shared" si="78"/>
        <v>1182</v>
      </c>
      <c r="R504" s="167">
        <f t="shared" si="79"/>
        <v>68072</v>
      </c>
      <c r="U504" s="17"/>
    </row>
    <row r="505" spans="2:21" x14ac:dyDescent="0.2">
      <c r="B505" s="172">
        <f t="shared" si="80"/>
        <v>6</v>
      </c>
      <c r="C505" s="144"/>
      <c r="D505" s="145"/>
      <c r="E505" s="130"/>
      <c r="F505" s="145" t="s">
        <v>212</v>
      </c>
      <c r="G505" s="202" t="s">
        <v>259</v>
      </c>
      <c r="H505" s="375">
        <f>23675+1167</f>
        <v>24842</v>
      </c>
      <c r="I505" s="375">
        <v>378</v>
      </c>
      <c r="J505" s="375">
        <f t="shared" si="76"/>
        <v>25220</v>
      </c>
      <c r="K505" s="147"/>
      <c r="L505" s="384"/>
      <c r="M505" s="384"/>
      <c r="N505" s="384"/>
      <c r="O505" s="147"/>
      <c r="P505" s="167">
        <f t="shared" si="77"/>
        <v>24842</v>
      </c>
      <c r="Q505" s="167">
        <f t="shared" si="78"/>
        <v>378</v>
      </c>
      <c r="R505" s="167">
        <f t="shared" si="79"/>
        <v>25220</v>
      </c>
      <c r="U505" s="17"/>
    </row>
    <row r="506" spans="2:21" x14ac:dyDescent="0.2">
      <c r="B506" s="172">
        <f t="shared" si="80"/>
        <v>7</v>
      </c>
      <c r="C506" s="144"/>
      <c r="D506" s="145"/>
      <c r="E506" s="130"/>
      <c r="F506" s="145" t="s">
        <v>218</v>
      </c>
      <c r="G506" s="202" t="s">
        <v>341</v>
      </c>
      <c r="H506" s="375">
        <f>SUM(H507:H510)</f>
        <v>23630</v>
      </c>
      <c r="I506" s="375">
        <f>SUM(I507:I510)</f>
        <v>800</v>
      </c>
      <c r="J506" s="375">
        <f t="shared" si="76"/>
        <v>24430</v>
      </c>
      <c r="K506" s="147"/>
      <c r="L506" s="384"/>
      <c r="M506" s="384"/>
      <c r="N506" s="384"/>
      <c r="O506" s="147"/>
      <c r="P506" s="167">
        <f t="shared" si="77"/>
        <v>23630</v>
      </c>
      <c r="Q506" s="167">
        <f t="shared" si="78"/>
        <v>800</v>
      </c>
      <c r="R506" s="167">
        <f t="shared" si="79"/>
        <v>24430</v>
      </c>
      <c r="U506" s="17"/>
    </row>
    <row r="507" spans="2:21" x14ac:dyDescent="0.2">
      <c r="B507" s="172">
        <f t="shared" si="80"/>
        <v>8</v>
      </c>
      <c r="C507" s="129"/>
      <c r="D507" s="130"/>
      <c r="E507" s="130"/>
      <c r="F507" s="130" t="s">
        <v>199</v>
      </c>
      <c r="G507" s="194" t="s">
        <v>319</v>
      </c>
      <c r="H507" s="540">
        <v>15610</v>
      </c>
      <c r="I507" s="540"/>
      <c r="J507" s="540">
        <f t="shared" si="76"/>
        <v>15610</v>
      </c>
      <c r="K507" s="131"/>
      <c r="L507" s="143"/>
      <c r="M507" s="143"/>
      <c r="N507" s="143"/>
      <c r="O507" s="131"/>
      <c r="P507" s="168">
        <f t="shared" si="77"/>
        <v>15610</v>
      </c>
      <c r="Q507" s="168">
        <f t="shared" si="78"/>
        <v>0</v>
      </c>
      <c r="R507" s="168">
        <f t="shared" si="79"/>
        <v>15610</v>
      </c>
      <c r="U507" s="17"/>
    </row>
    <row r="508" spans="2:21" x14ac:dyDescent="0.2">
      <c r="B508" s="172">
        <f t="shared" si="80"/>
        <v>9</v>
      </c>
      <c r="C508" s="129"/>
      <c r="D508" s="130"/>
      <c r="E508" s="130"/>
      <c r="F508" s="130" t="s">
        <v>200</v>
      </c>
      <c r="G508" s="194" t="s">
        <v>247</v>
      </c>
      <c r="H508" s="540">
        <v>5320</v>
      </c>
      <c r="I508" s="540">
        <v>800</v>
      </c>
      <c r="J508" s="540">
        <f t="shared" si="76"/>
        <v>6120</v>
      </c>
      <c r="K508" s="131"/>
      <c r="L508" s="143"/>
      <c r="M508" s="143"/>
      <c r="N508" s="143"/>
      <c r="O508" s="131"/>
      <c r="P508" s="168">
        <f t="shared" si="77"/>
        <v>5320</v>
      </c>
      <c r="Q508" s="168">
        <f t="shared" si="78"/>
        <v>800</v>
      </c>
      <c r="R508" s="168">
        <f t="shared" si="79"/>
        <v>6120</v>
      </c>
    </row>
    <row r="509" spans="2:21" x14ac:dyDescent="0.2">
      <c r="B509" s="172">
        <f t="shared" si="80"/>
        <v>10</v>
      </c>
      <c r="C509" s="129"/>
      <c r="D509" s="130"/>
      <c r="E509" s="130"/>
      <c r="F509" s="130" t="s">
        <v>214</v>
      </c>
      <c r="G509" s="194" t="s">
        <v>261</v>
      </c>
      <c r="H509" s="540">
        <v>100</v>
      </c>
      <c r="I509" s="540"/>
      <c r="J509" s="540">
        <f t="shared" si="76"/>
        <v>100</v>
      </c>
      <c r="K509" s="131"/>
      <c r="L509" s="143"/>
      <c r="M509" s="143"/>
      <c r="N509" s="143"/>
      <c r="O509" s="131"/>
      <c r="P509" s="168">
        <f t="shared" si="77"/>
        <v>100</v>
      </c>
      <c r="Q509" s="168">
        <f t="shared" si="78"/>
        <v>0</v>
      </c>
      <c r="R509" s="168">
        <f t="shared" si="79"/>
        <v>100</v>
      </c>
    </row>
    <row r="510" spans="2:21" x14ac:dyDescent="0.2">
      <c r="B510" s="172">
        <f t="shared" si="80"/>
        <v>11</v>
      </c>
      <c r="C510" s="129"/>
      <c r="D510" s="130"/>
      <c r="E510" s="130"/>
      <c r="F510" s="130" t="s">
        <v>216</v>
      </c>
      <c r="G510" s="194" t="s">
        <v>248</v>
      </c>
      <c r="H510" s="540">
        <v>2600</v>
      </c>
      <c r="I510" s="540"/>
      <c r="J510" s="540">
        <f t="shared" si="76"/>
        <v>2600</v>
      </c>
      <c r="K510" s="131"/>
      <c r="L510" s="143"/>
      <c r="M510" s="143"/>
      <c r="N510" s="143"/>
      <c r="O510" s="131"/>
      <c r="P510" s="168">
        <f t="shared" si="77"/>
        <v>2600</v>
      </c>
      <c r="Q510" s="168">
        <f t="shared" si="78"/>
        <v>0</v>
      </c>
      <c r="R510" s="168">
        <f t="shared" si="79"/>
        <v>2600</v>
      </c>
      <c r="U510" s="17"/>
    </row>
    <row r="511" spans="2:21" ht="15" x14ac:dyDescent="0.25">
      <c r="B511" s="172">
        <f t="shared" si="80"/>
        <v>12</v>
      </c>
      <c r="C511" s="75"/>
      <c r="D511" s="28" t="s">
        <v>5</v>
      </c>
      <c r="E511" s="175" t="s">
        <v>290</v>
      </c>
      <c r="F511" s="149" t="s">
        <v>342</v>
      </c>
      <c r="G511" s="239"/>
      <c r="H511" s="416">
        <f>SUM(H512:H514)+H519</f>
        <v>148360</v>
      </c>
      <c r="I511" s="416">
        <f>SUM(I512:I514)+I519</f>
        <v>3956</v>
      </c>
      <c r="J511" s="416">
        <f t="shared" si="76"/>
        <v>152316</v>
      </c>
      <c r="K511" s="335"/>
      <c r="L511" s="420">
        <f>L520</f>
        <v>15000</v>
      </c>
      <c r="M511" s="420"/>
      <c r="N511" s="420">
        <f>M511+L511</f>
        <v>15000</v>
      </c>
      <c r="O511" s="335"/>
      <c r="P511" s="329">
        <f t="shared" si="77"/>
        <v>163360</v>
      </c>
      <c r="Q511" s="329">
        <f t="shared" si="78"/>
        <v>3956</v>
      </c>
      <c r="R511" s="329">
        <f t="shared" si="79"/>
        <v>167316</v>
      </c>
      <c r="U511" s="17"/>
    </row>
    <row r="512" spans="2:21" x14ac:dyDescent="0.2">
      <c r="B512" s="172">
        <f t="shared" si="80"/>
        <v>13</v>
      </c>
      <c r="C512" s="144"/>
      <c r="D512" s="145"/>
      <c r="E512" s="130"/>
      <c r="F512" s="145" t="s">
        <v>211</v>
      </c>
      <c r="G512" s="202" t="s">
        <v>506</v>
      </c>
      <c r="H512" s="375">
        <f>78130+3823</f>
        <v>81953</v>
      </c>
      <c r="I512" s="375">
        <v>1976</v>
      </c>
      <c r="J512" s="375">
        <f t="shared" si="76"/>
        <v>83929</v>
      </c>
      <c r="K512" s="147"/>
      <c r="L512" s="384"/>
      <c r="M512" s="384"/>
      <c r="N512" s="384"/>
      <c r="O512" s="147"/>
      <c r="P512" s="167">
        <f t="shared" si="77"/>
        <v>81953</v>
      </c>
      <c r="Q512" s="167">
        <f t="shared" si="78"/>
        <v>1976</v>
      </c>
      <c r="R512" s="167">
        <f t="shared" si="79"/>
        <v>83929</v>
      </c>
      <c r="U512" s="17"/>
    </row>
    <row r="513" spans="2:21" x14ac:dyDescent="0.2">
      <c r="B513" s="172">
        <f t="shared" si="80"/>
        <v>14</v>
      </c>
      <c r="C513" s="144"/>
      <c r="D513" s="145"/>
      <c r="E513" s="130"/>
      <c r="F513" s="145" t="s">
        <v>212</v>
      </c>
      <c r="G513" s="202" t="s">
        <v>259</v>
      </c>
      <c r="H513" s="375">
        <f>28760+1407</f>
        <v>30167</v>
      </c>
      <c r="I513" s="375">
        <v>1980</v>
      </c>
      <c r="J513" s="375">
        <f t="shared" si="76"/>
        <v>32147</v>
      </c>
      <c r="K513" s="147"/>
      <c r="L513" s="384"/>
      <c r="M513" s="384"/>
      <c r="N513" s="384"/>
      <c r="O513" s="147"/>
      <c r="P513" s="167">
        <f t="shared" si="77"/>
        <v>30167</v>
      </c>
      <c r="Q513" s="167">
        <f t="shared" si="78"/>
        <v>1980</v>
      </c>
      <c r="R513" s="167">
        <f t="shared" si="79"/>
        <v>32147</v>
      </c>
      <c r="U513" s="17"/>
    </row>
    <row r="514" spans="2:21" x14ac:dyDescent="0.2">
      <c r="B514" s="172">
        <f t="shared" si="80"/>
        <v>15</v>
      </c>
      <c r="C514" s="144"/>
      <c r="D514" s="145"/>
      <c r="E514" s="130"/>
      <c r="F514" s="145" t="s">
        <v>218</v>
      </c>
      <c r="G514" s="202" t="s">
        <v>341</v>
      </c>
      <c r="H514" s="375">
        <f>SUM(H515:H518)</f>
        <v>35000</v>
      </c>
      <c r="I514" s="375">
        <f>SUM(I515:I518)</f>
        <v>0</v>
      </c>
      <c r="J514" s="375">
        <f t="shared" si="76"/>
        <v>35000</v>
      </c>
      <c r="K514" s="147"/>
      <c r="L514" s="384"/>
      <c r="M514" s="384"/>
      <c r="N514" s="384"/>
      <c r="O514" s="147"/>
      <c r="P514" s="167">
        <f t="shared" si="77"/>
        <v>35000</v>
      </c>
      <c r="Q514" s="167">
        <f t="shared" si="78"/>
        <v>0</v>
      </c>
      <c r="R514" s="167">
        <f t="shared" si="79"/>
        <v>35000</v>
      </c>
    </row>
    <row r="515" spans="2:21" x14ac:dyDescent="0.2">
      <c r="B515" s="172">
        <f t="shared" si="80"/>
        <v>16</v>
      </c>
      <c r="C515" s="129"/>
      <c r="D515" s="130"/>
      <c r="E515" s="130"/>
      <c r="F515" s="130" t="s">
        <v>199</v>
      </c>
      <c r="G515" s="194" t="s">
        <v>319</v>
      </c>
      <c r="H515" s="540">
        <v>24950</v>
      </c>
      <c r="I515" s="540"/>
      <c r="J515" s="540">
        <f t="shared" si="76"/>
        <v>24950</v>
      </c>
      <c r="K515" s="131"/>
      <c r="L515" s="143"/>
      <c r="M515" s="143"/>
      <c r="N515" s="143"/>
      <c r="O515" s="131"/>
      <c r="P515" s="168">
        <f t="shared" si="77"/>
        <v>24950</v>
      </c>
      <c r="Q515" s="168">
        <f t="shared" si="78"/>
        <v>0</v>
      </c>
      <c r="R515" s="168">
        <f t="shared" si="79"/>
        <v>24950</v>
      </c>
    </row>
    <row r="516" spans="2:21" x14ac:dyDescent="0.2">
      <c r="B516" s="172">
        <f t="shared" si="80"/>
        <v>17</v>
      </c>
      <c r="C516" s="129"/>
      <c r="D516" s="130"/>
      <c r="E516" s="130"/>
      <c r="F516" s="130" t="s">
        <v>200</v>
      </c>
      <c r="G516" s="194" t="s">
        <v>247</v>
      </c>
      <c r="H516" s="540">
        <v>6580</v>
      </c>
      <c r="I516" s="540"/>
      <c r="J516" s="540">
        <f t="shared" si="76"/>
        <v>6580</v>
      </c>
      <c r="K516" s="131"/>
      <c r="L516" s="143"/>
      <c r="M516" s="143"/>
      <c r="N516" s="143"/>
      <c r="O516" s="131"/>
      <c r="P516" s="168">
        <f t="shared" si="77"/>
        <v>6580</v>
      </c>
      <c r="Q516" s="168">
        <f t="shared" si="78"/>
        <v>0</v>
      </c>
      <c r="R516" s="168">
        <f t="shared" si="79"/>
        <v>6580</v>
      </c>
    </row>
    <row r="517" spans="2:21" x14ac:dyDescent="0.2">
      <c r="B517" s="172">
        <f t="shared" si="80"/>
        <v>18</v>
      </c>
      <c r="C517" s="144"/>
      <c r="D517" s="130"/>
      <c r="E517" s="130"/>
      <c r="F517" s="130" t="s">
        <v>214</v>
      </c>
      <c r="G517" s="194" t="s">
        <v>261</v>
      </c>
      <c r="H517" s="540">
        <v>150</v>
      </c>
      <c r="I517" s="540"/>
      <c r="J517" s="540">
        <f t="shared" si="76"/>
        <v>150</v>
      </c>
      <c r="K517" s="147"/>
      <c r="L517" s="143"/>
      <c r="M517" s="143"/>
      <c r="N517" s="143"/>
      <c r="O517" s="147"/>
      <c r="P517" s="168">
        <f t="shared" si="77"/>
        <v>150</v>
      </c>
      <c r="Q517" s="168">
        <f t="shared" si="78"/>
        <v>0</v>
      </c>
      <c r="R517" s="168">
        <f t="shared" si="79"/>
        <v>150</v>
      </c>
    </row>
    <row r="518" spans="2:21" x14ac:dyDescent="0.2">
      <c r="B518" s="172">
        <f t="shared" si="80"/>
        <v>19</v>
      </c>
      <c r="C518" s="144"/>
      <c r="D518" s="130"/>
      <c r="E518" s="130"/>
      <c r="F518" s="130" t="s">
        <v>216</v>
      </c>
      <c r="G518" s="194" t="s">
        <v>248</v>
      </c>
      <c r="H518" s="540">
        <v>3320</v>
      </c>
      <c r="I518" s="540"/>
      <c r="J518" s="540">
        <f t="shared" si="76"/>
        <v>3320</v>
      </c>
      <c r="K518" s="147"/>
      <c r="L518" s="143"/>
      <c r="M518" s="143"/>
      <c r="N518" s="143"/>
      <c r="O518" s="147"/>
      <c r="P518" s="168">
        <f t="shared" si="77"/>
        <v>3320</v>
      </c>
      <c r="Q518" s="168">
        <f t="shared" si="78"/>
        <v>0</v>
      </c>
      <c r="R518" s="168">
        <f t="shared" si="79"/>
        <v>3320</v>
      </c>
    </row>
    <row r="519" spans="2:21" x14ac:dyDescent="0.2">
      <c r="B519" s="172">
        <f t="shared" si="80"/>
        <v>20</v>
      </c>
      <c r="C519" s="144"/>
      <c r="D519" s="130"/>
      <c r="E519" s="170"/>
      <c r="F519" s="282" t="s">
        <v>654</v>
      </c>
      <c r="G519" s="202" t="s">
        <v>667</v>
      </c>
      <c r="H519" s="375">
        <v>1240</v>
      </c>
      <c r="I519" s="375"/>
      <c r="J519" s="375">
        <f t="shared" si="76"/>
        <v>1240</v>
      </c>
      <c r="K519" s="147"/>
      <c r="L519" s="143"/>
      <c r="M519" s="143"/>
      <c r="N519" s="143"/>
      <c r="O519" s="147"/>
      <c r="P519" s="167">
        <f t="shared" si="77"/>
        <v>1240</v>
      </c>
      <c r="Q519" s="167">
        <f t="shared" si="78"/>
        <v>0</v>
      </c>
      <c r="R519" s="167">
        <f t="shared" si="79"/>
        <v>1240</v>
      </c>
    </row>
    <row r="520" spans="2:21" x14ac:dyDescent="0.2">
      <c r="B520" s="172">
        <f t="shared" si="80"/>
        <v>21</v>
      </c>
      <c r="C520" s="144"/>
      <c r="D520" s="130"/>
      <c r="E520" s="170"/>
      <c r="F520" s="282" t="s">
        <v>433</v>
      </c>
      <c r="G520" s="202" t="s">
        <v>858</v>
      </c>
      <c r="H520" s="375"/>
      <c r="I520" s="375"/>
      <c r="J520" s="375"/>
      <c r="K520" s="147"/>
      <c r="L520" s="384">
        <v>15000</v>
      </c>
      <c r="M520" s="384"/>
      <c r="N520" s="384">
        <f>M520+L520</f>
        <v>15000</v>
      </c>
      <c r="O520" s="147"/>
      <c r="P520" s="167">
        <f t="shared" ref="P520" si="81">H520+L520</f>
        <v>15000</v>
      </c>
      <c r="Q520" s="167">
        <f t="shared" ref="Q520" si="82">I520+M520</f>
        <v>0</v>
      </c>
      <c r="R520" s="167">
        <f t="shared" ref="R520" si="83">Q520+P520</f>
        <v>15000</v>
      </c>
    </row>
    <row r="521" spans="2:21" ht="15" x14ac:dyDescent="0.25">
      <c r="B521" s="172">
        <f t="shared" si="80"/>
        <v>22</v>
      </c>
      <c r="C521" s="144"/>
      <c r="D521" s="28" t="s">
        <v>6</v>
      </c>
      <c r="E521" s="175" t="s">
        <v>290</v>
      </c>
      <c r="F521" s="149" t="s">
        <v>343</v>
      </c>
      <c r="G521" s="239"/>
      <c r="H521" s="417">
        <f>SUM(H522:H524)</f>
        <v>119692</v>
      </c>
      <c r="I521" s="417">
        <f>SUM(I522:I524)</f>
        <v>2277</v>
      </c>
      <c r="J521" s="417">
        <f t="shared" si="76"/>
        <v>121969</v>
      </c>
      <c r="K521" s="330"/>
      <c r="L521" s="421"/>
      <c r="M521" s="421"/>
      <c r="N521" s="421"/>
      <c r="O521" s="330"/>
      <c r="P521" s="328">
        <f t="shared" si="77"/>
        <v>119692</v>
      </c>
      <c r="Q521" s="328">
        <f t="shared" si="78"/>
        <v>2277</v>
      </c>
      <c r="R521" s="328">
        <f t="shared" si="79"/>
        <v>121969</v>
      </c>
    </row>
    <row r="522" spans="2:21" x14ac:dyDescent="0.2">
      <c r="B522" s="172">
        <f t="shared" si="80"/>
        <v>23</v>
      </c>
      <c r="C522" s="144"/>
      <c r="D522" s="145"/>
      <c r="E522" s="145"/>
      <c r="F522" s="145" t="s">
        <v>211</v>
      </c>
      <c r="G522" s="202" t="s">
        <v>506</v>
      </c>
      <c r="H522" s="375">
        <f>63905+3153</f>
        <v>67058</v>
      </c>
      <c r="I522" s="375">
        <v>1526</v>
      </c>
      <c r="J522" s="375">
        <f t="shared" si="76"/>
        <v>68584</v>
      </c>
      <c r="K522" s="147"/>
      <c r="L522" s="143"/>
      <c r="M522" s="143"/>
      <c r="N522" s="143"/>
      <c r="O522" s="147"/>
      <c r="P522" s="167">
        <f t="shared" si="77"/>
        <v>67058</v>
      </c>
      <c r="Q522" s="167">
        <f t="shared" si="78"/>
        <v>1526</v>
      </c>
      <c r="R522" s="167">
        <f t="shared" si="79"/>
        <v>68584</v>
      </c>
    </row>
    <row r="523" spans="2:21" x14ac:dyDescent="0.2">
      <c r="B523" s="172">
        <f t="shared" si="80"/>
        <v>24</v>
      </c>
      <c r="C523" s="144"/>
      <c r="D523" s="145"/>
      <c r="E523" s="145"/>
      <c r="F523" s="145" t="s">
        <v>212</v>
      </c>
      <c r="G523" s="202" t="s">
        <v>259</v>
      </c>
      <c r="H523" s="375">
        <f>23600+1164</f>
        <v>24764</v>
      </c>
      <c r="I523" s="375">
        <v>751</v>
      </c>
      <c r="J523" s="375">
        <f t="shared" si="76"/>
        <v>25515</v>
      </c>
      <c r="K523" s="147"/>
      <c r="L523" s="143"/>
      <c r="M523" s="143"/>
      <c r="N523" s="143"/>
      <c r="O523" s="147"/>
      <c r="P523" s="167">
        <f t="shared" si="77"/>
        <v>24764</v>
      </c>
      <c r="Q523" s="167">
        <f t="shared" si="78"/>
        <v>751</v>
      </c>
      <c r="R523" s="167">
        <f t="shared" si="79"/>
        <v>25515</v>
      </c>
    </row>
    <row r="524" spans="2:21" x14ac:dyDescent="0.2">
      <c r="B524" s="172">
        <f t="shared" si="80"/>
        <v>25</v>
      </c>
      <c r="C524" s="144"/>
      <c r="D524" s="145"/>
      <c r="E524" s="145"/>
      <c r="F524" s="145" t="s">
        <v>218</v>
      </c>
      <c r="G524" s="202" t="s">
        <v>341</v>
      </c>
      <c r="H524" s="375">
        <f>SUM(H525:H527)</f>
        <v>27870</v>
      </c>
      <c r="I524" s="375">
        <f>SUM(I525:I527)</f>
        <v>0</v>
      </c>
      <c r="J524" s="375">
        <f t="shared" si="76"/>
        <v>27870</v>
      </c>
      <c r="K524" s="147"/>
      <c r="L524" s="143"/>
      <c r="M524" s="143"/>
      <c r="N524" s="143"/>
      <c r="O524" s="147"/>
      <c r="P524" s="167">
        <f t="shared" si="77"/>
        <v>27870</v>
      </c>
      <c r="Q524" s="167">
        <f t="shared" si="78"/>
        <v>0</v>
      </c>
      <c r="R524" s="167">
        <f t="shared" si="79"/>
        <v>27870</v>
      </c>
    </row>
    <row r="525" spans="2:21" x14ac:dyDescent="0.2">
      <c r="B525" s="172">
        <f t="shared" si="80"/>
        <v>26</v>
      </c>
      <c r="C525" s="144"/>
      <c r="D525" s="130"/>
      <c r="E525" s="130"/>
      <c r="F525" s="130" t="s">
        <v>199</v>
      </c>
      <c r="G525" s="194" t="s">
        <v>319</v>
      </c>
      <c r="H525" s="540">
        <v>18600</v>
      </c>
      <c r="I525" s="540"/>
      <c r="J525" s="540">
        <f t="shared" si="76"/>
        <v>18600</v>
      </c>
      <c r="K525" s="147"/>
      <c r="L525" s="143"/>
      <c r="M525" s="143"/>
      <c r="N525" s="143"/>
      <c r="O525" s="147"/>
      <c r="P525" s="168">
        <f t="shared" si="77"/>
        <v>18600</v>
      </c>
      <c r="Q525" s="168">
        <f t="shared" si="78"/>
        <v>0</v>
      </c>
      <c r="R525" s="168">
        <f t="shared" si="79"/>
        <v>18600</v>
      </c>
    </row>
    <row r="526" spans="2:21" x14ac:dyDescent="0.2">
      <c r="B526" s="172">
        <f t="shared" si="80"/>
        <v>27</v>
      </c>
      <c r="C526" s="144"/>
      <c r="D526" s="130"/>
      <c r="E526" s="130"/>
      <c r="F526" s="130" t="s">
        <v>200</v>
      </c>
      <c r="G526" s="194" t="s">
        <v>247</v>
      </c>
      <c r="H526" s="540">
        <v>6800</v>
      </c>
      <c r="I526" s="540"/>
      <c r="J526" s="540">
        <f t="shared" si="76"/>
        <v>6800</v>
      </c>
      <c r="K526" s="147"/>
      <c r="L526" s="143"/>
      <c r="M526" s="143"/>
      <c r="N526" s="143"/>
      <c r="O526" s="147"/>
      <c r="P526" s="168">
        <f t="shared" si="77"/>
        <v>6800</v>
      </c>
      <c r="Q526" s="168">
        <f t="shared" si="78"/>
        <v>0</v>
      </c>
      <c r="R526" s="168">
        <f t="shared" si="79"/>
        <v>6800</v>
      </c>
    </row>
    <row r="527" spans="2:21" x14ac:dyDescent="0.2">
      <c r="B527" s="172">
        <f t="shared" si="80"/>
        <v>28</v>
      </c>
      <c r="C527" s="144"/>
      <c r="D527" s="130"/>
      <c r="E527" s="148"/>
      <c r="F527" s="130" t="s">
        <v>216</v>
      </c>
      <c r="G527" s="194" t="s">
        <v>248</v>
      </c>
      <c r="H527" s="540">
        <v>2470</v>
      </c>
      <c r="I527" s="540"/>
      <c r="J527" s="540">
        <f t="shared" si="76"/>
        <v>2470</v>
      </c>
      <c r="K527" s="147"/>
      <c r="L527" s="141"/>
      <c r="M527" s="141"/>
      <c r="N527" s="141"/>
      <c r="O527" s="147"/>
      <c r="P527" s="169">
        <f t="shared" si="77"/>
        <v>2470</v>
      </c>
      <c r="Q527" s="169">
        <f t="shared" si="78"/>
        <v>0</v>
      </c>
      <c r="R527" s="169">
        <f t="shared" si="79"/>
        <v>2470</v>
      </c>
    </row>
    <row r="528" spans="2:21" ht="15" x14ac:dyDescent="0.25">
      <c r="B528" s="172">
        <f t="shared" si="80"/>
        <v>29</v>
      </c>
      <c r="C528" s="144"/>
      <c r="D528" s="28" t="s">
        <v>7</v>
      </c>
      <c r="E528" s="264" t="s">
        <v>290</v>
      </c>
      <c r="F528" s="265" t="s">
        <v>344</v>
      </c>
      <c r="G528" s="266"/>
      <c r="H528" s="418">
        <f>SUM(H529:H531)+H536</f>
        <v>169773</v>
      </c>
      <c r="I528" s="418">
        <f>SUM(I529:I531)+I536</f>
        <v>-12114</v>
      </c>
      <c r="J528" s="418">
        <f t="shared" si="76"/>
        <v>157659</v>
      </c>
      <c r="K528" s="330"/>
      <c r="L528" s="426"/>
      <c r="M528" s="426"/>
      <c r="N528" s="426"/>
      <c r="O528" s="330"/>
      <c r="P528" s="331">
        <f t="shared" si="77"/>
        <v>169773</v>
      </c>
      <c r="Q528" s="331">
        <f t="shared" si="78"/>
        <v>-12114</v>
      </c>
      <c r="R528" s="331">
        <f t="shared" si="79"/>
        <v>157659</v>
      </c>
    </row>
    <row r="529" spans="2:18" x14ac:dyDescent="0.2">
      <c r="B529" s="172">
        <f t="shared" si="80"/>
        <v>30</v>
      </c>
      <c r="C529" s="144"/>
      <c r="D529" s="145"/>
      <c r="E529" s="145"/>
      <c r="F529" s="145" t="s">
        <v>211</v>
      </c>
      <c r="G529" s="202" t="s">
        <v>506</v>
      </c>
      <c r="H529" s="375">
        <f>87030+4268</f>
        <v>91298</v>
      </c>
      <c r="I529" s="375">
        <v>-8523</v>
      </c>
      <c r="J529" s="375">
        <f t="shared" si="76"/>
        <v>82775</v>
      </c>
      <c r="K529" s="147"/>
      <c r="L529" s="141"/>
      <c r="M529" s="141"/>
      <c r="N529" s="141"/>
      <c r="O529" s="147"/>
      <c r="P529" s="167">
        <f t="shared" si="77"/>
        <v>91298</v>
      </c>
      <c r="Q529" s="167">
        <f t="shared" si="78"/>
        <v>-8523</v>
      </c>
      <c r="R529" s="167">
        <f t="shared" si="79"/>
        <v>82775</v>
      </c>
    </row>
    <row r="530" spans="2:18" x14ac:dyDescent="0.2">
      <c r="B530" s="172">
        <f t="shared" si="80"/>
        <v>31</v>
      </c>
      <c r="C530" s="144"/>
      <c r="D530" s="145"/>
      <c r="E530" s="145"/>
      <c r="F530" s="145" t="s">
        <v>212</v>
      </c>
      <c r="G530" s="202" t="s">
        <v>259</v>
      </c>
      <c r="H530" s="375">
        <f>32293+1582</f>
        <v>33875</v>
      </c>
      <c r="I530" s="375">
        <v>-3591</v>
      </c>
      <c r="J530" s="375">
        <f t="shared" si="76"/>
        <v>30284</v>
      </c>
      <c r="K530" s="147"/>
      <c r="L530" s="143"/>
      <c r="M530" s="143"/>
      <c r="N530" s="143"/>
      <c r="O530" s="147"/>
      <c r="P530" s="167">
        <f t="shared" si="77"/>
        <v>33875</v>
      </c>
      <c r="Q530" s="167">
        <f t="shared" si="78"/>
        <v>-3591</v>
      </c>
      <c r="R530" s="167">
        <f t="shared" si="79"/>
        <v>30284</v>
      </c>
    </row>
    <row r="531" spans="2:18" x14ac:dyDescent="0.2">
      <c r="B531" s="172">
        <f t="shared" si="80"/>
        <v>32</v>
      </c>
      <c r="C531" s="144"/>
      <c r="D531" s="145"/>
      <c r="E531" s="145"/>
      <c r="F531" s="145" t="s">
        <v>218</v>
      </c>
      <c r="G531" s="202" t="s">
        <v>341</v>
      </c>
      <c r="H531" s="375">
        <f>SUM(H532:H535)</f>
        <v>42500</v>
      </c>
      <c r="I531" s="375">
        <f>SUM(I532:I535)</f>
        <v>0</v>
      </c>
      <c r="J531" s="375">
        <f t="shared" si="76"/>
        <v>42500</v>
      </c>
      <c r="K531" s="147"/>
      <c r="L531" s="143"/>
      <c r="M531" s="143"/>
      <c r="N531" s="143"/>
      <c r="O531" s="147"/>
      <c r="P531" s="167">
        <f t="shared" si="77"/>
        <v>42500</v>
      </c>
      <c r="Q531" s="167">
        <f t="shared" si="78"/>
        <v>0</v>
      </c>
      <c r="R531" s="167">
        <f t="shared" si="79"/>
        <v>42500</v>
      </c>
    </row>
    <row r="532" spans="2:18" x14ac:dyDescent="0.2">
      <c r="B532" s="172">
        <f t="shared" si="80"/>
        <v>33</v>
      </c>
      <c r="C532" s="144"/>
      <c r="D532" s="130"/>
      <c r="E532" s="130"/>
      <c r="F532" s="130" t="s">
        <v>199</v>
      </c>
      <c r="G532" s="194" t="s">
        <v>319</v>
      </c>
      <c r="H532" s="540">
        <v>34250</v>
      </c>
      <c r="I532" s="540"/>
      <c r="J532" s="540">
        <f t="shared" si="76"/>
        <v>34250</v>
      </c>
      <c r="K532" s="147"/>
      <c r="L532" s="143"/>
      <c r="M532" s="143"/>
      <c r="N532" s="143"/>
      <c r="O532" s="147"/>
      <c r="P532" s="168">
        <f t="shared" si="77"/>
        <v>34250</v>
      </c>
      <c r="Q532" s="168">
        <f t="shared" si="78"/>
        <v>0</v>
      </c>
      <c r="R532" s="168">
        <f t="shared" si="79"/>
        <v>34250</v>
      </c>
    </row>
    <row r="533" spans="2:18" x14ac:dyDescent="0.2">
      <c r="B533" s="172">
        <f t="shared" si="80"/>
        <v>34</v>
      </c>
      <c r="C533" s="144"/>
      <c r="D533" s="130"/>
      <c r="E533" s="130"/>
      <c r="F533" s="130" t="s">
        <v>200</v>
      </c>
      <c r="G533" s="194" t="s">
        <v>247</v>
      </c>
      <c r="H533" s="540">
        <v>4930</v>
      </c>
      <c r="I533" s="540"/>
      <c r="J533" s="540">
        <f t="shared" si="76"/>
        <v>4930</v>
      </c>
      <c r="K533" s="147"/>
      <c r="L533" s="143"/>
      <c r="M533" s="143"/>
      <c r="N533" s="143"/>
      <c r="O533" s="147"/>
      <c r="P533" s="168">
        <f t="shared" ref="P533:P565" si="84">H533+L533</f>
        <v>4930</v>
      </c>
      <c r="Q533" s="168">
        <f t="shared" si="78"/>
        <v>0</v>
      </c>
      <c r="R533" s="168">
        <f t="shared" si="79"/>
        <v>4930</v>
      </c>
    </row>
    <row r="534" spans="2:18" x14ac:dyDescent="0.2">
      <c r="B534" s="172">
        <f t="shared" si="80"/>
        <v>35</v>
      </c>
      <c r="C534" s="144"/>
      <c r="D534" s="130"/>
      <c r="E534" s="148"/>
      <c r="F534" s="130" t="s">
        <v>214</v>
      </c>
      <c r="G534" s="194" t="s">
        <v>261</v>
      </c>
      <c r="H534" s="540">
        <v>150</v>
      </c>
      <c r="I534" s="540"/>
      <c r="J534" s="540">
        <f t="shared" si="76"/>
        <v>150</v>
      </c>
      <c r="K534" s="147"/>
      <c r="L534" s="143"/>
      <c r="M534" s="143"/>
      <c r="N534" s="143"/>
      <c r="O534" s="147"/>
      <c r="P534" s="168">
        <f t="shared" si="84"/>
        <v>150</v>
      </c>
      <c r="Q534" s="168">
        <f t="shared" si="78"/>
        <v>0</v>
      </c>
      <c r="R534" s="168">
        <f t="shared" si="79"/>
        <v>150</v>
      </c>
    </row>
    <row r="535" spans="2:18" x14ac:dyDescent="0.2">
      <c r="B535" s="172">
        <f t="shared" si="80"/>
        <v>36</v>
      </c>
      <c r="C535" s="144"/>
      <c r="D535" s="130"/>
      <c r="E535" s="148"/>
      <c r="F535" s="130" t="s">
        <v>216</v>
      </c>
      <c r="G535" s="194" t="s">
        <v>248</v>
      </c>
      <c r="H535" s="540">
        <v>3170</v>
      </c>
      <c r="I535" s="540"/>
      <c r="J535" s="540">
        <f t="shared" si="76"/>
        <v>3170</v>
      </c>
      <c r="K535" s="147"/>
      <c r="L535" s="143"/>
      <c r="M535" s="143"/>
      <c r="N535" s="143"/>
      <c r="O535" s="147"/>
      <c r="P535" s="168">
        <f t="shared" si="84"/>
        <v>3170</v>
      </c>
      <c r="Q535" s="168">
        <f t="shared" si="78"/>
        <v>0</v>
      </c>
      <c r="R535" s="168">
        <f t="shared" si="79"/>
        <v>3170</v>
      </c>
    </row>
    <row r="536" spans="2:18" x14ac:dyDescent="0.2">
      <c r="B536" s="172">
        <f t="shared" si="80"/>
        <v>37</v>
      </c>
      <c r="C536" s="144"/>
      <c r="D536" s="130"/>
      <c r="E536" s="148"/>
      <c r="F536" s="282" t="s">
        <v>654</v>
      </c>
      <c r="G536" s="202" t="s">
        <v>667</v>
      </c>
      <c r="H536" s="375">
        <v>2100</v>
      </c>
      <c r="I536" s="375"/>
      <c r="J536" s="375">
        <f t="shared" si="76"/>
        <v>2100</v>
      </c>
      <c r="K536" s="147"/>
      <c r="L536" s="143"/>
      <c r="M536" s="143"/>
      <c r="N536" s="143"/>
      <c r="O536" s="147"/>
      <c r="P536" s="167">
        <f t="shared" si="84"/>
        <v>2100</v>
      </c>
      <c r="Q536" s="167">
        <f t="shared" si="78"/>
        <v>0</v>
      </c>
      <c r="R536" s="167">
        <f t="shared" si="79"/>
        <v>2100</v>
      </c>
    </row>
    <row r="537" spans="2:18" ht="15" x14ac:dyDescent="0.25">
      <c r="B537" s="172">
        <f t="shared" si="80"/>
        <v>38</v>
      </c>
      <c r="C537" s="144"/>
      <c r="D537" s="28" t="s">
        <v>8</v>
      </c>
      <c r="E537" s="175" t="s">
        <v>290</v>
      </c>
      <c r="F537" s="149" t="s">
        <v>345</v>
      </c>
      <c r="G537" s="239"/>
      <c r="H537" s="416">
        <f>SUM(H538:H540)+H546</f>
        <v>151972</v>
      </c>
      <c r="I537" s="416">
        <f>SUM(I538:I540)+I546</f>
        <v>-5335</v>
      </c>
      <c r="J537" s="416">
        <f t="shared" si="76"/>
        <v>146637</v>
      </c>
      <c r="K537" s="330"/>
      <c r="L537" s="421"/>
      <c r="M537" s="421"/>
      <c r="N537" s="421"/>
      <c r="O537" s="330"/>
      <c r="P537" s="328">
        <f t="shared" si="84"/>
        <v>151972</v>
      </c>
      <c r="Q537" s="328">
        <f t="shared" si="78"/>
        <v>-5335</v>
      </c>
      <c r="R537" s="328">
        <f t="shared" si="79"/>
        <v>146637</v>
      </c>
    </row>
    <row r="538" spans="2:18" x14ac:dyDescent="0.2">
      <c r="B538" s="172">
        <f t="shared" si="80"/>
        <v>39</v>
      </c>
      <c r="C538" s="144"/>
      <c r="D538" s="145"/>
      <c r="E538" s="145"/>
      <c r="F538" s="145" t="s">
        <v>211</v>
      </c>
      <c r="G538" s="202" t="s">
        <v>506</v>
      </c>
      <c r="H538" s="375">
        <f>80010+3917</f>
        <v>83927</v>
      </c>
      <c r="I538" s="375">
        <v>-4898</v>
      </c>
      <c r="J538" s="375">
        <f t="shared" si="76"/>
        <v>79029</v>
      </c>
      <c r="K538" s="147"/>
      <c r="L538" s="143"/>
      <c r="M538" s="143"/>
      <c r="N538" s="143"/>
      <c r="O538" s="147"/>
      <c r="P538" s="167">
        <f t="shared" si="84"/>
        <v>83927</v>
      </c>
      <c r="Q538" s="167">
        <f t="shared" si="78"/>
        <v>-4898</v>
      </c>
      <c r="R538" s="167">
        <f t="shared" si="79"/>
        <v>79029</v>
      </c>
    </row>
    <row r="539" spans="2:18" x14ac:dyDescent="0.2">
      <c r="B539" s="172">
        <f t="shared" si="80"/>
        <v>40</v>
      </c>
      <c r="C539" s="144"/>
      <c r="D539" s="145"/>
      <c r="E539" s="145"/>
      <c r="F539" s="145" t="s">
        <v>212</v>
      </c>
      <c r="G539" s="202" t="s">
        <v>259</v>
      </c>
      <c r="H539" s="375">
        <f>29589+1446</f>
        <v>31035</v>
      </c>
      <c r="I539" s="375">
        <v>-1437</v>
      </c>
      <c r="J539" s="375">
        <f t="shared" si="76"/>
        <v>29598</v>
      </c>
      <c r="K539" s="147"/>
      <c r="L539" s="143"/>
      <c r="M539" s="143"/>
      <c r="N539" s="143"/>
      <c r="O539" s="147"/>
      <c r="P539" s="167">
        <f t="shared" si="84"/>
        <v>31035</v>
      </c>
      <c r="Q539" s="167">
        <f t="shared" si="78"/>
        <v>-1437</v>
      </c>
      <c r="R539" s="167">
        <f t="shared" si="79"/>
        <v>29598</v>
      </c>
    </row>
    <row r="540" spans="2:18" x14ac:dyDescent="0.2">
      <c r="B540" s="172">
        <f t="shared" si="80"/>
        <v>41</v>
      </c>
      <c r="C540" s="144"/>
      <c r="D540" s="145"/>
      <c r="E540" s="145"/>
      <c r="F540" s="145" t="s">
        <v>218</v>
      </c>
      <c r="G540" s="202" t="s">
        <v>341</v>
      </c>
      <c r="H540" s="375">
        <f>SUM(H541:H545)</f>
        <v>35690</v>
      </c>
      <c r="I540" s="375">
        <f>SUM(I541:I545)</f>
        <v>1000</v>
      </c>
      <c r="J540" s="375">
        <f t="shared" si="76"/>
        <v>36690</v>
      </c>
      <c r="K540" s="147"/>
      <c r="L540" s="143"/>
      <c r="M540" s="143"/>
      <c r="N540" s="143"/>
      <c r="O540" s="147"/>
      <c r="P540" s="167">
        <f t="shared" si="84"/>
        <v>35690</v>
      </c>
      <c r="Q540" s="167">
        <f t="shared" si="78"/>
        <v>1000</v>
      </c>
      <c r="R540" s="167">
        <f t="shared" si="79"/>
        <v>36690</v>
      </c>
    </row>
    <row r="541" spans="2:18" x14ac:dyDescent="0.2">
      <c r="B541" s="172">
        <f t="shared" si="80"/>
        <v>42</v>
      </c>
      <c r="C541" s="144"/>
      <c r="D541" s="130"/>
      <c r="E541" s="130"/>
      <c r="F541" s="130" t="s">
        <v>199</v>
      </c>
      <c r="G541" s="194" t="s">
        <v>319</v>
      </c>
      <c r="H541" s="540">
        <v>24800</v>
      </c>
      <c r="I541" s="540"/>
      <c r="J541" s="540">
        <f t="shared" si="76"/>
        <v>24800</v>
      </c>
      <c r="K541" s="147"/>
      <c r="L541" s="143"/>
      <c r="M541" s="143"/>
      <c r="N541" s="143"/>
      <c r="O541" s="147"/>
      <c r="P541" s="168">
        <f t="shared" si="84"/>
        <v>24800</v>
      </c>
      <c r="Q541" s="168">
        <f t="shared" si="78"/>
        <v>0</v>
      </c>
      <c r="R541" s="168">
        <f t="shared" si="79"/>
        <v>24800</v>
      </c>
    </row>
    <row r="542" spans="2:18" x14ac:dyDescent="0.2">
      <c r="B542" s="172">
        <f t="shared" si="80"/>
        <v>43</v>
      </c>
      <c r="C542" s="144"/>
      <c r="D542" s="130"/>
      <c r="E542" s="130"/>
      <c r="F542" s="130" t="s">
        <v>200</v>
      </c>
      <c r="G542" s="194" t="s">
        <v>247</v>
      </c>
      <c r="H542" s="540">
        <v>6690</v>
      </c>
      <c r="I542" s="540"/>
      <c r="J542" s="540">
        <f t="shared" si="76"/>
        <v>6690</v>
      </c>
      <c r="K542" s="147"/>
      <c r="L542" s="143"/>
      <c r="M542" s="143"/>
      <c r="N542" s="143"/>
      <c r="O542" s="147"/>
      <c r="P542" s="168">
        <f t="shared" si="84"/>
        <v>6690</v>
      </c>
      <c r="Q542" s="168">
        <f t="shared" si="78"/>
        <v>0</v>
      </c>
      <c r="R542" s="168">
        <f t="shared" si="79"/>
        <v>6690</v>
      </c>
    </row>
    <row r="543" spans="2:18" x14ac:dyDescent="0.2">
      <c r="B543" s="172">
        <f t="shared" si="80"/>
        <v>44</v>
      </c>
      <c r="C543" s="144"/>
      <c r="D543" s="130"/>
      <c r="E543" s="179"/>
      <c r="F543" s="130" t="s">
        <v>201</v>
      </c>
      <c r="G543" s="194" t="s">
        <v>261</v>
      </c>
      <c r="H543" s="540">
        <v>0</v>
      </c>
      <c r="I543" s="540">
        <v>1000</v>
      </c>
      <c r="J543" s="540">
        <f t="shared" si="76"/>
        <v>1000</v>
      </c>
      <c r="K543" s="147"/>
      <c r="L543" s="143"/>
      <c r="M543" s="143"/>
      <c r="N543" s="143"/>
      <c r="O543" s="147"/>
      <c r="P543" s="168">
        <f t="shared" ref="P543" si="85">H543+L543</f>
        <v>0</v>
      </c>
      <c r="Q543" s="168">
        <f t="shared" ref="Q543" si="86">I543+M543</f>
        <v>1000</v>
      </c>
      <c r="R543" s="168">
        <f t="shared" ref="R543" si="87">Q543+P543</f>
        <v>1000</v>
      </c>
    </row>
    <row r="544" spans="2:18" x14ac:dyDescent="0.2">
      <c r="B544" s="172">
        <f t="shared" si="80"/>
        <v>45</v>
      </c>
      <c r="C544" s="144"/>
      <c r="D544" s="130"/>
      <c r="E544" s="148"/>
      <c r="F544" s="130" t="s">
        <v>216</v>
      </c>
      <c r="G544" s="194" t="s">
        <v>248</v>
      </c>
      <c r="H544" s="540">
        <v>3200</v>
      </c>
      <c r="I544" s="540"/>
      <c r="J544" s="540">
        <f t="shared" si="76"/>
        <v>3200</v>
      </c>
      <c r="K544" s="147"/>
      <c r="L544" s="143"/>
      <c r="M544" s="143"/>
      <c r="N544" s="143"/>
      <c r="O544" s="147"/>
      <c r="P544" s="168">
        <f t="shared" si="84"/>
        <v>3200</v>
      </c>
      <c r="Q544" s="168">
        <f t="shared" si="78"/>
        <v>0</v>
      </c>
      <c r="R544" s="168">
        <f t="shared" si="79"/>
        <v>3200</v>
      </c>
    </row>
    <row r="545" spans="2:18" x14ac:dyDescent="0.2">
      <c r="B545" s="172">
        <f t="shared" si="80"/>
        <v>46</v>
      </c>
      <c r="C545" s="144"/>
      <c r="D545" s="130"/>
      <c r="E545" s="148"/>
      <c r="F545" s="727" t="s">
        <v>214</v>
      </c>
      <c r="G545" s="714" t="s">
        <v>813</v>
      </c>
      <c r="H545" s="715">
        <v>1000</v>
      </c>
      <c r="I545" s="540"/>
      <c r="J545" s="540">
        <f t="shared" si="76"/>
        <v>1000</v>
      </c>
      <c r="K545" s="147"/>
      <c r="L545" s="728"/>
      <c r="M545" s="143"/>
      <c r="N545" s="143"/>
      <c r="O545" s="147"/>
      <c r="P545" s="729">
        <f t="shared" si="84"/>
        <v>1000</v>
      </c>
      <c r="Q545" s="168">
        <f t="shared" si="78"/>
        <v>0</v>
      </c>
      <c r="R545" s="168">
        <f t="shared" si="79"/>
        <v>1000</v>
      </c>
    </row>
    <row r="546" spans="2:18" x14ac:dyDescent="0.2">
      <c r="B546" s="172">
        <f t="shared" si="80"/>
        <v>47</v>
      </c>
      <c r="C546" s="144"/>
      <c r="D546" s="130"/>
      <c r="E546" s="148"/>
      <c r="F546" s="282" t="s">
        <v>654</v>
      </c>
      <c r="G546" s="202" t="s">
        <v>667</v>
      </c>
      <c r="H546" s="375">
        <v>1320</v>
      </c>
      <c r="I546" s="375"/>
      <c r="J546" s="375">
        <f t="shared" si="76"/>
        <v>1320</v>
      </c>
      <c r="K546" s="147"/>
      <c r="L546" s="143"/>
      <c r="M546" s="143"/>
      <c r="N546" s="143"/>
      <c r="O546" s="147"/>
      <c r="P546" s="167">
        <f t="shared" si="84"/>
        <v>1320</v>
      </c>
      <c r="Q546" s="167">
        <f t="shared" si="78"/>
        <v>0</v>
      </c>
      <c r="R546" s="167">
        <f t="shared" si="79"/>
        <v>1320</v>
      </c>
    </row>
    <row r="547" spans="2:18" ht="15" x14ac:dyDescent="0.25">
      <c r="B547" s="172">
        <f t="shared" si="80"/>
        <v>48</v>
      </c>
      <c r="C547" s="144"/>
      <c r="D547" s="28" t="s">
        <v>169</v>
      </c>
      <c r="E547" s="175" t="s">
        <v>290</v>
      </c>
      <c r="F547" s="149" t="s">
        <v>346</v>
      </c>
      <c r="G547" s="239"/>
      <c r="H547" s="416">
        <f>SUM(H548:H550)+H554</f>
        <v>217563</v>
      </c>
      <c r="I547" s="416">
        <f>SUM(I548:I550)+I554</f>
        <v>5975</v>
      </c>
      <c r="J547" s="416">
        <f t="shared" si="76"/>
        <v>223538</v>
      </c>
      <c r="K547" s="330"/>
      <c r="L547" s="422"/>
      <c r="M547" s="422"/>
      <c r="N547" s="422"/>
      <c r="O547" s="330"/>
      <c r="P547" s="328">
        <f t="shared" si="84"/>
        <v>217563</v>
      </c>
      <c r="Q547" s="328">
        <f t="shared" si="78"/>
        <v>5975</v>
      </c>
      <c r="R547" s="328">
        <f t="shared" si="79"/>
        <v>223538</v>
      </c>
    </row>
    <row r="548" spans="2:18" x14ac:dyDescent="0.2">
      <c r="B548" s="172">
        <f t="shared" si="80"/>
        <v>49</v>
      </c>
      <c r="C548" s="144"/>
      <c r="D548" s="145"/>
      <c r="E548" s="145"/>
      <c r="F548" s="145" t="s">
        <v>211</v>
      </c>
      <c r="G548" s="202" t="s">
        <v>506</v>
      </c>
      <c r="H548" s="375">
        <f>113520+5592</f>
        <v>119112</v>
      </c>
      <c r="I548" s="375">
        <v>3538</v>
      </c>
      <c r="J548" s="375">
        <f t="shared" si="76"/>
        <v>122650</v>
      </c>
      <c r="K548" s="147"/>
      <c r="L548" s="143"/>
      <c r="M548" s="143"/>
      <c r="N548" s="143"/>
      <c r="O548" s="147"/>
      <c r="P548" s="167">
        <f t="shared" si="84"/>
        <v>119112</v>
      </c>
      <c r="Q548" s="167">
        <f t="shared" si="78"/>
        <v>3538</v>
      </c>
      <c r="R548" s="167">
        <f t="shared" si="79"/>
        <v>122650</v>
      </c>
    </row>
    <row r="549" spans="2:18" x14ac:dyDescent="0.2">
      <c r="B549" s="172">
        <f t="shared" si="80"/>
        <v>50</v>
      </c>
      <c r="C549" s="144"/>
      <c r="D549" s="145"/>
      <c r="E549" s="145"/>
      <c r="F549" s="145" t="s">
        <v>212</v>
      </c>
      <c r="G549" s="202" t="s">
        <v>259</v>
      </c>
      <c r="H549" s="375">
        <f>41375+2036</f>
        <v>43411</v>
      </c>
      <c r="I549" s="375">
        <v>2437</v>
      </c>
      <c r="J549" s="375">
        <f t="shared" si="76"/>
        <v>45848</v>
      </c>
      <c r="K549" s="147"/>
      <c r="L549" s="143"/>
      <c r="M549" s="143"/>
      <c r="N549" s="143"/>
      <c r="O549" s="147"/>
      <c r="P549" s="167">
        <f t="shared" si="84"/>
        <v>43411</v>
      </c>
      <c r="Q549" s="167">
        <f t="shared" si="78"/>
        <v>2437</v>
      </c>
      <c r="R549" s="167">
        <f t="shared" si="79"/>
        <v>45848</v>
      </c>
    </row>
    <row r="550" spans="2:18" x14ac:dyDescent="0.2">
      <c r="B550" s="172">
        <f t="shared" si="80"/>
        <v>51</v>
      </c>
      <c r="C550" s="144"/>
      <c r="D550" s="145"/>
      <c r="E550" s="145"/>
      <c r="F550" s="145" t="s">
        <v>218</v>
      </c>
      <c r="G550" s="202" t="s">
        <v>341</v>
      </c>
      <c r="H550" s="375">
        <f>SUM(H551:H553)</f>
        <v>53020</v>
      </c>
      <c r="I550" s="375">
        <f>SUM(I551:I553)</f>
        <v>0</v>
      </c>
      <c r="J550" s="375">
        <f t="shared" si="76"/>
        <v>53020</v>
      </c>
      <c r="K550" s="147"/>
      <c r="L550" s="143"/>
      <c r="M550" s="143"/>
      <c r="N550" s="143"/>
      <c r="O550" s="147"/>
      <c r="P550" s="167">
        <f t="shared" si="84"/>
        <v>53020</v>
      </c>
      <c r="Q550" s="167">
        <f t="shared" si="78"/>
        <v>0</v>
      </c>
      <c r="R550" s="167">
        <f t="shared" si="79"/>
        <v>53020</v>
      </c>
    </row>
    <row r="551" spans="2:18" x14ac:dyDescent="0.2">
      <c r="B551" s="172">
        <f t="shared" si="80"/>
        <v>52</v>
      </c>
      <c r="C551" s="144"/>
      <c r="D551" s="130"/>
      <c r="E551" s="130"/>
      <c r="F551" s="130" t="s">
        <v>199</v>
      </c>
      <c r="G551" s="194" t="s">
        <v>319</v>
      </c>
      <c r="H551" s="540">
        <v>38850</v>
      </c>
      <c r="I551" s="540"/>
      <c r="J551" s="540">
        <f t="shared" si="76"/>
        <v>38850</v>
      </c>
      <c r="K551" s="147"/>
      <c r="L551" s="143"/>
      <c r="M551" s="143"/>
      <c r="N551" s="143"/>
      <c r="O551" s="147"/>
      <c r="P551" s="168">
        <f t="shared" si="84"/>
        <v>38850</v>
      </c>
      <c r="Q551" s="168">
        <f t="shared" si="78"/>
        <v>0</v>
      </c>
      <c r="R551" s="168">
        <f t="shared" si="79"/>
        <v>38850</v>
      </c>
    </row>
    <row r="552" spans="2:18" x14ac:dyDescent="0.2">
      <c r="B552" s="172">
        <f t="shared" si="80"/>
        <v>53</v>
      </c>
      <c r="C552" s="144"/>
      <c r="D552" s="130"/>
      <c r="E552" s="130"/>
      <c r="F552" s="130" t="s">
        <v>200</v>
      </c>
      <c r="G552" s="194" t="s">
        <v>247</v>
      </c>
      <c r="H552" s="540">
        <f>8420+1100</f>
        <v>9520</v>
      </c>
      <c r="I552" s="540"/>
      <c r="J552" s="540">
        <f t="shared" si="76"/>
        <v>9520</v>
      </c>
      <c r="K552" s="147"/>
      <c r="L552" s="143"/>
      <c r="M552" s="143"/>
      <c r="N552" s="143"/>
      <c r="O552" s="147"/>
      <c r="P552" s="168">
        <f t="shared" si="84"/>
        <v>9520</v>
      </c>
      <c r="Q552" s="168">
        <f t="shared" si="78"/>
        <v>0</v>
      </c>
      <c r="R552" s="168">
        <f t="shared" si="79"/>
        <v>9520</v>
      </c>
    </row>
    <row r="553" spans="2:18" x14ac:dyDescent="0.2">
      <c r="B553" s="172">
        <f t="shared" si="80"/>
        <v>54</v>
      </c>
      <c r="C553" s="144"/>
      <c r="D553" s="130"/>
      <c r="E553" s="148"/>
      <c r="F553" s="130" t="s">
        <v>216</v>
      </c>
      <c r="G553" s="194" t="s">
        <v>248</v>
      </c>
      <c r="H553" s="540">
        <v>4650</v>
      </c>
      <c r="I553" s="540"/>
      <c r="J553" s="540">
        <f t="shared" si="76"/>
        <v>4650</v>
      </c>
      <c r="K553" s="147"/>
      <c r="L553" s="143"/>
      <c r="M553" s="143"/>
      <c r="N553" s="143"/>
      <c r="O553" s="147"/>
      <c r="P553" s="168">
        <f t="shared" si="84"/>
        <v>4650</v>
      </c>
      <c r="Q553" s="168">
        <f t="shared" si="78"/>
        <v>0</v>
      </c>
      <c r="R553" s="168">
        <f t="shared" si="79"/>
        <v>4650</v>
      </c>
    </row>
    <row r="554" spans="2:18" x14ac:dyDescent="0.2">
      <c r="B554" s="172">
        <f t="shared" si="80"/>
        <v>55</v>
      </c>
      <c r="C554" s="144"/>
      <c r="D554" s="130"/>
      <c r="E554" s="148"/>
      <c r="F554" s="282" t="s">
        <v>654</v>
      </c>
      <c r="G554" s="202" t="s">
        <v>667</v>
      </c>
      <c r="H554" s="375">
        <v>2020</v>
      </c>
      <c r="I554" s="375"/>
      <c r="J554" s="375">
        <f t="shared" si="76"/>
        <v>2020</v>
      </c>
      <c r="K554" s="147"/>
      <c r="L554" s="143"/>
      <c r="M554" s="143"/>
      <c r="N554" s="143"/>
      <c r="O554" s="147"/>
      <c r="P554" s="167">
        <f t="shared" si="84"/>
        <v>2020</v>
      </c>
      <c r="Q554" s="167">
        <f t="shared" si="78"/>
        <v>0</v>
      </c>
      <c r="R554" s="167">
        <f t="shared" si="79"/>
        <v>2020</v>
      </c>
    </row>
    <row r="555" spans="2:18" ht="15" x14ac:dyDescent="0.25">
      <c r="B555" s="172">
        <f t="shared" si="80"/>
        <v>56</v>
      </c>
      <c r="C555" s="144"/>
      <c r="D555" s="28" t="s">
        <v>348</v>
      </c>
      <c r="E555" s="175" t="s">
        <v>290</v>
      </c>
      <c r="F555" s="149" t="s">
        <v>349</v>
      </c>
      <c r="G555" s="239"/>
      <c r="H555" s="416">
        <f>SUM(H556:H558)+H564</f>
        <v>230071</v>
      </c>
      <c r="I555" s="416">
        <f>SUM(I556:I558)+I564</f>
        <v>6850</v>
      </c>
      <c r="J555" s="416">
        <f t="shared" si="76"/>
        <v>236921</v>
      </c>
      <c r="K555" s="330"/>
      <c r="L555" s="421"/>
      <c r="M555" s="421"/>
      <c r="N555" s="421"/>
      <c r="O555" s="330"/>
      <c r="P555" s="328">
        <f t="shared" si="84"/>
        <v>230071</v>
      </c>
      <c r="Q555" s="328">
        <f t="shared" si="78"/>
        <v>6850</v>
      </c>
      <c r="R555" s="328">
        <f t="shared" si="79"/>
        <v>236921</v>
      </c>
    </row>
    <row r="556" spans="2:18" x14ac:dyDescent="0.2">
      <c r="B556" s="172">
        <f t="shared" si="80"/>
        <v>57</v>
      </c>
      <c r="C556" s="144"/>
      <c r="D556" s="145"/>
      <c r="E556" s="145"/>
      <c r="F556" s="145" t="s">
        <v>211</v>
      </c>
      <c r="G556" s="202" t="s">
        <v>506</v>
      </c>
      <c r="H556" s="375">
        <f>113960+5614</f>
        <v>119574</v>
      </c>
      <c r="I556" s="375">
        <v>4169</v>
      </c>
      <c r="J556" s="375">
        <f t="shared" si="76"/>
        <v>123743</v>
      </c>
      <c r="K556" s="147"/>
      <c r="L556" s="143"/>
      <c r="M556" s="143"/>
      <c r="N556" s="143"/>
      <c r="O556" s="147"/>
      <c r="P556" s="167">
        <f t="shared" si="84"/>
        <v>119574</v>
      </c>
      <c r="Q556" s="167">
        <f t="shared" si="78"/>
        <v>4169</v>
      </c>
      <c r="R556" s="167">
        <f t="shared" si="79"/>
        <v>123743</v>
      </c>
    </row>
    <row r="557" spans="2:18" x14ac:dyDescent="0.2">
      <c r="B557" s="172">
        <f t="shared" si="80"/>
        <v>58</v>
      </c>
      <c r="C557" s="144"/>
      <c r="D557" s="145"/>
      <c r="E557" s="145"/>
      <c r="F557" s="145" t="s">
        <v>212</v>
      </c>
      <c r="G557" s="202" t="s">
        <v>259</v>
      </c>
      <c r="H557" s="375">
        <f>41305+2032</f>
        <v>43337</v>
      </c>
      <c r="I557" s="375">
        <v>2681</v>
      </c>
      <c r="J557" s="375">
        <f t="shared" si="76"/>
        <v>46018</v>
      </c>
      <c r="K557" s="147"/>
      <c r="L557" s="143"/>
      <c r="M557" s="143"/>
      <c r="N557" s="143"/>
      <c r="O557" s="147"/>
      <c r="P557" s="167">
        <f t="shared" si="84"/>
        <v>43337</v>
      </c>
      <c r="Q557" s="167">
        <f t="shared" si="78"/>
        <v>2681</v>
      </c>
      <c r="R557" s="167">
        <f t="shared" si="79"/>
        <v>46018</v>
      </c>
    </row>
    <row r="558" spans="2:18" x14ac:dyDescent="0.2">
      <c r="B558" s="172">
        <f t="shared" si="80"/>
        <v>59</v>
      </c>
      <c r="C558" s="144"/>
      <c r="D558" s="145"/>
      <c r="E558" s="145"/>
      <c r="F558" s="145" t="s">
        <v>218</v>
      </c>
      <c r="G558" s="202" t="s">
        <v>341</v>
      </c>
      <c r="H558" s="375">
        <f>SUM(H559:H563)</f>
        <v>63120</v>
      </c>
      <c r="I558" s="375">
        <f>SUM(I559:I563)</f>
        <v>0</v>
      </c>
      <c r="J558" s="375">
        <f t="shared" si="76"/>
        <v>63120</v>
      </c>
      <c r="K558" s="147"/>
      <c r="L558" s="143"/>
      <c r="M558" s="143"/>
      <c r="N558" s="143"/>
      <c r="O558" s="147"/>
      <c r="P558" s="167">
        <f t="shared" si="84"/>
        <v>63120</v>
      </c>
      <c r="Q558" s="167">
        <f t="shared" si="78"/>
        <v>0</v>
      </c>
      <c r="R558" s="167">
        <f t="shared" si="79"/>
        <v>63120</v>
      </c>
    </row>
    <row r="559" spans="2:18" x14ac:dyDescent="0.2">
      <c r="B559" s="172">
        <f t="shared" si="80"/>
        <v>60</v>
      </c>
      <c r="C559" s="144"/>
      <c r="D559" s="130"/>
      <c r="E559" s="130"/>
      <c r="F559" s="130" t="s">
        <v>199</v>
      </c>
      <c r="G559" s="194" t="s">
        <v>319</v>
      </c>
      <c r="H559" s="540">
        <v>48450</v>
      </c>
      <c r="I559" s="540"/>
      <c r="J559" s="540">
        <f t="shared" si="76"/>
        <v>48450</v>
      </c>
      <c r="K559" s="147"/>
      <c r="L559" s="143"/>
      <c r="M559" s="143"/>
      <c r="N559" s="143"/>
      <c r="O559" s="147"/>
      <c r="P559" s="168">
        <f t="shared" si="84"/>
        <v>48450</v>
      </c>
      <c r="Q559" s="168">
        <f t="shared" si="78"/>
        <v>0</v>
      </c>
      <c r="R559" s="168">
        <f t="shared" si="79"/>
        <v>48450</v>
      </c>
    </row>
    <row r="560" spans="2:18" x14ac:dyDescent="0.2">
      <c r="B560" s="172">
        <f t="shared" si="80"/>
        <v>61</v>
      </c>
      <c r="C560" s="144"/>
      <c r="D560" s="130"/>
      <c r="E560" s="130"/>
      <c r="F560" s="130" t="s">
        <v>200</v>
      </c>
      <c r="G560" s="194" t="s">
        <v>247</v>
      </c>
      <c r="H560" s="540">
        <v>8300</v>
      </c>
      <c r="I560" s="540"/>
      <c r="J560" s="540">
        <f t="shared" si="76"/>
        <v>8300</v>
      </c>
      <c r="K560" s="147"/>
      <c r="L560" s="143"/>
      <c r="M560" s="143"/>
      <c r="N560" s="143"/>
      <c r="O560" s="147"/>
      <c r="P560" s="168">
        <f t="shared" si="84"/>
        <v>8300</v>
      </c>
      <c r="Q560" s="168">
        <f t="shared" si="78"/>
        <v>0</v>
      </c>
      <c r="R560" s="168">
        <f t="shared" si="79"/>
        <v>8300</v>
      </c>
    </row>
    <row r="561" spans="2:18" x14ac:dyDescent="0.2">
      <c r="B561" s="172">
        <f t="shared" si="80"/>
        <v>62</v>
      </c>
      <c r="C561" s="144"/>
      <c r="D561" s="130"/>
      <c r="E561" s="179"/>
      <c r="F561" s="721" t="s">
        <v>200</v>
      </c>
      <c r="G561" s="722" t="s">
        <v>815</v>
      </c>
      <c r="H561" s="723">
        <v>2000</v>
      </c>
      <c r="I561" s="540"/>
      <c r="J561" s="540">
        <f t="shared" si="76"/>
        <v>2000</v>
      </c>
      <c r="K561" s="147"/>
      <c r="L561" s="724"/>
      <c r="M561" s="143"/>
      <c r="N561" s="143"/>
      <c r="O561" s="147"/>
      <c r="P561" s="725">
        <f t="shared" si="84"/>
        <v>2000</v>
      </c>
      <c r="Q561" s="168">
        <f t="shared" si="78"/>
        <v>0</v>
      </c>
      <c r="R561" s="168">
        <f t="shared" si="79"/>
        <v>2000</v>
      </c>
    </row>
    <row r="562" spans="2:18" x14ac:dyDescent="0.2">
      <c r="B562" s="172">
        <f t="shared" si="80"/>
        <v>63</v>
      </c>
      <c r="C562" s="144"/>
      <c r="D562" s="130"/>
      <c r="E562" s="148"/>
      <c r="F562" s="130" t="s">
        <v>214</v>
      </c>
      <c r="G562" s="194" t="s">
        <v>261</v>
      </c>
      <c r="H562" s="540">
        <v>150</v>
      </c>
      <c r="I562" s="540"/>
      <c r="J562" s="540">
        <f t="shared" si="76"/>
        <v>150</v>
      </c>
      <c r="K562" s="147"/>
      <c r="L562" s="143"/>
      <c r="M562" s="143"/>
      <c r="N562" s="143"/>
      <c r="O562" s="147"/>
      <c r="P562" s="168">
        <f t="shared" si="84"/>
        <v>150</v>
      </c>
      <c r="Q562" s="168">
        <f t="shared" si="78"/>
        <v>0</v>
      </c>
      <c r="R562" s="168">
        <f t="shared" si="79"/>
        <v>150</v>
      </c>
    </row>
    <row r="563" spans="2:18" x14ac:dyDescent="0.2">
      <c r="B563" s="172">
        <f t="shared" si="80"/>
        <v>64</v>
      </c>
      <c r="C563" s="144"/>
      <c r="D563" s="130"/>
      <c r="E563" s="148"/>
      <c r="F563" s="130" t="s">
        <v>216</v>
      </c>
      <c r="G563" s="194" t="s">
        <v>248</v>
      </c>
      <c r="H563" s="540">
        <v>4220</v>
      </c>
      <c r="I563" s="540"/>
      <c r="J563" s="540">
        <f t="shared" si="76"/>
        <v>4220</v>
      </c>
      <c r="K563" s="147"/>
      <c r="L563" s="143"/>
      <c r="M563" s="143"/>
      <c r="N563" s="143"/>
      <c r="O563" s="147"/>
      <c r="P563" s="168">
        <f t="shared" si="84"/>
        <v>4220</v>
      </c>
      <c r="Q563" s="168">
        <f t="shared" si="78"/>
        <v>0</v>
      </c>
      <c r="R563" s="168">
        <f t="shared" si="79"/>
        <v>4220</v>
      </c>
    </row>
    <row r="564" spans="2:18" x14ac:dyDescent="0.2">
      <c r="B564" s="172">
        <f t="shared" si="80"/>
        <v>65</v>
      </c>
      <c r="C564" s="144"/>
      <c r="D564" s="130"/>
      <c r="E564" s="148"/>
      <c r="F564" s="282" t="s">
        <v>654</v>
      </c>
      <c r="G564" s="202" t="s">
        <v>667</v>
      </c>
      <c r="H564" s="375">
        <v>4040</v>
      </c>
      <c r="I564" s="375"/>
      <c r="J564" s="375">
        <f t="shared" si="76"/>
        <v>4040</v>
      </c>
      <c r="K564" s="147"/>
      <c r="L564" s="143"/>
      <c r="M564" s="143"/>
      <c r="N564" s="143"/>
      <c r="O564" s="147"/>
      <c r="P564" s="167">
        <f t="shared" si="84"/>
        <v>4040</v>
      </c>
      <c r="Q564" s="167">
        <f t="shared" si="78"/>
        <v>0</v>
      </c>
      <c r="R564" s="167">
        <f t="shared" si="79"/>
        <v>4040</v>
      </c>
    </row>
    <row r="565" spans="2:18" ht="15" x14ac:dyDescent="0.25">
      <c r="B565" s="172">
        <f t="shared" si="80"/>
        <v>66</v>
      </c>
      <c r="C565" s="144"/>
      <c r="D565" s="28" t="s">
        <v>350</v>
      </c>
      <c r="E565" s="175" t="s">
        <v>290</v>
      </c>
      <c r="F565" s="149" t="s">
        <v>351</v>
      </c>
      <c r="G565" s="239"/>
      <c r="H565" s="416">
        <f>SUM(H566:H568)+H572</f>
        <v>134548</v>
      </c>
      <c r="I565" s="416">
        <f>SUM(I566:I568)+I572</f>
        <v>2464</v>
      </c>
      <c r="J565" s="416">
        <f t="shared" si="76"/>
        <v>137012</v>
      </c>
      <c r="K565" s="330"/>
      <c r="L565" s="421">
        <f>L573+L574+L575</f>
        <v>39000</v>
      </c>
      <c r="M565" s="421">
        <f>SUM(M566:M575)</f>
        <v>0</v>
      </c>
      <c r="N565" s="421">
        <f>M565+L565</f>
        <v>39000</v>
      </c>
      <c r="O565" s="330"/>
      <c r="P565" s="328">
        <f t="shared" si="84"/>
        <v>173548</v>
      </c>
      <c r="Q565" s="328">
        <f t="shared" si="78"/>
        <v>2464</v>
      </c>
      <c r="R565" s="328">
        <f t="shared" si="79"/>
        <v>176012</v>
      </c>
    </row>
    <row r="566" spans="2:18" x14ac:dyDescent="0.2">
      <c r="B566" s="172">
        <f t="shared" si="80"/>
        <v>67</v>
      </c>
      <c r="C566" s="144"/>
      <c r="D566" s="145"/>
      <c r="E566" s="145"/>
      <c r="F566" s="145" t="s">
        <v>211</v>
      </c>
      <c r="G566" s="202" t="s">
        <v>506</v>
      </c>
      <c r="H566" s="375">
        <f>65780+3247+6380</f>
        <v>75407</v>
      </c>
      <c r="I566" s="375">
        <v>1921</v>
      </c>
      <c r="J566" s="375">
        <f t="shared" ref="J566:J629" si="88">I566+H566</f>
        <v>77328</v>
      </c>
      <c r="K566" s="147"/>
      <c r="L566" s="143"/>
      <c r="M566" s="143"/>
      <c r="N566" s="143"/>
      <c r="O566" s="147"/>
      <c r="P566" s="167">
        <f t="shared" ref="P566:P597" si="89">H566+L566</f>
        <v>75407</v>
      </c>
      <c r="Q566" s="167">
        <f t="shared" ref="Q566:Q629" si="90">I566+M566</f>
        <v>1921</v>
      </c>
      <c r="R566" s="167">
        <f t="shared" ref="R566:R629" si="91">Q566+P566</f>
        <v>77328</v>
      </c>
    </row>
    <row r="567" spans="2:18" x14ac:dyDescent="0.2">
      <c r="B567" s="172">
        <f t="shared" si="80"/>
        <v>68</v>
      </c>
      <c r="C567" s="144"/>
      <c r="D567" s="145"/>
      <c r="E567" s="145"/>
      <c r="F567" s="145" t="s">
        <v>212</v>
      </c>
      <c r="G567" s="202" t="s">
        <v>259</v>
      </c>
      <c r="H567" s="375">
        <f>23626+1165+2260</f>
        <v>27051</v>
      </c>
      <c r="I567" s="375">
        <v>543</v>
      </c>
      <c r="J567" s="375">
        <f t="shared" si="88"/>
        <v>27594</v>
      </c>
      <c r="K567" s="147"/>
      <c r="L567" s="143"/>
      <c r="M567" s="143"/>
      <c r="N567" s="143"/>
      <c r="O567" s="147"/>
      <c r="P567" s="167">
        <f t="shared" si="89"/>
        <v>27051</v>
      </c>
      <c r="Q567" s="167">
        <f t="shared" si="90"/>
        <v>543</v>
      </c>
      <c r="R567" s="167">
        <f t="shared" si="91"/>
        <v>27594</v>
      </c>
    </row>
    <row r="568" spans="2:18" x14ac:dyDescent="0.2">
      <c r="B568" s="172">
        <f t="shared" ref="B568:B631" si="92">B567+1</f>
        <v>69</v>
      </c>
      <c r="C568" s="144"/>
      <c r="D568" s="145"/>
      <c r="E568" s="145"/>
      <c r="F568" s="145" t="s">
        <v>218</v>
      </c>
      <c r="G568" s="202" t="s">
        <v>341</v>
      </c>
      <c r="H568" s="375">
        <f>SUM(H569:H571)</f>
        <v>30780</v>
      </c>
      <c r="I568" s="375">
        <f>SUM(I569:I571)</f>
        <v>0</v>
      </c>
      <c r="J568" s="375">
        <f t="shared" si="88"/>
        <v>30780</v>
      </c>
      <c r="K568" s="147"/>
      <c r="L568" s="143"/>
      <c r="M568" s="143"/>
      <c r="N568" s="143"/>
      <c r="O568" s="147"/>
      <c r="P568" s="167">
        <f t="shared" si="89"/>
        <v>30780</v>
      </c>
      <c r="Q568" s="167">
        <f t="shared" si="90"/>
        <v>0</v>
      </c>
      <c r="R568" s="167">
        <f t="shared" si="91"/>
        <v>30780</v>
      </c>
    </row>
    <row r="569" spans="2:18" x14ac:dyDescent="0.2">
      <c r="B569" s="172">
        <f t="shared" si="92"/>
        <v>70</v>
      </c>
      <c r="C569" s="144"/>
      <c r="D569" s="130"/>
      <c r="E569" s="130"/>
      <c r="F569" s="130" t="s">
        <v>199</v>
      </c>
      <c r="G569" s="194" t="s">
        <v>319</v>
      </c>
      <c r="H569" s="540">
        <v>14500</v>
      </c>
      <c r="I569" s="540"/>
      <c r="J569" s="540">
        <f t="shared" si="88"/>
        <v>14500</v>
      </c>
      <c r="K569" s="147"/>
      <c r="L569" s="143"/>
      <c r="M569" s="143"/>
      <c r="N569" s="143"/>
      <c r="O569" s="147"/>
      <c r="P569" s="168">
        <f t="shared" si="89"/>
        <v>14500</v>
      </c>
      <c r="Q569" s="168">
        <f t="shared" si="90"/>
        <v>0</v>
      </c>
      <c r="R569" s="168">
        <f t="shared" si="91"/>
        <v>14500</v>
      </c>
    </row>
    <row r="570" spans="2:18" x14ac:dyDescent="0.2">
      <c r="B570" s="172">
        <f t="shared" si="92"/>
        <v>71</v>
      </c>
      <c r="C570" s="144"/>
      <c r="D570" s="130"/>
      <c r="E570" s="130"/>
      <c r="F570" s="288" t="s">
        <v>200</v>
      </c>
      <c r="G570" s="194" t="s">
        <v>247</v>
      </c>
      <c r="H570" s="540">
        <f>7130-1100+7600</f>
        <v>13630</v>
      </c>
      <c r="I570" s="540"/>
      <c r="J570" s="540">
        <f t="shared" si="88"/>
        <v>13630</v>
      </c>
      <c r="K570" s="147"/>
      <c r="L570" s="143"/>
      <c r="M570" s="143"/>
      <c r="N570" s="143"/>
      <c r="O570" s="147"/>
      <c r="P570" s="168">
        <f t="shared" si="89"/>
        <v>13630</v>
      </c>
      <c r="Q570" s="168">
        <f t="shared" si="90"/>
        <v>0</v>
      </c>
      <c r="R570" s="168">
        <f t="shared" si="91"/>
        <v>13630</v>
      </c>
    </row>
    <row r="571" spans="2:18" x14ac:dyDescent="0.2">
      <c r="B571" s="172">
        <f t="shared" si="92"/>
        <v>72</v>
      </c>
      <c r="C571" s="144"/>
      <c r="D571" s="130"/>
      <c r="E571" s="148"/>
      <c r="F571" s="130" t="s">
        <v>216</v>
      </c>
      <c r="G571" s="194" t="s">
        <v>248</v>
      </c>
      <c r="H571" s="540">
        <v>2650</v>
      </c>
      <c r="I571" s="540"/>
      <c r="J571" s="540">
        <f t="shared" si="88"/>
        <v>2650</v>
      </c>
      <c r="K571" s="147"/>
      <c r="L571" s="143"/>
      <c r="M571" s="143"/>
      <c r="N571" s="143"/>
      <c r="O571" s="147"/>
      <c r="P571" s="168">
        <f t="shared" si="89"/>
        <v>2650</v>
      </c>
      <c r="Q571" s="168">
        <f t="shared" si="90"/>
        <v>0</v>
      </c>
      <c r="R571" s="168">
        <f t="shared" si="91"/>
        <v>2650</v>
      </c>
    </row>
    <row r="572" spans="2:18" x14ac:dyDescent="0.2">
      <c r="B572" s="172">
        <f t="shared" si="92"/>
        <v>73</v>
      </c>
      <c r="C572" s="144"/>
      <c r="D572" s="130"/>
      <c r="E572" s="148"/>
      <c r="F572" s="282" t="s">
        <v>654</v>
      </c>
      <c r="G572" s="202" t="s">
        <v>667</v>
      </c>
      <c r="H572" s="375">
        <v>1310</v>
      </c>
      <c r="I572" s="375"/>
      <c r="J572" s="375">
        <f t="shared" si="88"/>
        <v>1310</v>
      </c>
      <c r="K572" s="147"/>
      <c r="L572" s="143"/>
      <c r="M572" s="143"/>
      <c r="N572" s="143"/>
      <c r="O572" s="147"/>
      <c r="P572" s="167">
        <f t="shared" si="89"/>
        <v>1310</v>
      </c>
      <c r="Q572" s="167">
        <f t="shared" si="90"/>
        <v>0</v>
      </c>
      <c r="R572" s="167">
        <f t="shared" si="91"/>
        <v>1310</v>
      </c>
    </row>
    <row r="573" spans="2:18" x14ac:dyDescent="0.2">
      <c r="B573" s="172">
        <f t="shared" si="92"/>
        <v>74</v>
      </c>
      <c r="C573" s="144"/>
      <c r="D573" s="130"/>
      <c r="E573" s="148"/>
      <c r="F573" s="282" t="s">
        <v>322</v>
      </c>
      <c r="G573" s="202" t="s">
        <v>751</v>
      </c>
      <c r="H573" s="375"/>
      <c r="I573" s="375"/>
      <c r="J573" s="375">
        <f t="shared" si="88"/>
        <v>0</v>
      </c>
      <c r="K573" s="147"/>
      <c r="L573" s="143">
        <f>12000+4000</f>
        <v>16000</v>
      </c>
      <c r="M573" s="143"/>
      <c r="N573" s="143">
        <f>M573+L573</f>
        <v>16000</v>
      </c>
      <c r="O573" s="147"/>
      <c r="P573" s="167">
        <f t="shared" si="89"/>
        <v>16000</v>
      </c>
      <c r="Q573" s="167">
        <f t="shared" si="90"/>
        <v>0</v>
      </c>
      <c r="R573" s="167">
        <f t="shared" si="91"/>
        <v>16000</v>
      </c>
    </row>
    <row r="574" spans="2:18" x14ac:dyDescent="0.2">
      <c r="B574" s="172">
        <f t="shared" si="92"/>
        <v>75</v>
      </c>
      <c r="C574" s="144"/>
      <c r="D574" s="130"/>
      <c r="E574" s="148"/>
      <c r="F574" s="730" t="s">
        <v>322</v>
      </c>
      <c r="G574" s="731" t="s">
        <v>814</v>
      </c>
      <c r="H574" s="732"/>
      <c r="I574" s="375"/>
      <c r="J574" s="375">
        <f t="shared" si="88"/>
        <v>0</v>
      </c>
      <c r="K574" s="147"/>
      <c r="L574" s="735">
        <v>8000</v>
      </c>
      <c r="M574" s="384"/>
      <c r="N574" s="384">
        <f>M574+L574</f>
        <v>8000</v>
      </c>
      <c r="O574" s="147"/>
      <c r="P574" s="733">
        <f t="shared" si="89"/>
        <v>8000</v>
      </c>
      <c r="Q574" s="167">
        <f t="shared" si="90"/>
        <v>0</v>
      </c>
      <c r="R574" s="167">
        <f t="shared" si="91"/>
        <v>8000</v>
      </c>
    </row>
    <row r="575" spans="2:18" x14ac:dyDescent="0.2">
      <c r="B575" s="172">
        <f t="shared" si="92"/>
        <v>76</v>
      </c>
      <c r="C575" s="144"/>
      <c r="D575" s="130"/>
      <c r="E575" s="148"/>
      <c r="F575" s="730" t="s">
        <v>322</v>
      </c>
      <c r="G575" s="731" t="s">
        <v>829</v>
      </c>
      <c r="H575" s="732"/>
      <c r="I575" s="375"/>
      <c r="J575" s="375"/>
      <c r="K575" s="147"/>
      <c r="L575" s="735">
        <f>20000-5000</f>
        <v>15000</v>
      </c>
      <c r="M575" s="384"/>
      <c r="N575" s="384">
        <f>M575+L575</f>
        <v>15000</v>
      </c>
      <c r="O575" s="147"/>
      <c r="P575" s="733">
        <f t="shared" si="89"/>
        <v>15000</v>
      </c>
      <c r="Q575" s="167">
        <f t="shared" si="90"/>
        <v>0</v>
      </c>
      <c r="R575" s="167">
        <f t="shared" si="91"/>
        <v>15000</v>
      </c>
    </row>
    <row r="576" spans="2:18" ht="15" x14ac:dyDescent="0.25">
      <c r="B576" s="172">
        <f t="shared" si="92"/>
        <v>77</v>
      </c>
      <c r="C576" s="144"/>
      <c r="D576" s="28" t="s">
        <v>352</v>
      </c>
      <c r="E576" s="175" t="s">
        <v>290</v>
      </c>
      <c r="F576" s="149" t="s">
        <v>353</v>
      </c>
      <c r="G576" s="239"/>
      <c r="H576" s="416">
        <f>SUM(H577:H579)+H584</f>
        <v>203099</v>
      </c>
      <c r="I576" s="416">
        <f>SUM(I577:I579)+I584</f>
        <v>2944</v>
      </c>
      <c r="J576" s="416">
        <f t="shared" si="88"/>
        <v>206043</v>
      </c>
      <c r="K576" s="330"/>
      <c r="L576" s="421">
        <f>L585</f>
        <v>1740</v>
      </c>
      <c r="M576" s="421">
        <f>M585</f>
        <v>0</v>
      </c>
      <c r="N576" s="421">
        <f>M576+L576</f>
        <v>1740</v>
      </c>
      <c r="O576" s="330"/>
      <c r="P576" s="328">
        <f t="shared" si="89"/>
        <v>204839</v>
      </c>
      <c r="Q576" s="328">
        <f t="shared" si="90"/>
        <v>2944</v>
      </c>
      <c r="R576" s="328">
        <f t="shared" si="91"/>
        <v>207783</v>
      </c>
    </row>
    <row r="577" spans="2:18" x14ac:dyDescent="0.2">
      <c r="B577" s="172">
        <f t="shared" si="92"/>
        <v>78</v>
      </c>
      <c r="C577" s="144"/>
      <c r="D577" s="145"/>
      <c r="E577" s="145"/>
      <c r="F577" s="145" t="s">
        <v>211</v>
      </c>
      <c r="G577" s="202" t="s">
        <v>506</v>
      </c>
      <c r="H577" s="375">
        <f>105010+5167</f>
        <v>110177</v>
      </c>
      <c r="I577" s="375">
        <v>983</v>
      </c>
      <c r="J577" s="375">
        <f t="shared" si="88"/>
        <v>111160</v>
      </c>
      <c r="K577" s="147"/>
      <c r="L577" s="143"/>
      <c r="M577" s="143"/>
      <c r="N577" s="143"/>
      <c r="O577" s="147"/>
      <c r="P577" s="167">
        <f t="shared" si="89"/>
        <v>110177</v>
      </c>
      <c r="Q577" s="167">
        <f t="shared" si="90"/>
        <v>983</v>
      </c>
      <c r="R577" s="167">
        <f t="shared" si="91"/>
        <v>111160</v>
      </c>
    </row>
    <row r="578" spans="2:18" x14ac:dyDescent="0.2">
      <c r="B578" s="172">
        <f t="shared" si="92"/>
        <v>79</v>
      </c>
      <c r="C578" s="144"/>
      <c r="D578" s="145"/>
      <c r="E578" s="145"/>
      <c r="F578" s="145" t="s">
        <v>212</v>
      </c>
      <c r="G578" s="202" t="s">
        <v>259</v>
      </c>
      <c r="H578" s="375">
        <f>38105+1872</f>
        <v>39977</v>
      </c>
      <c r="I578" s="375">
        <v>961</v>
      </c>
      <c r="J578" s="375">
        <f t="shared" si="88"/>
        <v>40938</v>
      </c>
      <c r="K578" s="147"/>
      <c r="L578" s="143"/>
      <c r="M578" s="143"/>
      <c r="N578" s="143"/>
      <c r="O578" s="147"/>
      <c r="P578" s="167">
        <f t="shared" si="89"/>
        <v>39977</v>
      </c>
      <c r="Q578" s="167">
        <f t="shared" si="90"/>
        <v>961</v>
      </c>
      <c r="R578" s="167">
        <f t="shared" si="91"/>
        <v>40938</v>
      </c>
    </row>
    <row r="579" spans="2:18" x14ac:dyDescent="0.2">
      <c r="B579" s="172">
        <f t="shared" si="92"/>
        <v>80</v>
      </c>
      <c r="C579" s="144"/>
      <c r="D579" s="145"/>
      <c r="E579" s="145"/>
      <c r="F579" s="145" t="s">
        <v>218</v>
      </c>
      <c r="G579" s="202" t="s">
        <v>341</v>
      </c>
      <c r="H579" s="375">
        <f>SUM(H580:H583)</f>
        <v>52165</v>
      </c>
      <c r="I579" s="375">
        <f>SUM(I580:I583)</f>
        <v>1000</v>
      </c>
      <c r="J579" s="375">
        <f t="shared" si="88"/>
        <v>53165</v>
      </c>
      <c r="K579" s="147"/>
      <c r="L579" s="143"/>
      <c r="M579" s="143"/>
      <c r="N579" s="143"/>
      <c r="O579" s="147"/>
      <c r="P579" s="167">
        <f t="shared" si="89"/>
        <v>52165</v>
      </c>
      <c r="Q579" s="167">
        <f t="shared" si="90"/>
        <v>1000</v>
      </c>
      <c r="R579" s="167">
        <f t="shared" si="91"/>
        <v>53165</v>
      </c>
    </row>
    <row r="580" spans="2:18" x14ac:dyDescent="0.2">
      <c r="B580" s="172">
        <f t="shared" si="92"/>
        <v>81</v>
      </c>
      <c r="C580" s="144"/>
      <c r="D580" s="130"/>
      <c r="E580" s="130"/>
      <c r="F580" s="130" t="s">
        <v>199</v>
      </c>
      <c r="G580" s="194" t="s">
        <v>319</v>
      </c>
      <c r="H580" s="540">
        <v>41300</v>
      </c>
      <c r="I580" s="540"/>
      <c r="J580" s="540">
        <f t="shared" si="88"/>
        <v>41300</v>
      </c>
      <c r="K580" s="147"/>
      <c r="L580" s="143"/>
      <c r="M580" s="143"/>
      <c r="N580" s="143"/>
      <c r="O580" s="147"/>
      <c r="P580" s="168">
        <f t="shared" si="89"/>
        <v>41300</v>
      </c>
      <c r="Q580" s="168">
        <f t="shared" si="90"/>
        <v>0</v>
      </c>
      <c r="R580" s="168">
        <f t="shared" si="91"/>
        <v>41300</v>
      </c>
    </row>
    <row r="581" spans="2:18" x14ac:dyDescent="0.2">
      <c r="B581" s="172">
        <f t="shared" si="92"/>
        <v>82</v>
      </c>
      <c r="C581" s="144"/>
      <c r="D581" s="130"/>
      <c r="E581" s="130"/>
      <c r="F581" s="130" t="s">
        <v>200</v>
      </c>
      <c r="G581" s="194" t="s">
        <v>247</v>
      </c>
      <c r="H581" s="540">
        <v>6815</v>
      </c>
      <c r="I581" s="540">
        <v>1000</v>
      </c>
      <c r="J581" s="540">
        <f t="shared" si="88"/>
        <v>7815</v>
      </c>
      <c r="K581" s="147"/>
      <c r="L581" s="143"/>
      <c r="M581" s="143"/>
      <c r="N581" s="143"/>
      <c r="O581" s="147"/>
      <c r="P581" s="168">
        <f t="shared" si="89"/>
        <v>6815</v>
      </c>
      <c r="Q581" s="168">
        <f t="shared" si="90"/>
        <v>1000</v>
      </c>
      <c r="R581" s="168">
        <f t="shared" si="91"/>
        <v>7815</v>
      </c>
    </row>
    <row r="582" spans="2:18" x14ac:dyDescent="0.2">
      <c r="B582" s="172">
        <f t="shared" si="92"/>
        <v>83</v>
      </c>
      <c r="C582" s="144"/>
      <c r="D582" s="130"/>
      <c r="E582" s="148"/>
      <c r="F582" s="130" t="s">
        <v>214</v>
      </c>
      <c r="G582" s="194" t="s">
        <v>261</v>
      </c>
      <c r="H582" s="540">
        <v>400</v>
      </c>
      <c r="I582" s="540"/>
      <c r="J582" s="540">
        <f t="shared" si="88"/>
        <v>400</v>
      </c>
      <c r="K582" s="147"/>
      <c r="L582" s="143"/>
      <c r="M582" s="143"/>
      <c r="N582" s="143"/>
      <c r="O582" s="147"/>
      <c r="P582" s="168">
        <f t="shared" si="89"/>
        <v>400</v>
      </c>
      <c r="Q582" s="168">
        <f t="shared" si="90"/>
        <v>0</v>
      </c>
      <c r="R582" s="168">
        <f t="shared" si="91"/>
        <v>400</v>
      </c>
    </row>
    <row r="583" spans="2:18" x14ac:dyDescent="0.2">
      <c r="B583" s="172">
        <f t="shared" si="92"/>
        <v>84</v>
      </c>
      <c r="C583" s="287"/>
      <c r="D583" s="288"/>
      <c r="E583" s="398"/>
      <c r="F583" s="288" t="s">
        <v>216</v>
      </c>
      <c r="G583" s="205" t="s">
        <v>248</v>
      </c>
      <c r="H583" s="540">
        <v>3650</v>
      </c>
      <c r="I583" s="540"/>
      <c r="J583" s="540">
        <f t="shared" si="88"/>
        <v>3650</v>
      </c>
      <c r="K583" s="147"/>
      <c r="L583" s="141"/>
      <c r="M583" s="141"/>
      <c r="N583" s="141"/>
      <c r="O583" s="147"/>
      <c r="P583" s="169">
        <f t="shared" si="89"/>
        <v>3650</v>
      </c>
      <c r="Q583" s="169">
        <f t="shared" si="90"/>
        <v>0</v>
      </c>
      <c r="R583" s="169">
        <f t="shared" si="91"/>
        <v>3650</v>
      </c>
    </row>
    <row r="584" spans="2:18" x14ac:dyDescent="0.2">
      <c r="B584" s="172">
        <f t="shared" si="92"/>
        <v>85</v>
      </c>
      <c r="C584" s="144"/>
      <c r="D584" s="130"/>
      <c r="E584" s="148"/>
      <c r="F584" s="282" t="s">
        <v>654</v>
      </c>
      <c r="G584" s="202" t="s">
        <v>667</v>
      </c>
      <c r="H584" s="433">
        <v>780</v>
      </c>
      <c r="I584" s="433"/>
      <c r="J584" s="433">
        <f t="shared" si="88"/>
        <v>780</v>
      </c>
      <c r="K584" s="147"/>
      <c r="L584" s="160"/>
      <c r="M584" s="160"/>
      <c r="N584" s="160"/>
      <c r="O584" s="147"/>
      <c r="P584" s="596">
        <f t="shared" si="89"/>
        <v>780</v>
      </c>
      <c r="Q584" s="596">
        <f t="shared" si="90"/>
        <v>0</v>
      </c>
      <c r="R584" s="596">
        <f t="shared" si="91"/>
        <v>780</v>
      </c>
    </row>
    <row r="585" spans="2:18" x14ac:dyDescent="0.2">
      <c r="B585" s="172">
        <f t="shared" si="92"/>
        <v>86</v>
      </c>
      <c r="C585" s="144"/>
      <c r="D585" s="130"/>
      <c r="E585" s="148"/>
      <c r="F585" s="166" t="s">
        <v>433</v>
      </c>
      <c r="G585" s="202" t="s">
        <v>802</v>
      </c>
      <c r="H585" s="433"/>
      <c r="I585" s="433"/>
      <c r="J585" s="433">
        <f t="shared" si="88"/>
        <v>0</v>
      </c>
      <c r="K585" s="147"/>
      <c r="L585" s="675">
        <v>1740</v>
      </c>
      <c r="M585" s="675"/>
      <c r="N585" s="675">
        <f>M585+L585</f>
        <v>1740</v>
      </c>
      <c r="O585" s="147"/>
      <c r="P585" s="596">
        <f t="shared" si="89"/>
        <v>1740</v>
      </c>
      <c r="Q585" s="596">
        <f t="shared" si="90"/>
        <v>0</v>
      </c>
      <c r="R585" s="596">
        <f t="shared" si="91"/>
        <v>1740</v>
      </c>
    </row>
    <row r="586" spans="2:18" ht="15" x14ac:dyDescent="0.25">
      <c r="B586" s="172">
        <f t="shared" si="92"/>
        <v>87</v>
      </c>
      <c r="C586" s="144"/>
      <c r="D586" s="28" t="s">
        <v>354</v>
      </c>
      <c r="E586" s="264" t="s">
        <v>290</v>
      </c>
      <c r="F586" s="265" t="s">
        <v>355</v>
      </c>
      <c r="G586" s="266"/>
      <c r="H586" s="418">
        <f>SUM(H587:H589)+H594</f>
        <v>222401</v>
      </c>
      <c r="I586" s="418">
        <f>SUM(I587:I589)+I594</f>
        <v>-551</v>
      </c>
      <c r="J586" s="418">
        <f t="shared" si="88"/>
        <v>221850</v>
      </c>
      <c r="K586" s="330"/>
      <c r="L586" s="421">
        <f>SUM(L588:L595)</f>
        <v>3959</v>
      </c>
      <c r="M586" s="421">
        <f>SUM(M588:M595)</f>
        <v>0</v>
      </c>
      <c r="N586" s="421">
        <f>M586+L586</f>
        <v>3959</v>
      </c>
      <c r="O586" s="330"/>
      <c r="P586" s="328">
        <f t="shared" si="89"/>
        <v>226360</v>
      </c>
      <c r="Q586" s="328">
        <f t="shared" si="90"/>
        <v>-551</v>
      </c>
      <c r="R586" s="328">
        <f t="shared" si="91"/>
        <v>225809</v>
      </c>
    </row>
    <row r="587" spans="2:18" x14ac:dyDescent="0.2">
      <c r="B587" s="172">
        <f t="shared" si="92"/>
        <v>88</v>
      </c>
      <c r="C587" s="144"/>
      <c r="D587" s="145"/>
      <c r="E587" s="145"/>
      <c r="F587" s="145" t="s">
        <v>211</v>
      </c>
      <c r="G587" s="202" t="s">
        <v>506</v>
      </c>
      <c r="H587" s="375">
        <f>121210+5977</f>
        <v>127187</v>
      </c>
      <c r="I587" s="375">
        <v>-445</v>
      </c>
      <c r="J587" s="375">
        <f t="shared" si="88"/>
        <v>126742</v>
      </c>
      <c r="K587" s="147"/>
      <c r="L587" s="143"/>
      <c r="M587" s="143"/>
      <c r="N587" s="143"/>
      <c r="O587" s="147"/>
      <c r="P587" s="167">
        <f t="shared" si="89"/>
        <v>127187</v>
      </c>
      <c r="Q587" s="167">
        <f t="shared" si="90"/>
        <v>-445</v>
      </c>
      <c r="R587" s="167">
        <f t="shared" si="91"/>
        <v>126742</v>
      </c>
    </row>
    <row r="588" spans="2:18" x14ac:dyDescent="0.2">
      <c r="B588" s="172">
        <f t="shared" si="92"/>
        <v>89</v>
      </c>
      <c r="C588" s="144"/>
      <c r="D588" s="145"/>
      <c r="E588" s="145"/>
      <c r="F588" s="145" t="s">
        <v>212</v>
      </c>
      <c r="G588" s="202" t="s">
        <v>259</v>
      </c>
      <c r="H588" s="375">
        <f>44797+2207</f>
        <v>47004</v>
      </c>
      <c r="I588" s="375">
        <v>-106</v>
      </c>
      <c r="J588" s="375">
        <f t="shared" si="88"/>
        <v>46898</v>
      </c>
      <c r="K588" s="147"/>
      <c r="L588" s="143"/>
      <c r="M588" s="143"/>
      <c r="N588" s="143"/>
      <c r="O588" s="147"/>
      <c r="P588" s="167">
        <f t="shared" si="89"/>
        <v>47004</v>
      </c>
      <c r="Q588" s="167">
        <f t="shared" si="90"/>
        <v>-106</v>
      </c>
      <c r="R588" s="167">
        <f t="shared" si="91"/>
        <v>46898</v>
      </c>
    </row>
    <row r="589" spans="2:18" x14ac:dyDescent="0.2">
      <c r="B589" s="172">
        <f t="shared" si="92"/>
        <v>90</v>
      </c>
      <c r="C589" s="144"/>
      <c r="D589" s="145"/>
      <c r="E589" s="145"/>
      <c r="F589" s="145" t="s">
        <v>218</v>
      </c>
      <c r="G589" s="202" t="s">
        <v>341</v>
      </c>
      <c r="H589" s="375">
        <f>SUM(H590:H593)</f>
        <v>46950</v>
      </c>
      <c r="I589" s="375">
        <f>SUM(I590:I593)</f>
        <v>0</v>
      </c>
      <c r="J589" s="375">
        <f t="shared" si="88"/>
        <v>46950</v>
      </c>
      <c r="K589" s="147"/>
      <c r="L589" s="143"/>
      <c r="M589" s="143"/>
      <c r="N589" s="143"/>
      <c r="O589" s="147"/>
      <c r="P589" s="167">
        <f t="shared" si="89"/>
        <v>46950</v>
      </c>
      <c r="Q589" s="167">
        <f t="shared" si="90"/>
        <v>0</v>
      </c>
      <c r="R589" s="167">
        <f t="shared" si="91"/>
        <v>46950</v>
      </c>
    </row>
    <row r="590" spans="2:18" x14ac:dyDescent="0.2">
      <c r="B590" s="172">
        <f t="shared" si="92"/>
        <v>91</v>
      </c>
      <c r="C590" s="144"/>
      <c r="D590" s="130"/>
      <c r="E590" s="130"/>
      <c r="F590" s="130" t="s">
        <v>199</v>
      </c>
      <c r="G590" s="194" t="s">
        <v>319</v>
      </c>
      <c r="H590" s="540">
        <v>32100</v>
      </c>
      <c r="I590" s="540"/>
      <c r="J590" s="540">
        <f t="shared" si="88"/>
        <v>32100</v>
      </c>
      <c r="K590" s="147"/>
      <c r="L590" s="143"/>
      <c r="M590" s="143"/>
      <c r="N590" s="143"/>
      <c r="O590" s="147"/>
      <c r="P590" s="168">
        <f t="shared" si="89"/>
        <v>32100</v>
      </c>
      <c r="Q590" s="168">
        <f t="shared" si="90"/>
        <v>0</v>
      </c>
      <c r="R590" s="168">
        <f t="shared" si="91"/>
        <v>32100</v>
      </c>
    </row>
    <row r="591" spans="2:18" x14ac:dyDescent="0.2">
      <c r="B591" s="172">
        <f t="shared" si="92"/>
        <v>92</v>
      </c>
      <c r="C591" s="144"/>
      <c r="D591" s="130"/>
      <c r="E591" s="130"/>
      <c r="F591" s="130" t="s">
        <v>200</v>
      </c>
      <c r="G591" s="194" t="s">
        <v>247</v>
      </c>
      <c r="H591" s="540">
        <v>10600</v>
      </c>
      <c r="I591" s="540"/>
      <c r="J591" s="540">
        <f t="shared" si="88"/>
        <v>10600</v>
      </c>
      <c r="K591" s="147"/>
      <c r="L591" s="143"/>
      <c r="M591" s="143"/>
      <c r="N591" s="143"/>
      <c r="O591" s="147"/>
      <c r="P591" s="168">
        <f t="shared" si="89"/>
        <v>10600</v>
      </c>
      <c r="Q591" s="168">
        <f t="shared" si="90"/>
        <v>0</v>
      </c>
      <c r="R591" s="168">
        <f t="shared" si="91"/>
        <v>10600</v>
      </c>
    </row>
    <row r="592" spans="2:18" x14ac:dyDescent="0.2">
      <c r="B592" s="172">
        <f t="shared" si="92"/>
        <v>93</v>
      </c>
      <c r="C592" s="144"/>
      <c r="D592" s="130"/>
      <c r="E592" s="148"/>
      <c r="F592" s="130" t="s">
        <v>214</v>
      </c>
      <c r="G592" s="194" t="s">
        <v>261</v>
      </c>
      <c r="H592" s="540">
        <v>150</v>
      </c>
      <c r="I592" s="540"/>
      <c r="J592" s="540">
        <f t="shared" si="88"/>
        <v>150</v>
      </c>
      <c r="K592" s="147"/>
      <c r="L592" s="143"/>
      <c r="M592" s="143"/>
      <c r="N592" s="143"/>
      <c r="O592" s="147"/>
      <c r="P592" s="168">
        <f t="shared" si="89"/>
        <v>150</v>
      </c>
      <c r="Q592" s="168">
        <f t="shared" si="90"/>
        <v>0</v>
      </c>
      <c r="R592" s="168">
        <f t="shared" si="91"/>
        <v>150</v>
      </c>
    </row>
    <row r="593" spans="2:18" x14ac:dyDescent="0.2">
      <c r="B593" s="172">
        <f t="shared" si="92"/>
        <v>94</v>
      </c>
      <c r="C593" s="144"/>
      <c r="D593" s="130"/>
      <c r="E593" s="148"/>
      <c r="F593" s="130" t="s">
        <v>216</v>
      </c>
      <c r="G593" s="194" t="s">
        <v>248</v>
      </c>
      <c r="H593" s="540">
        <v>4100</v>
      </c>
      <c r="I593" s="540"/>
      <c r="J593" s="540">
        <f t="shared" si="88"/>
        <v>4100</v>
      </c>
      <c r="K593" s="147"/>
      <c r="L593" s="143"/>
      <c r="M593" s="143"/>
      <c r="N593" s="143"/>
      <c r="O593" s="147"/>
      <c r="P593" s="168">
        <f t="shared" si="89"/>
        <v>4100</v>
      </c>
      <c r="Q593" s="168">
        <f t="shared" si="90"/>
        <v>0</v>
      </c>
      <c r="R593" s="168">
        <f t="shared" si="91"/>
        <v>4100</v>
      </c>
    </row>
    <row r="594" spans="2:18" x14ac:dyDescent="0.2">
      <c r="B594" s="172">
        <f t="shared" si="92"/>
        <v>95</v>
      </c>
      <c r="C594" s="144"/>
      <c r="D594" s="130"/>
      <c r="E594" s="148"/>
      <c r="F594" s="282" t="s">
        <v>654</v>
      </c>
      <c r="G594" s="202" t="s">
        <v>667</v>
      </c>
      <c r="H594" s="375">
        <v>1260</v>
      </c>
      <c r="I594" s="375"/>
      <c r="J594" s="375">
        <f t="shared" si="88"/>
        <v>1260</v>
      </c>
      <c r="K594" s="147"/>
      <c r="L594" s="143"/>
      <c r="M594" s="143"/>
      <c r="N594" s="143"/>
      <c r="O594" s="147"/>
      <c r="P594" s="167">
        <f t="shared" si="89"/>
        <v>1260</v>
      </c>
      <c r="Q594" s="167">
        <f t="shared" si="90"/>
        <v>0</v>
      </c>
      <c r="R594" s="167">
        <f t="shared" si="91"/>
        <v>1260</v>
      </c>
    </row>
    <row r="595" spans="2:18" x14ac:dyDescent="0.2">
      <c r="B595" s="172">
        <f t="shared" si="92"/>
        <v>96</v>
      </c>
      <c r="C595" s="144"/>
      <c r="D595" s="130"/>
      <c r="E595" s="148"/>
      <c r="F595" s="288" t="s">
        <v>322</v>
      </c>
      <c r="G595" s="194" t="s">
        <v>670</v>
      </c>
      <c r="H595" s="540"/>
      <c r="I595" s="540"/>
      <c r="J595" s="540">
        <f t="shared" si="88"/>
        <v>0</v>
      </c>
      <c r="K595" s="147"/>
      <c r="L595" s="143">
        <f>4000-41</f>
        <v>3959</v>
      </c>
      <c r="M595" s="143"/>
      <c r="N595" s="143">
        <f>M595+L595</f>
        <v>3959</v>
      </c>
      <c r="O595" s="147"/>
      <c r="P595" s="168">
        <f t="shared" si="89"/>
        <v>3959</v>
      </c>
      <c r="Q595" s="168">
        <f t="shared" si="90"/>
        <v>0</v>
      </c>
      <c r="R595" s="168">
        <f t="shared" si="91"/>
        <v>3959</v>
      </c>
    </row>
    <row r="596" spans="2:18" ht="15" x14ac:dyDescent="0.25">
      <c r="B596" s="172">
        <f t="shared" si="92"/>
        <v>97</v>
      </c>
      <c r="C596" s="144"/>
      <c r="D596" s="28" t="s">
        <v>357</v>
      </c>
      <c r="E596" s="175" t="s">
        <v>290</v>
      </c>
      <c r="F596" s="149" t="s">
        <v>356</v>
      </c>
      <c r="G596" s="239"/>
      <c r="H596" s="416">
        <f>SUM(H597:H599)</f>
        <v>139743</v>
      </c>
      <c r="I596" s="416">
        <f>SUM(I597:I599)</f>
        <v>-518</v>
      </c>
      <c r="J596" s="416">
        <f t="shared" si="88"/>
        <v>139225</v>
      </c>
      <c r="K596" s="330"/>
      <c r="L596" s="555">
        <f>SUM(L597:L605)</f>
        <v>28041</v>
      </c>
      <c r="M596" s="555">
        <f>SUM(M597:M605)</f>
        <v>0</v>
      </c>
      <c r="N596" s="555">
        <f>M596+L596</f>
        <v>28041</v>
      </c>
      <c r="O596" s="330"/>
      <c r="P596" s="328">
        <f t="shared" si="89"/>
        <v>167784</v>
      </c>
      <c r="Q596" s="328">
        <f t="shared" si="90"/>
        <v>-518</v>
      </c>
      <c r="R596" s="328">
        <f t="shared" si="91"/>
        <v>167266</v>
      </c>
    </row>
    <row r="597" spans="2:18" x14ac:dyDescent="0.2">
      <c r="B597" s="172">
        <f t="shared" si="92"/>
        <v>98</v>
      </c>
      <c r="C597" s="144"/>
      <c r="D597" s="145"/>
      <c r="E597" s="145"/>
      <c r="F597" s="145" t="s">
        <v>211</v>
      </c>
      <c r="G597" s="202" t="s">
        <v>506</v>
      </c>
      <c r="H597" s="375">
        <f>80080+3920</f>
        <v>84000</v>
      </c>
      <c r="I597" s="375">
        <v>-100</v>
      </c>
      <c r="J597" s="375">
        <f t="shared" si="88"/>
        <v>83900</v>
      </c>
      <c r="K597" s="147"/>
      <c r="L597" s="143"/>
      <c r="M597" s="143"/>
      <c r="N597" s="143"/>
      <c r="O597" s="147"/>
      <c r="P597" s="167">
        <f t="shared" si="89"/>
        <v>84000</v>
      </c>
      <c r="Q597" s="167">
        <f t="shared" si="90"/>
        <v>-100</v>
      </c>
      <c r="R597" s="167">
        <f t="shared" si="91"/>
        <v>83900</v>
      </c>
    </row>
    <row r="598" spans="2:18" x14ac:dyDescent="0.2">
      <c r="B598" s="172">
        <f t="shared" si="92"/>
        <v>99</v>
      </c>
      <c r="C598" s="144"/>
      <c r="D598" s="145"/>
      <c r="E598" s="145"/>
      <c r="F598" s="145" t="s">
        <v>212</v>
      </c>
      <c r="G598" s="202" t="s">
        <v>259</v>
      </c>
      <c r="H598" s="375">
        <f>29939+1464</f>
        <v>31403</v>
      </c>
      <c r="I598" s="375">
        <v>-418</v>
      </c>
      <c r="J598" s="375">
        <f t="shared" si="88"/>
        <v>30985</v>
      </c>
      <c r="K598" s="147"/>
      <c r="L598" s="143"/>
      <c r="M598" s="143"/>
      <c r="N598" s="143"/>
      <c r="O598" s="147"/>
      <c r="P598" s="167">
        <f t="shared" ref="P598:P629" si="93">H598+L598</f>
        <v>31403</v>
      </c>
      <c r="Q598" s="167">
        <f t="shared" si="90"/>
        <v>-418</v>
      </c>
      <c r="R598" s="167">
        <f t="shared" si="91"/>
        <v>30985</v>
      </c>
    </row>
    <row r="599" spans="2:18" x14ac:dyDescent="0.2">
      <c r="B599" s="172">
        <f t="shared" si="92"/>
        <v>100</v>
      </c>
      <c r="C599" s="144"/>
      <c r="D599" s="145"/>
      <c r="E599" s="145"/>
      <c r="F599" s="145" t="s">
        <v>218</v>
      </c>
      <c r="G599" s="202" t="s">
        <v>341</v>
      </c>
      <c r="H599" s="375">
        <f>SUM(H600:H603)</f>
        <v>24340</v>
      </c>
      <c r="I599" s="375">
        <f>SUM(I600:I603)</f>
        <v>0</v>
      </c>
      <c r="J599" s="375">
        <f t="shared" si="88"/>
        <v>24340</v>
      </c>
      <c r="K599" s="147"/>
      <c r="L599" s="143"/>
      <c r="M599" s="143"/>
      <c r="N599" s="143"/>
      <c r="O599" s="147"/>
      <c r="P599" s="167">
        <f t="shared" si="93"/>
        <v>24340</v>
      </c>
      <c r="Q599" s="167">
        <f t="shared" si="90"/>
        <v>0</v>
      </c>
      <c r="R599" s="167">
        <f t="shared" si="91"/>
        <v>24340</v>
      </c>
    </row>
    <row r="600" spans="2:18" x14ac:dyDescent="0.2">
      <c r="B600" s="172">
        <f t="shared" si="92"/>
        <v>101</v>
      </c>
      <c r="C600" s="144"/>
      <c r="D600" s="130"/>
      <c r="E600" s="130"/>
      <c r="F600" s="130" t="s">
        <v>199</v>
      </c>
      <c r="G600" s="194" t="s">
        <v>319</v>
      </c>
      <c r="H600" s="540">
        <v>15970</v>
      </c>
      <c r="I600" s="540"/>
      <c r="J600" s="540">
        <f t="shared" si="88"/>
        <v>15970</v>
      </c>
      <c r="K600" s="147"/>
      <c r="L600" s="143"/>
      <c r="M600" s="143"/>
      <c r="N600" s="143"/>
      <c r="O600" s="147"/>
      <c r="P600" s="168">
        <f t="shared" si="93"/>
        <v>15970</v>
      </c>
      <c r="Q600" s="168">
        <f t="shared" si="90"/>
        <v>0</v>
      </c>
      <c r="R600" s="168">
        <f t="shared" si="91"/>
        <v>15970</v>
      </c>
    </row>
    <row r="601" spans="2:18" x14ac:dyDescent="0.2">
      <c r="B601" s="172">
        <f t="shared" si="92"/>
        <v>102</v>
      </c>
      <c r="C601" s="144"/>
      <c r="D601" s="130"/>
      <c r="E601" s="130"/>
      <c r="F601" s="130" t="s">
        <v>200</v>
      </c>
      <c r="G601" s="194" t="s">
        <v>247</v>
      </c>
      <c r="H601" s="540">
        <v>5320</v>
      </c>
      <c r="I601" s="540"/>
      <c r="J601" s="540">
        <f t="shared" si="88"/>
        <v>5320</v>
      </c>
      <c r="K601" s="147"/>
      <c r="L601" s="143"/>
      <c r="M601" s="143"/>
      <c r="N601" s="143"/>
      <c r="O601" s="147"/>
      <c r="P601" s="168">
        <f t="shared" si="93"/>
        <v>5320</v>
      </c>
      <c r="Q601" s="168">
        <f t="shared" si="90"/>
        <v>0</v>
      </c>
      <c r="R601" s="168">
        <f t="shared" si="91"/>
        <v>5320</v>
      </c>
    </row>
    <row r="602" spans="2:18" x14ac:dyDescent="0.2">
      <c r="B602" s="172">
        <f t="shared" si="92"/>
        <v>103</v>
      </c>
      <c r="C602" s="144"/>
      <c r="D602" s="130"/>
      <c r="E602" s="148"/>
      <c r="F602" s="130" t="s">
        <v>214</v>
      </c>
      <c r="G602" s="194" t="s">
        <v>261</v>
      </c>
      <c r="H602" s="540">
        <v>150</v>
      </c>
      <c r="I602" s="540"/>
      <c r="J602" s="540">
        <f t="shared" si="88"/>
        <v>150</v>
      </c>
      <c r="K602" s="147"/>
      <c r="L602" s="143"/>
      <c r="M602" s="143"/>
      <c r="N602" s="143"/>
      <c r="O602" s="147"/>
      <c r="P602" s="168">
        <f t="shared" si="93"/>
        <v>150</v>
      </c>
      <c r="Q602" s="168">
        <f t="shared" si="90"/>
        <v>0</v>
      </c>
      <c r="R602" s="168">
        <f t="shared" si="91"/>
        <v>150</v>
      </c>
    </row>
    <row r="603" spans="2:18" x14ac:dyDescent="0.2">
      <c r="B603" s="172">
        <f t="shared" si="92"/>
        <v>104</v>
      </c>
      <c r="C603" s="144"/>
      <c r="D603" s="130"/>
      <c r="E603" s="148"/>
      <c r="F603" s="130" t="s">
        <v>216</v>
      </c>
      <c r="G603" s="194" t="s">
        <v>248</v>
      </c>
      <c r="H603" s="540">
        <v>2900</v>
      </c>
      <c r="I603" s="540"/>
      <c r="J603" s="540">
        <f t="shared" si="88"/>
        <v>2900</v>
      </c>
      <c r="K603" s="147"/>
      <c r="L603" s="143"/>
      <c r="M603" s="143"/>
      <c r="N603" s="143"/>
      <c r="O603" s="147"/>
      <c r="P603" s="168">
        <f t="shared" si="93"/>
        <v>2900</v>
      </c>
      <c r="Q603" s="168">
        <f t="shared" si="90"/>
        <v>0</v>
      </c>
      <c r="R603" s="168">
        <f t="shared" si="91"/>
        <v>2900</v>
      </c>
    </row>
    <row r="604" spans="2:18" x14ac:dyDescent="0.2">
      <c r="B604" s="172">
        <f t="shared" si="92"/>
        <v>105</v>
      </c>
      <c r="C604" s="144"/>
      <c r="D604" s="130"/>
      <c r="E604" s="148"/>
      <c r="F604" s="441" t="s">
        <v>433</v>
      </c>
      <c r="G604" s="202" t="s">
        <v>705</v>
      </c>
      <c r="H604" s="540"/>
      <c r="I604" s="540"/>
      <c r="J604" s="540">
        <f t="shared" si="88"/>
        <v>0</v>
      </c>
      <c r="K604" s="147"/>
      <c r="L604" s="384">
        <f>2000-2000</f>
        <v>0</v>
      </c>
      <c r="M604" s="384"/>
      <c r="N604" s="384">
        <f>M604+L604</f>
        <v>0</v>
      </c>
      <c r="O604" s="147"/>
      <c r="P604" s="167">
        <f t="shared" si="93"/>
        <v>0</v>
      </c>
      <c r="Q604" s="167">
        <f t="shared" si="90"/>
        <v>0</v>
      </c>
      <c r="R604" s="167">
        <f t="shared" si="91"/>
        <v>0</v>
      </c>
    </row>
    <row r="605" spans="2:18" x14ac:dyDescent="0.2">
      <c r="B605" s="172">
        <f t="shared" si="92"/>
        <v>106</v>
      </c>
      <c r="C605" s="144"/>
      <c r="D605" s="130"/>
      <c r="E605" s="148"/>
      <c r="F605" s="441" t="s">
        <v>322</v>
      </c>
      <c r="G605" s="202" t="s">
        <v>550</v>
      </c>
      <c r="H605" s="540"/>
      <c r="I605" s="540"/>
      <c r="J605" s="540">
        <f t="shared" si="88"/>
        <v>0</v>
      </c>
      <c r="K605" s="147"/>
      <c r="L605" s="384">
        <f>28000-1959+2000</f>
        <v>28041</v>
      </c>
      <c r="M605" s="384"/>
      <c r="N605" s="384">
        <f>M605+L605</f>
        <v>28041</v>
      </c>
      <c r="O605" s="147"/>
      <c r="P605" s="167">
        <f t="shared" si="93"/>
        <v>28041</v>
      </c>
      <c r="Q605" s="167">
        <f t="shared" si="90"/>
        <v>0</v>
      </c>
      <c r="R605" s="167">
        <f t="shared" si="91"/>
        <v>28041</v>
      </c>
    </row>
    <row r="606" spans="2:18" ht="15" x14ac:dyDescent="0.25">
      <c r="B606" s="172">
        <f t="shared" si="92"/>
        <v>107</v>
      </c>
      <c r="C606" s="144"/>
      <c r="D606" s="28" t="s">
        <v>359</v>
      </c>
      <c r="E606" s="175" t="s">
        <v>290</v>
      </c>
      <c r="F606" s="149" t="s">
        <v>358</v>
      </c>
      <c r="G606" s="239"/>
      <c r="H606" s="416">
        <f>SUM(H607:H609)</f>
        <v>66210</v>
      </c>
      <c r="I606" s="416">
        <f>SUM(I607:I609)</f>
        <v>-247</v>
      </c>
      <c r="J606" s="416">
        <f t="shared" si="88"/>
        <v>65963</v>
      </c>
      <c r="K606" s="330"/>
      <c r="L606" s="422"/>
      <c r="M606" s="422"/>
      <c r="N606" s="422"/>
      <c r="O606" s="330"/>
      <c r="P606" s="328">
        <f t="shared" si="93"/>
        <v>66210</v>
      </c>
      <c r="Q606" s="328">
        <f t="shared" si="90"/>
        <v>-247</v>
      </c>
      <c r="R606" s="328">
        <f t="shared" si="91"/>
        <v>65963</v>
      </c>
    </row>
    <row r="607" spans="2:18" x14ac:dyDescent="0.2">
      <c r="B607" s="172">
        <f t="shared" si="92"/>
        <v>108</v>
      </c>
      <c r="C607" s="144"/>
      <c r="D607" s="145"/>
      <c r="E607" s="145"/>
      <c r="F607" s="145" t="s">
        <v>211</v>
      </c>
      <c r="G607" s="202" t="s">
        <v>506</v>
      </c>
      <c r="H607" s="375">
        <f>38350+1876</f>
        <v>40226</v>
      </c>
      <c r="I607" s="375">
        <v>4</v>
      </c>
      <c r="J607" s="375">
        <f t="shared" si="88"/>
        <v>40230</v>
      </c>
      <c r="K607" s="147"/>
      <c r="L607" s="143"/>
      <c r="M607" s="143"/>
      <c r="N607" s="143"/>
      <c r="O607" s="147"/>
      <c r="P607" s="167">
        <f t="shared" si="93"/>
        <v>40226</v>
      </c>
      <c r="Q607" s="167">
        <f t="shared" si="90"/>
        <v>4</v>
      </c>
      <c r="R607" s="167">
        <f t="shared" si="91"/>
        <v>40230</v>
      </c>
    </row>
    <row r="608" spans="2:18" x14ac:dyDescent="0.2">
      <c r="B608" s="172">
        <f t="shared" si="92"/>
        <v>109</v>
      </c>
      <c r="C608" s="144"/>
      <c r="D608" s="145"/>
      <c r="E608" s="145"/>
      <c r="F608" s="145" t="s">
        <v>212</v>
      </c>
      <c r="G608" s="202" t="s">
        <v>259</v>
      </c>
      <c r="H608" s="375">
        <f>14039+685</f>
        <v>14724</v>
      </c>
      <c r="I608" s="375">
        <v>-251</v>
      </c>
      <c r="J608" s="375">
        <f t="shared" si="88"/>
        <v>14473</v>
      </c>
      <c r="K608" s="147"/>
      <c r="L608" s="143"/>
      <c r="M608" s="143"/>
      <c r="N608" s="143"/>
      <c r="O608" s="147"/>
      <c r="P608" s="167">
        <f t="shared" si="93"/>
        <v>14724</v>
      </c>
      <c r="Q608" s="167">
        <f t="shared" si="90"/>
        <v>-251</v>
      </c>
      <c r="R608" s="167">
        <f t="shared" si="91"/>
        <v>14473</v>
      </c>
    </row>
    <row r="609" spans="2:18" x14ac:dyDescent="0.2">
      <c r="B609" s="172">
        <f t="shared" si="92"/>
        <v>110</v>
      </c>
      <c r="C609" s="144"/>
      <c r="D609" s="145"/>
      <c r="E609" s="145"/>
      <c r="F609" s="145" t="s">
        <v>218</v>
      </c>
      <c r="G609" s="202" t="s">
        <v>341</v>
      </c>
      <c r="H609" s="375">
        <f>SUM(H610:H612)</f>
        <v>11260</v>
      </c>
      <c r="I609" s="375">
        <f>SUM(I610:I612)</f>
        <v>0</v>
      </c>
      <c r="J609" s="375">
        <f t="shared" si="88"/>
        <v>11260</v>
      </c>
      <c r="K609" s="147"/>
      <c r="L609" s="143"/>
      <c r="M609" s="143"/>
      <c r="N609" s="143"/>
      <c r="O609" s="147"/>
      <c r="P609" s="167">
        <f t="shared" si="93"/>
        <v>11260</v>
      </c>
      <c r="Q609" s="167">
        <f t="shared" si="90"/>
        <v>0</v>
      </c>
      <c r="R609" s="167">
        <f t="shared" si="91"/>
        <v>11260</v>
      </c>
    </row>
    <row r="610" spans="2:18" x14ac:dyDescent="0.2">
      <c r="B610" s="172">
        <f t="shared" si="92"/>
        <v>111</v>
      </c>
      <c r="C610" s="144"/>
      <c r="D610" s="130"/>
      <c r="E610" s="130"/>
      <c r="F610" s="130" t="s">
        <v>199</v>
      </c>
      <c r="G610" s="194" t="s">
        <v>319</v>
      </c>
      <c r="H610" s="540">
        <v>5960</v>
      </c>
      <c r="I610" s="540"/>
      <c r="J610" s="540">
        <f t="shared" si="88"/>
        <v>5960</v>
      </c>
      <c r="K610" s="147"/>
      <c r="L610" s="143"/>
      <c r="M610" s="143"/>
      <c r="N610" s="143"/>
      <c r="O610" s="147"/>
      <c r="P610" s="168">
        <f t="shared" si="93"/>
        <v>5960</v>
      </c>
      <c r="Q610" s="168">
        <f t="shared" si="90"/>
        <v>0</v>
      </c>
      <c r="R610" s="168">
        <f t="shared" si="91"/>
        <v>5960</v>
      </c>
    </row>
    <row r="611" spans="2:18" x14ac:dyDescent="0.2">
      <c r="B611" s="172">
        <f t="shared" si="92"/>
        <v>112</v>
      </c>
      <c r="C611" s="144"/>
      <c r="D611" s="130"/>
      <c r="E611" s="130"/>
      <c r="F611" s="130" t="s">
        <v>200</v>
      </c>
      <c r="G611" s="194" t="s">
        <v>247</v>
      </c>
      <c r="H611" s="540">
        <v>3760</v>
      </c>
      <c r="I611" s="540"/>
      <c r="J611" s="540">
        <f t="shared" si="88"/>
        <v>3760</v>
      </c>
      <c r="K611" s="147"/>
      <c r="L611" s="143"/>
      <c r="M611" s="143"/>
      <c r="N611" s="143"/>
      <c r="O611" s="147"/>
      <c r="P611" s="168">
        <f t="shared" si="93"/>
        <v>3760</v>
      </c>
      <c r="Q611" s="168">
        <f t="shared" si="90"/>
        <v>0</v>
      </c>
      <c r="R611" s="168">
        <f t="shared" si="91"/>
        <v>3760</v>
      </c>
    </row>
    <row r="612" spans="2:18" x14ac:dyDescent="0.2">
      <c r="B612" s="172">
        <f t="shared" si="92"/>
        <v>113</v>
      </c>
      <c r="C612" s="144"/>
      <c r="D612" s="130"/>
      <c r="E612" s="148"/>
      <c r="F612" s="130" t="s">
        <v>216</v>
      </c>
      <c r="G612" s="194" t="s">
        <v>248</v>
      </c>
      <c r="H612" s="540">
        <v>1540</v>
      </c>
      <c r="I612" s="540"/>
      <c r="J612" s="540">
        <f t="shared" si="88"/>
        <v>1540</v>
      </c>
      <c r="K612" s="147"/>
      <c r="L612" s="143"/>
      <c r="M612" s="143"/>
      <c r="N612" s="143"/>
      <c r="O612" s="147"/>
      <c r="P612" s="168">
        <f t="shared" si="93"/>
        <v>1540</v>
      </c>
      <c r="Q612" s="168">
        <f t="shared" si="90"/>
        <v>0</v>
      </c>
      <c r="R612" s="168">
        <f t="shared" si="91"/>
        <v>1540</v>
      </c>
    </row>
    <row r="613" spans="2:18" ht="15" x14ac:dyDescent="0.25">
      <c r="B613" s="172">
        <f t="shared" si="92"/>
        <v>114</v>
      </c>
      <c r="C613" s="144"/>
      <c r="D613" s="28" t="s">
        <v>361</v>
      </c>
      <c r="E613" s="175" t="s">
        <v>290</v>
      </c>
      <c r="F613" s="149" t="s">
        <v>360</v>
      </c>
      <c r="G613" s="239"/>
      <c r="H613" s="416">
        <f>SUM(H614:H616)</f>
        <v>90513</v>
      </c>
      <c r="I613" s="416">
        <f>SUM(I614:I616)</f>
        <v>2771</v>
      </c>
      <c r="J613" s="416">
        <f t="shared" si="88"/>
        <v>93284</v>
      </c>
      <c r="K613" s="330"/>
      <c r="L613" s="421"/>
      <c r="M613" s="421"/>
      <c r="N613" s="421"/>
      <c r="O613" s="330"/>
      <c r="P613" s="328">
        <f t="shared" si="93"/>
        <v>90513</v>
      </c>
      <c r="Q613" s="328">
        <f t="shared" si="90"/>
        <v>2771</v>
      </c>
      <c r="R613" s="328">
        <f t="shared" si="91"/>
        <v>93284</v>
      </c>
    </row>
    <row r="614" spans="2:18" x14ac:dyDescent="0.2">
      <c r="B614" s="172">
        <f t="shared" si="92"/>
        <v>115</v>
      </c>
      <c r="C614" s="144"/>
      <c r="D614" s="145"/>
      <c r="E614" s="145"/>
      <c r="F614" s="145" t="s">
        <v>211</v>
      </c>
      <c r="G614" s="202" t="s">
        <v>506</v>
      </c>
      <c r="H614" s="375">
        <f>51765+2546</f>
        <v>54311</v>
      </c>
      <c r="I614" s="375">
        <v>1861</v>
      </c>
      <c r="J614" s="375">
        <f t="shared" si="88"/>
        <v>56172</v>
      </c>
      <c r="K614" s="147"/>
      <c r="L614" s="143"/>
      <c r="M614" s="143"/>
      <c r="N614" s="143"/>
      <c r="O614" s="147"/>
      <c r="P614" s="167">
        <f t="shared" si="93"/>
        <v>54311</v>
      </c>
      <c r="Q614" s="167">
        <f t="shared" si="90"/>
        <v>1861</v>
      </c>
      <c r="R614" s="167">
        <f t="shared" si="91"/>
        <v>56172</v>
      </c>
    </row>
    <row r="615" spans="2:18" x14ac:dyDescent="0.2">
      <c r="B615" s="172">
        <f t="shared" si="92"/>
        <v>116</v>
      </c>
      <c r="C615" s="144"/>
      <c r="D615" s="145"/>
      <c r="E615" s="145"/>
      <c r="F615" s="145" t="s">
        <v>212</v>
      </c>
      <c r="G615" s="202" t="s">
        <v>259</v>
      </c>
      <c r="H615" s="375">
        <f>19027+935</f>
        <v>19962</v>
      </c>
      <c r="I615" s="375">
        <v>910</v>
      </c>
      <c r="J615" s="375">
        <f t="shared" si="88"/>
        <v>20872</v>
      </c>
      <c r="K615" s="147"/>
      <c r="L615" s="143"/>
      <c r="M615" s="143"/>
      <c r="N615" s="143"/>
      <c r="O615" s="147"/>
      <c r="P615" s="167">
        <f t="shared" si="93"/>
        <v>19962</v>
      </c>
      <c r="Q615" s="167">
        <f t="shared" si="90"/>
        <v>910</v>
      </c>
      <c r="R615" s="167">
        <f t="shared" si="91"/>
        <v>20872</v>
      </c>
    </row>
    <row r="616" spans="2:18" x14ac:dyDescent="0.2">
      <c r="B616" s="172">
        <f t="shared" si="92"/>
        <v>117</v>
      </c>
      <c r="C616" s="144"/>
      <c r="D616" s="145"/>
      <c r="E616" s="145"/>
      <c r="F616" s="145" t="s">
        <v>218</v>
      </c>
      <c r="G616" s="202" t="s">
        <v>341</v>
      </c>
      <c r="H616" s="375">
        <f>SUM(H617:H620)</f>
        <v>16240</v>
      </c>
      <c r="I616" s="375">
        <f>SUM(I617:I620)</f>
        <v>0</v>
      </c>
      <c r="J616" s="375">
        <f t="shared" si="88"/>
        <v>16240</v>
      </c>
      <c r="K616" s="147"/>
      <c r="L616" s="143"/>
      <c r="M616" s="143"/>
      <c r="N616" s="143"/>
      <c r="O616" s="147"/>
      <c r="P616" s="167">
        <f t="shared" si="93"/>
        <v>16240</v>
      </c>
      <c r="Q616" s="167">
        <f t="shared" si="90"/>
        <v>0</v>
      </c>
      <c r="R616" s="167">
        <f t="shared" si="91"/>
        <v>16240</v>
      </c>
    </row>
    <row r="617" spans="2:18" x14ac:dyDescent="0.2">
      <c r="B617" s="172">
        <f t="shared" si="92"/>
        <v>118</v>
      </c>
      <c r="C617" s="144"/>
      <c r="D617" s="130"/>
      <c r="E617" s="130"/>
      <c r="F617" s="130" t="s">
        <v>199</v>
      </c>
      <c r="G617" s="194" t="s">
        <v>319</v>
      </c>
      <c r="H617" s="540">
        <v>10100</v>
      </c>
      <c r="I617" s="540"/>
      <c r="J617" s="540">
        <f t="shared" si="88"/>
        <v>10100</v>
      </c>
      <c r="K617" s="147"/>
      <c r="L617" s="143"/>
      <c r="M617" s="143"/>
      <c r="N617" s="143"/>
      <c r="O617" s="147"/>
      <c r="P617" s="168">
        <f t="shared" si="93"/>
        <v>10100</v>
      </c>
      <c r="Q617" s="168">
        <f t="shared" si="90"/>
        <v>0</v>
      </c>
      <c r="R617" s="168">
        <f t="shared" si="91"/>
        <v>10100</v>
      </c>
    </row>
    <row r="618" spans="2:18" x14ac:dyDescent="0.2">
      <c r="B618" s="172">
        <f t="shared" si="92"/>
        <v>119</v>
      </c>
      <c r="C618" s="144"/>
      <c r="D618" s="130"/>
      <c r="E618" s="130"/>
      <c r="F618" s="288" t="s">
        <v>200</v>
      </c>
      <c r="G618" s="194" t="s">
        <v>247</v>
      </c>
      <c r="H618" s="540">
        <v>4130</v>
      </c>
      <c r="I618" s="540"/>
      <c r="J618" s="540">
        <f t="shared" si="88"/>
        <v>4130</v>
      </c>
      <c r="K618" s="147"/>
      <c r="L618" s="143"/>
      <c r="M618" s="143"/>
      <c r="N618" s="143"/>
      <c r="O618" s="147"/>
      <c r="P618" s="168">
        <f t="shared" si="93"/>
        <v>4130</v>
      </c>
      <c r="Q618" s="168">
        <f t="shared" si="90"/>
        <v>0</v>
      </c>
      <c r="R618" s="168">
        <f t="shared" si="91"/>
        <v>4130</v>
      </c>
    </row>
    <row r="619" spans="2:18" x14ac:dyDescent="0.2">
      <c r="B619" s="172">
        <f t="shared" si="92"/>
        <v>120</v>
      </c>
      <c r="C619" s="144"/>
      <c r="D619" s="130"/>
      <c r="E619" s="148"/>
      <c r="F619" s="130" t="s">
        <v>214</v>
      </c>
      <c r="G619" s="194" t="s">
        <v>261</v>
      </c>
      <c r="H619" s="540">
        <v>150</v>
      </c>
      <c r="I619" s="540"/>
      <c r="J619" s="540">
        <f t="shared" si="88"/>
        <v>150</v>
      </c>
      <c r="K619" s="147"/>
      <c r="L619" s="143"/>
      <c r="M619" s="143"/>
      <c r="N619" s="143"/>
      <c r="O619" s="147"/>
      <c r="P619" s="168">
        <f t="shared" si="93"/>
        <v>150</v>
      </c>
      <c r="Q619" s="168">
        <f t="shared" si="90"/>
        <v>0</v>
      </c>
      <c r="R619" s="168">
        <f t="shared" si="91"/>
        <v>150</v>
      </c>
    </row>
    <row r="620" spans="2:18" x14ac:dyDescent="0.2">
      <c r="B620" s="172">
        <f t="shared" si="92"/>
        <v>121</v>
      </c>
      <c r="C620" s="144"/>
      <c r="D620" s="130"/>
      <c r="E620" s="148"/>
      <c r="F620" s="130" t="s">
        <v>216</v>
      </c>
      <c r="G620" s="194" t="s">
        <v>248</v>
      </c>
      <c r="H620" s="369">
        <v>1860</v>
      </c>
      <c r="I620" s="369"/>
      <c r="J620" s="369">
        <f t="shared" si="88"/>
        <v>1860</v>
      </c>
      <c r="K620" s="147"/>
      <c r="L620" s="143"/>
      <c r="M620" s="143"/>
      <c r="N620" s="143"/>
      <c r="O620" s="147"/>
      <c r="P620" s="168">
        <f t="shared" si="93"/>
        <v>1860</v>
      </c>
      <c r="Q620" s="168">
        <f t="shared" si="90"/>
        <v>0</v>
      </c>
      <c r="R620" s="168">
        <f t="shared" si="91"/>
        <v>1860</v>
      </c>
    </row>
    <row r="621" spans="2:18" ht="15" x14ac:dyDescent="0.25">
      <c r="B621" s="172">
        <f t="shared" si="92"/>
        <v>122</v>
      </c>
      <c r="C621" s="144"/>
      <c r="D621" s="28" t="s">
        <v>363</v>
      </c>
      <c r="E621" s="175" t="s">
        <v>290</v>
      </c>
      <c r="F621" s="149" t="s">
        <v>362</v>
      </c>
      <c r="G621" s="239"/>
      <c r="H621" s="416">
        <f>SUM(H622:H624)+H630</f>
        <v>86460</v>
      </c>
      <c r="I621" s="416">
        <f>SUM(I622:I624)+I630</f>
        <v>2480</v>
      </c>
      <c r="J621" s="416">
        <f t="shared" si="88"/>
        <v>88940</v>
      </c>
      <c r="K621" s="330"/>
      <c r="L621" s="422"/>
      <c r="M621" s="422"/>
      <c r="N621" s="422"/>
      <c r="O621" s="330"/>
      <c r="P621" s="328">
        <f t="shared" si="93"/>
        <v>86460</v>
      </c>
      <c r="Q621" s="328">
        <f t="shared" si="90"/>
        <v>2480</v>
      </c>
      <c r="R621" s="328">
        <f t="shared" si="91"/>
        <v>88940</v>
      </c>
    </row>
    <row r="622" spans="2:18" x14ac:dyDescent="0.2">
      <c r="B622" s="172">
        <f t="shared" si="92"/>
        <v>123</v>
      </c>
      <c r="C622" s="144"/>
      <c r="D622" s="145"/>
      <c r="E622" s="145"/>
      <c r="F622" s="145" t="s">
        <v>211</v>
      </c>
      <c r="G622" s="202" t="s">
        <v>506</v>
      </c>
      <c r="H622" s="375">
        <f>42210+2069</f>
        <v>44279</v>
      </c>
      <c r="I622" s="375">
        <v>1455</v>
      </c>
      <c r="J622" s="375">
        <f t="shared" si="88"/>
        <v>45734</v>
      </c>
      <c r="K622" s="147"/>
      <c r="L622" s="143"/>
      <c r="M622" s="143"/>
      <c r="N622" s="143"/>
      <c r="O622" s="147"/>
      <c r="P622" s="167">
        <f t="shared" si="93"/>
        <v>44279</v>
      </c>
      <c r="Q622" s="167">
        <f t="shared" si="90"/>
        <v>1455</v>
      </c>
      <c r="R622" s="167">
        <f t="shared" si="91"/>
        <v>45734</v>
      </c>
    </row>
    <row r="623" spans="2:18" x14ac:dyDescent="0.2">
      <c r="B623" s="172">
        <f t="shared" si="92"/>
        <v>124</v>
      </c>
      <c r="C623" s="144"/>
      <c r="D623" s="145"/>
      <c r="E623" s="145"/>
      <c r="F623" s="145" t="s">
        <v>212</v>
      </c>
      <c r="G623" s="202" t="s">
        <v>259</v>
      </c>
      <c r="H623" s="375">
        <f>15693+768</f>
        <v>16461</v>
      </c>
      <c r="I623" s="375">
        <v>1025</v>
      </c>
      <c r="J623" s="375">
        <f t="shared" si="88"/>
        <v>17486</v>
      </c>
      <c r="K623" s="147"/>
      <c r="L623" s="143"/>
      <c r="M623" s="143"/>
      <c r="N623" s="143"/>
      <c r="O623" s="147"/>
      <c r="P623" s="167">
        <f t="shared" si="93"/>
        <v>16461</v>
      </c>
      <c r="Q623" s="167">
        <f t="shared" si="90"/>
        <v>1025</v>
      </c>
      <c r="R623" s="167">
        <f t="shared" si="91"/>
        <v>17486</v>
      </c>
    </row>
    <row r="624" spans="2:18" x14ac:dyDescent="0.2">
      <c r="B624" s="172">
        <f t="shared" si="92"/>
        <v>125</v>
      </c>
      <c r="C624" s="144"/>
      <c r="D624" s="145"/>
      <c r="E624" s="145"/>
      <c r="F624" s="145" t="s">
        <v>218</v>
      </c>
      <c r="G624" s="202" t="s">
        <v>341</v>
      </c>
      <c r="H624" s="375">
        <f>SUM(H625:H629)</f>
        <v>23670</v>
      </c>
      <c r="I624" s="375">
        <f>SUM(I625:I629)</f>
        <v>0</v>
      </c>
      <c r="J624" s="375">
        <f t="shared" si="88"/>
        <v>23670</v>
      </c>
      <c r="K624" s="147"/>
      <c r="L624" s="143"/>
      <c r="M624" s="143"/>
      <c r="N624" s="143"/>
      <c r="O624" s="147"/>
      <c r="P624" s="167">
        <f t="shared" si="93"/>
        <v>23670</v>
      </c>
      <c r="Q624" s="167">
        <f t="shared" si="90"/>
        <v>0</v>
      </c>
      <c r="R624" s="167">
        <f t="shared" si="91"/>
        <v>23670</v>
      </c>
    </row>
    <row r="625" spans="2:18" x14ac:dyDescent="0.2">
      <c r="B625" s="172">
        <f t="shared" si="92"/>
        <v>126</v>
      </c>
      <c r="C625" s="144"/>
      <c r="D625" s="130"/>
      <c r="E625" s="130"/>
      <c r="F625" s="130" t="s">
        <v>199</v>
      </c>
      <c r="G625" s="194" t="s">
        <v>319</v>
      </c>
      <c r="H625" s="540">
        <v>320</v>
      </c>
      <c r="I625" s="540"/>
      <c r="J625" s="540">
        <f t="shared" si="88"/>
        <v>320</v>
      </c>
      <c r="K625" s="147"/>
      <c r="L625" s="143"/>
      <c r="M625" s="143"/>
      <c r="N625" s="143"/>
      <c r="O625" s="147"/>
      <c r="P625" s="168">
        <f t="shared" si="93"/>
        <v>320</v>
      </c>
      <c r="Q625" s="168">
        <f t="shared" si="90"/>
        <v>0</v>
      </c>
      <c r="R625" s="168">
        <f t="shared" si="91"/>
        <v>320</v>
      </c>
    </row>
    <row r="626" spans="2:18" x14ac:dyDescent="0.2">
      <c r="B626" s="172">
        <f t="shared" si="92"/>
        <v>127</v>
      </c>
      <c r="C626" s="144"/>
      <c r="D626" s="130"/>
      <c r="E626" s="130"/>
      <c r="F626" s="130" t="s">
        <v>200</v>
      </c>
      <c r="G626" s="194" t="s">
        <v>247</v>
      </c>
      <c r="H626" s="540">
        <f>3340+1300</f>
        <v>4640</v>
      </c>
      <c r="I626" s="540"/>
      <c r="J626" s="540">
        <f t="shared" si="88"/>
        <v>4640</v>
      </c>
      <c r="K626" s="147"/>
      <c r="L626" s="143"/>
      <c r="M626" s="143"/>
      <c r="N626" s="143"/>
      <c r="O626" s="147"/>
      <c r="P626" s="168">
        <f t="shared" si="93"/>
        <v>4640</v>
      </c>
      <c r="Q626" s="168">
        <f t="shared" si="90"/>
        <v>0</v>
      </c>
      <c r="R626" s="168">
        <f t="shared" si="91"/>
        <v>4640</v>
      </c>
    </row>
    <row r="627" spans="2:18" x14ac:dyDescent="0.2">
      <c r="B627" s="172">
        <f t="shared" si="92"/>
        <v>128</v>
      </c>
      <c r="C627" s="144"/>
      <c r="D627" s="130"/>
      <c r="E627" s="179"/>
      <c r="F627" s="130" t="s">
        <v>214</v>
      </c>
      <c r="G627" s="194" t="s">
        <v>261</v>
      </c>
      <c r="H627" s="540">
        <v>2200</v>
      </c>
      <c r="I627" s="540"/>
      <c r="J627" s="540">
        <f t="shared" si="88"/>
        <v>2200</v>
      </c>
      <c r="K627" s="147"/>
      <c r="L627" s="143"/>
      <c r="M627" s="143"/>
      <c r="N627" s="143"/>
      <c r="O627" s="147"/>
      <c r="P627" s="168">
        <f t="shared" si="93"/>
        <v>2200</v>
      </c>
      <c r="Q627" s="168">
        <f t="shared" si="90"/>
        <v>0</v>
      </c>
      <c r="R627" s="168">
        <f t="shared" si="91"/>
        <v>2200</v>
      </c>
    </row>
    <row r="628" spans="2:18" x14ac:dyDescent="0.2">
      <c r="B628" s="172">
        <f t="shared" si="92"/>
        <v>129</v>
      </c>
      <c r="C628" s="144"/>
      <c r="D628" s="130"/>
      <c r="E628" s="148"/>
      <c r="F628" s="130" t="s">
        <v>215</v>
      </c>
      <c r="G628" s="194" t="s">
        <v>347</v>
      </c>
      <c r="H628" s="540">
        <v>14900</v>
      </c>
      <c r="I628" s="540"/>
      <c r="J628" s="540">
        <f t="shared" si="88"/>
        <v>14900</v>
      </c>
      <c r="K628" s="147"/>
      <c r="L628" s="143"/>
      <c r="M628" s="143"/>
      <c r="N628" s="143"/>
      <c r="O628" s="147"/>
      <c r="P628" s="168">
        <f t="shared" si="93"/>
        <v>14900</v>
      </c>
      <c r="Q628" s="168">
        <f t="shared" si="90"/>
        <v>0</v>
      </c>
      <c r="R628" s="168">
        <f t="shared" si="91"/>
        <v>14900</v>
      </c>
    </row>
    <row r="629" spans="2:18" x14ac:dyDescent="0.2">
      <c r="B629" s="172">
        <f t="shared" si="92"/>
        <v>130</v>
      </c>
      <c r="C629" s="144"/>
      <c r="D629" s="130"/>
      <c r="E629" s="148"/>
      <c r="F629" s="130" t="s">
        <v>216</v>
      </c>
      <c r="G629" s="194" t="s">
        <v>248</v>
      </c>
      <c r="H629" s="540">
        <v>1610</v>
      </c>
      <c r="I629" s="540"/>
      <c r="J629" s="540">
        <f t="shared" si="88"/>
        <v>1610</v>
      </c>
      <c r="K629" s="147"/>
      <c r="L629" s="143"/>
      <c r="M629" s="143"/>
      <c r="N629" s="143"/>
      <c r="O629" s="147"/>
      <c r="P629" s="168">
        <f t="shared" si="93"/>
        <v>1610</v>
      </c>
      <c r="Q629" s="168">
        <f t="shared" si="90"/>
        <v>0</v>
      </c>
      <c r="R629" s="168">
        <f t="shared" si="91"/>
        <v>1610</v>
      </c>
    </row>
    <row r="630" spans="2:18" x14ac:dyDescent="0.2">
      <c r="B630" s="172">
        <f t="shared" si="92"/>
        <v>131</v>
      </c>
      <c r="C630" s="144"/>
      <c r="D630" s="130"/>
      <c r="E630" s="148"/>
      <c r="F630" s="282" t="s">
        <v>654</v>
      </c>
      <c r="G630" s="202" t="s">
        <v>667</v>
      </c>
      <c r="H630" s="375">
        <v>2050</v>
      </c>
      <c r="I630" s="375"/>
      <c r="J630" s="375">
        <f t="shared" ref="J630:J649" si="94">I630+H630</f>
        <v>2050</v>
      </c>
      <c r="K630" s="147"/>
      <c r="L630" s="143"/>
      <c r="M630" s="143"/>
      <c r="N630" s="143"/>
      <c r="O630" s="147"/>
      <c r="P630" s="167">
        <f t="shared" ref="P630:P649" si="95">H630+L630</f>
        <v>2050</v>
      </c>
      <c r="Q630" s="167">
        <f t="shared" ref="Q630:Q649" si="96">I630+M630</f>
        <v>0</v>
      </c>
      <c r="R630" s="167">
        <f t="shared" ref="R630:R649" si="97">Q630+P630</f>
        <v>2050</v>
      </c>
    </row>
    <row r="631" spans="2:18" ht="15" x14ac:dyDescent="0.25">
      <c r="B631" s="172">
        <f t="shared" si="92"/>
        <v>132</v>
      </c>
      <c r="C631" s="144"/>
      <c r="D631" s="28" t="s">
        <v>365</v>
      </c>
      <c r="E631" s="175" t="s">
        <v>290</v>
      </c>
      <c r="F631" s="149" t="s">
        <v>364</v>
      </c>
      <c r="G631" s="239"/>
      <c r="H631" s="416">
        <f>SUM(H632:H634)+H639</f>
        <v>228118</v>
      </c>
      <c r="I631" s="416">
        <f>SUM(I632:I634)+I639</f>
        <v>6808</v>
      </c>
      <c r="J631" s="416">
        <f t="shared" si="94"/>
        <v>234926</v>
      </c>
      <c r="K631" s="330"/>
      <c r="L631" s="422"/>
      <c r="M631" s="422"/>
      <c r="N631" s="422"/>
      <c r="O631" s="330"/>
      <c r="P631" s="328">
        <f t="shared" si="95"/>
        <v>228118</v>
      </c>
      <c r="Q631" s="328">
        <f t="shared" si="96"/>
        <v>6808</v>
      </c>
      <c r="R631" s="328">
        <f t="shared" si="97"/>
        <v>234926</v>
      </c>
    </row>
    <row r="632" spans="2:18" x14ac:dyDescent="0.2">
      <c r="B632" s="172">
        <f t="shared" ref="B632:B695" si="98">B631+1</f>
        <v>133</v>
      </c>
      <c r="C632" s="144"/>
      <c r="D632" s="145"/>
      <c r="E632" s="145"/>
      <c r="F632" s="145" t="s">
        <v>211</v>
      </c>
      <c r="G632" s="202" t="s">
        <v>506</v>
      </c>
      <c r="H632" s="375">
        <f>123650+6099</f>
        <v>129749</v>
      </c>
      <c r="I632" s="375">
        <v>5108</v>
      </c>
      <c r="J632" s="375">
        <f t="shared" si="94"/>
        <v>134857</v>
      </c>
      <c r="K632" s="147"/>
      <c r="L632" s="143"/>
      <c r="M632" s="143"/>
      <c r="N632" s="143"/>
      <c r="O632" s="147"/>
      <c r="P632" s="167">
        <f t="shared" si="95"/>
        <v>129749</v>
      </c>
      <c r="Q632" s="167">
        <f t="shared" si="96"/>
        <v>5108</v>
      </c>
      <c r="R632" s="167">
        <f t="shared" si="97"/>
        <v>134857</v>
      </c>
    </row>
    <row r="633" spans="2:18" x14ac:dyDescent="0.2">
      <c r="B633" s="172">
        <f t="shared" si="98"/>
        <v>134</v>
      </c>
      <c r="C633" s="144"/>
      <c r="D633" s="145"/>
      <c r="E633" s="145"/>
      <c r="F633" s="145" t="s">
        <v>212</v>
      </c>
      <c r="G633" s="202" t="s">
        <v>259</v>
      </c>
      <c r="H633" s="375">
        <f>45888+2261</f>
        <v>48149</v>
      </c>
      <c r="I633" s="375">
        <v>1700</v>
      </c>
      <c r="J633" s="375">
        <f t="shared" si="94"/>
        <v>49849</v>
      </c>
      <c r="K633" s="147"/>
      <c r="L633" s="143"/>
      <c r="M633" s="143"/>
      <c r="N633" s="143"/>
      <c r="O633" s="147"/>
      <c r="P633" s="167">
        <f t="shared" si="95"/>
        <v>48149</v>
      </c>
      <c r="Q633" s="167">
        <f t="shared" si="96"/>
        <v>1700</v>
      </c>
      <c r="R633" s="167">
        <f t="shared" si="97"/>
        <v>49849</v>
      </c>
    </row>
    <row r="634" spans="2:18" x14ac:dyDescent="0.2">
      <c r="B634" s="172">
        <f t="shared" si="98"/>
        <v>135</v>
      </c>
      <c r="C634" s="144"/>
      <c r="D634" s="145"/>
      <c r="E634" s="145"/>
      <c r="F634" s="145" t="s">
        <v>218</v>
      </c>
      <c r="G634" s="202" t="s">
        <v>341</v>
      </c>
      <c r="H634" s="375">
        <f>SUM(H635:H638)</f>
        <v>47650</v>
      </c>
      <c r="I634" s="375">
        <f>SUM(I635:I638)</f>
        <v>0</v>
      </c>
      <c r="J634" s="375">
        <f t="shared" si="94"/>
        <v>47650</v>
      </c>
      <c r="K634" s="147"/>
      <c r="L634" s="143"/>
      <c r="M634" s="143"/>
      <c r="N634" s="143"/>
      <c r="O634" s="147"/>
      <c r="P634" s="167">
        <f t="shared" si="95"/>
        <v>47650</v>
      </c>
      <c r="Q634" s="167">
        <f t="shared" si="96"/>
        <v>0</v>
      </c>
      <c r="R634" s="167">
        <f t="shared" si="97"/>
        <v>47650</v>
      </c>
    </row>
    <row r="635" spans="2:18" x14ac:dyDescent="0.2">
      <c r="B635" s="172">
        <f t="shared" si="98"/>
        <v>136</v>
      </c>
      <c r="C635" s="144"/>
      <c r="D635" s="130"/>
      <c r="E635" s="130"/>
      <c r="F635" s="130" t="s">
        <v>199</v>
      </c>
      <c r="G635" s="194" t="s">
        <v>319</v>
      </c>
      <c r="H635" s="540">
        <f>27000+2280</f>
        <v>29280</v>
      </c>
      <c r="I635" s="540"/>
      <c r="J635" s="540">
        <f t="shared" si="94"/>
        <v>29280</v>
      </c>
      <c r="K635" s="147"/>
      <c r="L635" s="143"/>
      <c r="M635" s="143"/>
      <c r="N635" s="143"/>
      <c r="O635" s="147"/>
      <c r="P635" s="168">
        <f t="shared" si="95"/>
        <v>29280</v>
      </c>
      <c r="Q635" s="168">
        <f t="shared" si="96"/>
        <v>0</v>
      </c>
      <c r="R635" s="168">
        <f t="shared" si="97"/>
        <v>29280</v>
      </c>
    </row>
    <row r="636" spans="2:18" x14ac:dyDescent="0.2">
      <c r="B636" s="172">
        <f t="shared" si="98"/>
        <v>137</v>
      </c>
      <c r="C636" s="144"/>
      <c r="D636" s="130"/>
      <c r="E636" s="130"/>
      <c r="F636" s="130" t="s">
        <v>200</v>
      </c>
      <c r="G636" s="194" t="s">
        <v>247</v>
      </c>
      <c r="H636" s="540">
        <v>8400</v>
      </c>
      <c r="I636" s="540"/>
      <c r="J636" s="540">
        <f t="shared" si="94"/>
        <v>8400</v>
      </c>
      <c r="K636" s="147"/>
      <c r="L636" s="143"/>
      <c r="M636" s="143"/>
      <c r="N636" s="143"/>
      <c r="O636" s="147"/>
      <c r="P636" s="168">
        <f t="shared" si="95"/>
        <v>8400</v>
      </c>
      <c r="Q636" s="168">
        <f t="shared" si="96"/>
        <v>0</v>
      </c>
      <c r="R636" s="168">
        <f t="shared" si="97"/>
        <v>8400</v>
      </c>
    </row>
    <row r="637" spans="2:18" x14ac:dyDescent="0.2">
      <c r="B637" s="172">
        <f t="shared" si="98"/>
        <v>138</v>
      </c>
      <c r="C637" s="144"/>
      <c r="D637" s="130"/>
      <c r="E637" s="148"/>
      <c r="F637" s="130" t="s">
        <v>215</v>
      </c>
      <c r="G637" s="194" t="s">
        <v>347</v>
      </c>
      <c r="H637" s="540">
        <v>4700</v>
      </c>
      <c r="I637" s="540"/>
      <c r="J637" s="540">
        <f t="shared" si="94"/>
        <v>4700</v>
      </c>
      <c r="K637" s="147"/>
      <c r="L637" s="143"/>
      <c r="M637" s="143"/>
      <c r="N637" s="143"/>
      <c r="O637" s="147"/>
      <c r="P637" s="168">
        <f t="shared" si="95"/>
        <v>4700</v>
      </c>
      <c r="Q637" s="168">
        <f t="shared" si="96"/>
        <v>0</v>
      </c>
      <c r="R637" s="168">
        <f t="shared" si="97"/>
        <v>4700</v>
      </c>
    </row>
    <row r="638" spans="2:18" x14ac:dyDescent="0.2">
      <c r="B638" s="172">
        <f t="shared" si="98"/>
        <v>139</v>
      </c>
      <c r="C638" s="144"/>
      <c r="D638" s="130"/>
      <c r="E638" s="148"/>
      <c r="F638" s="130" t="s">
        <v>216</v>
      </c>
      <c r="G638" s="194" t="s">
        <v>248</v>
      </c>
      <c r="H638" s="540">
        <v>5270</v>
      </c>
      <c r="I638" s="540"/>
      <c r="J638" s="540">
        <f t="shared" si="94"/>
        <v>5270</v>
      </c>
      <c r="K638" s="147"/>
      <c r="L638" s="143"/>
      <c r="M638" s="143"/>
      <c r="N638" s="143"/>
      <c r="O638" s="147"/>
      <c r="P638" s="168">
        <f t="shared" si="95"/>
        <v>5270</v>
      </c>
      <c r="Q638" s="168">
        <f t="shared" si="96"/>
        <v>0</v>
      </c>
      <c r="R638" s="168">
        <f t="shared" si="97"/>
        <v>5270</v>
      </c>
    </row>
    <row r="639" spans="2:18" x14ac:dyDescent="0.2">
      <c r="B639" s="172">
        <f t="shared" si="98"/>
        <v>140</v>
      </c>
      <c r="C639" s="144"/>
      <c r="D639" s="130"/>
      <c r="E639" s="148"/>
      <c r="F639" s="282" t="s">
        <v>654</v>
      </c>
      <c r="G639" s="202" t="s">
        <v>667</v>
      </c>
      <c r="H639" s="375">
        <v>2570</v>
      </c>
      <c r="I639" s="375"/>
      <c r="J639" s="375">
        <f t="shared" si="94"/>
        <v>2570</v>
      </c>
      <c r="K639" s="147"/>
      <c r="L639" s="143"/>
      <c r="M639" s="143"/>
      <c r="N639" s="143"/>
      <c r="O639" s="147"/>
      <c r="P639" s="167">
        <f t="shared" si="95"/>
        <v>2570</v>
      </c>
      <c r="Q639" s="167">
        <f t="shared" si="96"/>
        <v>0</v>
      </c>
      <c r="R639" s="167">
        <f t="shared" si="97"/>
        <v>2570</v>
      </c>
    </row>
    <row r="640" spans="2:18" ht="15" x14ac:dyDescent="0.25">
      <c r="B640" s="172">
        <f t="shared" si="98"/>
        <v>141</v>
      </c>
      <c r="C640" s="144"/>
      <c r="D640" s="28"/>
      <c r="E640" s="175" t="s">
        <v>290</v>
      </c>
      <c r="F640" s="149" t="s">
        <v>602</v>
      </c>
      <c r="G640" s="239"/>
      <c r="H640" s="416">
        <f>SUM(H641:H643)+H649</f>
        <v>377215</v>
      </c>
      <c r="I640" s="416">
        <f>SUM(I641:I643)+I649</f>
        <v>0</v>
      </c>
      <c r="J640" s="416">
        <f t="shared" si="94"/>
        <v>377215</v>
      </c>
      <c r="K640" s="330"/>
      <c r="L640" s="422"/>
      <c r="M640" s="422"/>
      <c r="N640" s="422"/>
      <c r="O640" s="330"/>
      <c r="P640" s="328">
        <f t="shared" si="95"/>
        <v>377215</v>
      </c>
      <c r="Q640" s="328">
        <f t="shared" si="96"/>
        <v>0</v>
      </c>
      <c r="R640" s="328">
        <f t="shared" si="97"/>
        <v>377215</v>
      </c>
    </row>
    <row r="641" spans="2:18" x14ac:dyDescent="0.2">
      <c r="B641" s="172">
        <f t="shared" si="98"/>
        <v>142</v>
      </c>
      <c r="C641" s="144"/>
      <c r="D641" s="145"/>
      <c r="E641" s="145"/>
      <c r="F641" s="145" t="s">
        <v>211</v>
      </c>
      <c r="G641" s="202" t="s">
        <v>506</v>
      </c>
      <c r="H641" s="375">
        <f>204325+10027</f>
        <v>214352</v>
      </c>
      <c r="I641" s="375"/>
      <c r="J641" s="375">
        <f t="shared" si="94"/>
        <v>214352</v>
      </c>
      <c r="K641" s="147"/>
      <c r="L641" s="143"/>
      <c r="M641" s="143"/>
      <c r="N641" s="143"/>
      <c r="O641" s="147"/>
      <c r="P641" s="167">
        <f t="shared" si="95"/>
        <v>214352</v>
      </c>
      <c r="Q641" s="167">
        <f t="shared" si="96"/>
        <v>0</v>
      </c>
      <c r="R641" s="167">
        <f t="shared" si="97"/>
        <v>214352</v>
      </c>
    </row>
    <row r="642" spans="2:18" x14ac:dyDescent="0.2">
      <c r="B642" s="172">
        <f t="shared" si="98"/>
        <v>143</v>
      </c>
      <c r="C642" s="144"/>
      <c r="D642" s="145"/>
      <c r="E642" s="145"/>
      <c r="F642" s="145" t="s">
        <v>212</v>
      </c>
      <c r="G642" s="202" t="s">
        <v>259</v>
      </c>
      <c r="H642" s="375">
        <f>74679+3659</f>
        <v>78338</v>
      </c>
      <c r="I642" s="375"/>
      <c r="J642" s="375">
        <f t="shared" si="94"/>
        <v>78338</v>
      </c>
      <c r="K642" s="147"/>
      <c r="L642" s="143"/>
      <c r="M642" s="143"/>
      <c r="N642" s="143"/>
      <c r="O642" s="147"/>
      <c r="P642" s="167">
        <f t="shared" si="95"/>
        <v>78338</v>
      </c>
      <c r="Q642" s="167">
        <f t="shared" si="96"/>
        <v>0</v>
      </c>
      <c r="R642" s="167">
        <f t="shared" si="97"/>
        <v>78338</v>
      </c>
    </row>
    <row r="643" spans="2:18" x14ac:dyDescent="0.2">
      <c r="B643" s="172">
        <f t="shared" si="98"/>
        <v>144</v>
      </c>
      <c r="C643" s="144"/>
      <c r="D643" s="145"/>
      <c r="E643" s="145"/>
      <c r="F643" s="145" t="s">
        <v>218</v>
      </c>
      <c r="G643" s="202" t="s">
        <v>341</v>
      </c>
      <c r="H643" s="375">
        <f>SUM(H644:H648)</f>
        <v>82580</v>
      </c>
      <c r="I643" s="375">
        <f>SUM(I644:I648)</f>
        <v>0</v>
      </c>
      <c r="J643" s="375">
        <f t="shared" si="94"/>
        <v>82580</v>
      </c>
      <c r="K643" s="147"/>
      <c r="L643" s="143"/>
      <c r="M643" s="143"/>
      <c r="N643" s="143"/>
      <c r="O643" s="147"/>
      <c r="P643" s="167">
        <f t="shared" si="95"/>
        <v>82580</v>
      </c>
      <c r="Q643" s="167">
        <f t="shared" si="96"/>
        <v>0</v>
      </c>
      <c r="R643" s="167">
        <f t="shared" si="97"/>
        <v>82580</v>
      </c>
    </row>
    <row r="644" spans="2:18" x14ac:dyDescent="0.2">
      <c r="B644" s="172">
        <f t="shared" si="98"/>
        <v>145</v>
      </c>
      <c r="C644" s="144"/>
      <c r="D644" s="130"/>
      <c r="E644" s="130"/>
      <c r="F644" s="130" t="s">
        <v>199</v>
      </c>
      <c r="G644" s="194" t="s">
        <v>319</v>
      </c>
      <c r="H644" s="540">
        <v>53230</v>
      </c>
      <c r="I644" s="540"/>
      <c r="J644" s="540">
        <f t="shared" si="94"/>
        <v>53230</v>
      </c>
      <c r="K644" s="147"/>
      <c r="L644" s="143"/>
      <c r="M644" s="143"/>
      <c r="N644" s="143"/>
      <c r="O644" s="147"/>
      <c r="P644" s="168">
        <f t="shared" si="95"/>
        <v>53230</v>
      </c>
      <c r="Q644" s="168">
        <f t="shared" si="96"/>
        <v>0</v>
      </c>
      <c r="R644" s="168">
        <f t="shared" si="97"/>
        <v>53230</v>
      </c>
    </row>
    <row r="645" spans="2:18" x14ac:dyDescent="0.2">
      <c r="B645" s="172">
        <f t="shared" si="98"/>
        <v>146</v>
      </c>
      <c r="C645" s="144"/>
      <c r="D645" s="130"/>
      <c r="E645" s="130"/>
      <c r="F645" s="130" t="s">
        <v>200</v>
      </c>
      <c r="G645" s="194" t="s">
        <v>247</v>
      </c>
      <c r="H645" s="540">
        <v>13300</v>
      </c>
      <c r="I645" s="540"/>
      <c r="J645" s="540">
        <f t="shared" si="94"/>
        <v>13300</v>
      </c>
      <c r="K645" s="147"/>
      <c r="L645" s="143"/>
      <c r="M645" s="143"/>
      <c r="N645" s="143"/>
      <c r="O645" s="147"/>
      <c r="P645" s="168">
        <f t="shared" si="95"/>
        <v>13300</v>
      </c>
      <c r="Q645" s="168">
        <f t="shared" si="96"/>
        <v>0</v>
      </c>
      <c r="R645" s="168">
        <f t="shared" si="97"/>
        <v>13300</v>
      </c>
    </row>
    <row r="646" spans="2:18" x14ac:dyDescent="0.2">
      <c r="B646" s="172">
        <f t="shared" si="98"/>
        <v>147</v>
      </c>
      <c r="C646" s="144"/>
      <c r="D646" s="130"/>
      <c r="E646" s="148"/>
      <c r="F646" s="130" t="s">
        <v>214</v>
      </c>
      <c r="G646" s="194" t="s">
        <v>261</v>
      </c>
      <c r="H646" s="369">
        <v>150</v>
      </c>
      <c r="I646" s="369"/>
      <c r="J646" s="369">
        <f t="shared" si="94"/>
        <v>150</v>
      </c>
      <c r="K646" s="147"/>
      <c r="L646" s="143"/>
      <c r="M646" s="143"/>
      <c r="N646" s="143"/>
      <c r="O646" s="147"/>
      <c r="P646" s="168">
        <f t="shared" si="95"/>
        <v>150</v>
      </c>
      <c r="Q646" s="168">
        <f t="shared" si="96"/>
        <v>0</v>
      </c>
      <c r="R646" s="168">
        <f t="shared" si="97"/>
        <v>150</v>
      </c>
    </row>
    <row r="647" spans="2:18" x14ac:dyDescent="0.2">
      <c r="B647" s="172">
        <f t="shared" si="98"/>
        <v>148</v>
      </c>
      <c r="C647" s="144"/>
      <c r="D647" s="130"/>
      <c r="E647" s="148"/>
      <c r="F647" s="130" t="s">
        <v>215</v>
      </c>
      <c r="G647" s="194" t="s">
        <v>347</v>
      </c>
      <c r="H647" s="540">
        <v>7300</v>
      </c>
      <c r="I647" s="540"/>
      <c r="J647" s="540">
        <f t="shared" si="94"/>
        <v>7300</v>
      </c>
      <c r="K647" s="147"/>
      <c r="L647" s="143"/>
      <c r="M647" s="143"/>
      <c r="N647" s="143"/>
      <c r="O647" s="147"/>
      <c r="P647" s="168">
        <f t="shared" si="95"/>
        <v>7300</v>
      </c>
      <c r="Q647" s="168">
        <f t="shared" si="96"/>
        <v>0</v>
      </c>
      <c r="R647" s="168">
        <f t="shared" si="97"/>
        <v>7300</v>
      </c>
    </row>
    <row r="648" spans="2:18" x14ac:dyDescent="0.2">
      <c r="B648" s="172">
        <f t="shared" si="98"/>
        <v>149</v>
      </c>
      <c r="C648" s="144"/>
      <c r="D648" s="130"/>
      <c r="E648" s="148"/>
      <c r="F648" s="130" t="s">
        <v>216</v>
      </c>
      <c r="G648" s="194" t="s">
        <v>248</v>
      </c>
      <c r="H648" s="540">
        <v>8600</v>
      </c>
      <c r="I648" s="540"/>
      <c r="J648" s="540">
        <f t="shared" si="94"/>
        <v>8600</v>
      </c>
      <c r="K648" s="147"/>
      <c r="L648" s="143"/>
      <c r="M648" s="143"/>
      <c r="N648" s="143"/>
      <c r="O648" s="147"/>
      <c r="P648" s="168">
        <f t="shared" si="95"/>
        <v>8600</v>
      </c>
      <c r="Q648" s="168">
        <f t="shared" si="96"/>
        <v>0</v>
      </c>
      <c r="R648" s="168">
        <f t="shared" si="97"/>
        <v>8600</v>
      </c>
    </row>
    <row r="649" spans="2:18" x14ac:dyDescent="0.2">
      <c r="B649" s="172">
        <f t="shared" si="98"/>
        <v>150</v>
      </c>
      <c r="C649" s="144"/>
      <c r="D649" s="130"/>
      <c r="E649" s="148"/>
      <c r="F649" s="282" t="s">
        <v>654</v>
      </c>
      <c r="G649" s="202" t="s">
        <v>667</v>
      </c>
      <c r="H649" s="375">
        <v>1945</v>
      </c>
      <c r="I649" s="375"/>
      <c r="J649" s="375">
        <f t="shared" si="94"/>
        <v>1945</v>
      </c>
      <c r="K649" s="147"/>
      <c r="L649" s="143"/>
      <c r="M649" s="143"/>
      <c r="N649" s="143"/>
      <c r="O649" s="147"/>
      <c r="P649" s="167">
        <f t="shared" si="95"/>
        <v>1945</v>
      </c>
      <c r="Q649" s="167">
        <f t="shared" si="96"/>
        <v>0</v>
      </c>
      <c r="R649" s="167">
        <f t="shared" si="97"/>
        <v>1945</v>
      </c>
    </row>
    <row r="650" spans="2:18" x14ac:dyDescent="0.2">
      <c r="B650" s="172">
        <f t="shared" si="98"/>
        <v>151</v>
      </c>
      <c r="C650" s="144"/>
      <c r="D650" s="130"/>
      <c r="E650" s="148"/>
      <c r="F650" s="145"/>
      <c r="G650" s="202"/>
      <c r="H650" s="540"/>
      <c r="I650" s="540"/>
      <c r="J650" s="540"/>
      <c r="K650" s="147"/>
      <c r="L650" s="143"/>
      <c r="M650" s="143"/>
      <c r="N650" s="143"/>
      <c r="O650" s="147"/>
      <c r="P650" s="168"/>
      <c r="Q650" s="168"/>
      <c r="R650" s="168"/>
    </row>
    <row r="651" spans="2:18" x14ac:dyDescent="0.2">
      <c r="B651" s="172">
        <f t="shared" si="98"/>
        <v>152</v>
      </c>
      <c r="C651" s="144"/>
      <c r="D651" s="130"/>
      <c r="E651" s="148"/>
      <c r="F651" s="145" t="s">
        <v>214</v>
      </c>
      <c r="G651" s="202" t="s">
        <v>694</v>
      </c>
      <c r="H651" s="540">
        <f>30000-3500-18551</f>
        <v>7949</v>
      </c>
      <c r="I651" s="540">
        <f>-3210-1000</f>
        <v>-4210</v>
      </c>
      <c r="J651" s="540">
        <f>I651+H651</f>
        <v>3739</v>
      </c>
      <c r="K651" s="147"/>
      <c r="L651" s="143"/>
      <c r="M651" s="143"/>
      <c r="N651" s="143"/>
      <c r="O651" s="147"/>
      <c r="P651" s="168">
        <f>H651+L651</f>
        <v>7949</v>
      </c>
      <c r="Q651" s="168">
        <f>I651+M651</f>
        <v>-4210</v>
      </c>
      <c r="R651" s="168">
        <f>Q651+P651</f>
        <v>3739</v>
      </c>
    </row>
    <row r="652" spans="2:18" x14ac:dyDescent="0.2">
      <c r="B652" s="172">
        <f t="shared" si="98"/>
        <v>153</v>
      </c>
      <c r="C652" s="144"/>
      <c r="D652" s="130"/>
      <c r="E652" s="148"/>
      <c r="F652" s="145"/>
      <c r="G652" s="202"/>
      <c r="H652" s="540"/>
      <c r="I652" s="540"/>
      <c r="J652" s="540"/>
      <c r="K652" s="147"/>
      <c r="L652" s="143"/>
      <c r="M652" s="143"/>
      <c r="N652" s="143"/>
      <c r="O652" s="147"/>
      <c r="P652" s="168"/>
      <c r="Q652" s="168"/>
      <c r="R652" s="168"/>
    </row>
    <row r="653" spans="2:18" x14ac:dyDescent="0.2">
      <c r="B653" s="172">
        <f t="shared" si="98"/>
        <v>154</v>
      </c>
      <c r="C653" s="144"/>
      <c r="D653" s="130"/>
      <c r="E653" s="148"/>
      <c r="F653" s="130" t="s">
        <v>217</v>
      </c>
      <c r="G653" s="202" t="s">
        <v>513</v>
      </c>
      <c r="H653" s="375">
        <v>40013</v>
      </c>
      <c r="I653" s="375"/>
      <c r="J653" s="375">
        <f>I653+H653</f>
        <v>40013</v>
      </c>
      <c r="K653" s="147"/>
      <c r="L653" s="143"/>
      <c r="M653" s="143"/>
      <c r="N653" s="143"/>
      <c r="O653" s="147"/>
      <c r="P653" s="167">
        <f>H653+L653</f>
        <v>40013</v>
      </c>
      <c r="Q653" s="167">
        <f t="shared" ref="Q653:Q655" si="99">I653+M653</f>
        <v>0</v>
      </c>
      <c r="R653" s="167">
        <f>Q653+P653</f>
        <v>40013</v>
      </c>
    </row>
    <row r="654" spans="2:18" x14ac:dyDescent="0.2">
      <c r="B654" s="172">
        <f t="shared" si="98"/>
        <v>155</v>
      </c>
      <c r="C654" s="144"/>
      <c r="D654" s="130"/>
      <c r="E654" s="148"/>
      <c r="F654" s="130" t="s">
        <v>217</v>
      </c>
      <c r="G654" s="202" t="s">
        <v>514</v>
      </c>
      <c r="H654" s="375">
        <v>83226</v>
      </c>
      <c r="I654" s="375"/>
      <c r="J654" s="375">
        <f>I654+H654</f>
        <v>83226</v>
      </c>
      <c r="K654" s="147"/>
      <c r="L654" s="143"/>
      <c r="M654" s="143"/>
      <c r="N654" s="143"/>
      <c r="O654" s="147"/>
      <c r="P654" s="167">
        <f>H654+L654</f>
        <v>83226</v>
      </c>
      <c r="Q654" s="167">
        <f t="shared" si="99"/>
        <v>0</v>
      </c>
      <c r="R654" s="167">
        <f>Q654+P654</f>
        <v>83226</v>
      </c>
    </row>
    <row r="655" spans="2:18" x14ac:dyDescent="0.2">
      <c r="B655" s="172">
        <f t="shared" si="98"/>
        <v>156</v>
      </c>
      <c r="C655" s="144"/>
      <c r="D655" s="130"/>
      <c r="E655" s="148"/>
      <c r="F655" s="130" t="s">
        <v>217</v>
      </c>
      <c r="G655" s="202" t="s">
        <v>515</v>
      </c>
      <c r="H655" s="375">
        <v>67221</v>
      </c>
      <c r="I655" s="375"/>
      <c r="J655" s="375">
        <f>I655+H655</f>
        <v>67221</v>
      </c>
      <c r="K655" s="147"/>
      <c r="L655" s="143"/>
      <c r="M655" s="143"/>
      <c r="N655" s="143"/>
      <c r="O655" s="147"/>
      <c r="P655" s="167">
        <f>H655+L655</f>
        <v>67221</v>
      </c>
      <c r="Q655" s="167">
        <f t="shared" si="99"/>
        <v>0</v>
      </c>
      <c r="R655" s="167">
        <f>Q655+P655</f>
        <v>67221</v>
      </c>
    </row>
    <row r="656" spans="2:18" x14ac:dyDescent="0.2">
      <c r="B656" s="172">
        <f t="shared" si="98"/>
        <v>157</v>
      </c>
      <c r="C656" s="144"/>
      <c r="D656" s="130"/>
      <c r="E656" s="148"/>
      <c r="F656" s="130"/>
      <c r="G656" s="202"/>
      <c r="H656" s="375"/>
      <c r="I656" s="375"/>
      <c r="J656" s="375"/>
      <c r="K656" s="147"/>
      <c r="L656" s="143"/>
      <c r="M656" s="143"/>
      <c r="N656" s="143"/>
      <c r="O656" s="147"/>
      <c r="P656" s="168"/>
      <c r="Q656" s="168"/>
      <c r="R656" s="168"/>
    </row>
    <row r="657" spans="2:18" ht="15.75" x14ac:dyDescent="0.25">
      <c r="B657" s="172">
        <f t="shared" si="98"/>
        <v>158</v>
      </c>
      <c r="C657" s="20">
        <v>2</v>
      </c>
      <c r="D657" s="125" t="s">
        <v>107</v>
      </c>
      <c r="E657" s="21"/>
      <c r="F657" s="21"/>
      <c r="G657" s="195"/>
      <c r="H657" s="404">
        <f>H658+H668+H692+H715+H742+H767+H791+H814+H836</f>
        <v>6426991</v>
      </c>
      <c r="I657" s="404">
        <f>I658+I668+I692+I715+I742+I767+I791+I814+I836</f>
        <v>654</v>
      </c>
      <c r="J657" s="404">
        <f t="shared" ref="J657:J720" si="100">I657+H657</f>
        <v>6427645</v>
      </c>
      <c r="K657" s="785"/>
      <c r="L657" s="456">
        <f>L658+L668+L692+L715+L742+L767+L791+L814+L836</f>
        <v>115216</v>
      </c>
      <c r="M657" s="801">
        <f>M658+M668+M692+M715+M742+M767+M791+M814+M836</f>
        <v>0</v>
      </c>
      <c r="N657" s="801">
        <f>M657+L657</f>
        <v>115216</v>
      </c>
      <c r="O657" s="785"/>
      <c r="P657" s="378">
        <f t="shared" ref="P657:P688" si="101">H657+L657</f>
        <v>6542207</v>
      </c>
      <c r="Q657" s="378">
        <f t="shared" ref="Q657:Q720" si="102">I657+M657</f>
        <v>654</v>
      </c>
      <c r="R657" s="378">
        <f t="shared" ref="R657:R720" si="103">Q657+P657</f>
        <v>6542861</v>
      </c>
    </row>
    <row r="658" spans="2:18" ht="15" x14ac:dyDescent="0.25">
      <c r="B658" s="172">
        <f t="shared" si="98"/>
        <v>159</v>
      </c>
      <c r="C658" s="144"/>
      <c r="D658" s="153" t="s">
        <v>4</v>
      </c>
      <c r="E658" s="149"/>
      <c r="F658" s="149" t="s">
        <v>245</v>
      </c>
      <c r="G658" s="239"/>
      <c r="H658" s="416">
        <f>H660+H661+H662</f>
        <v>105269</v>
      </c>
      <c r="I658" s="416">
        <f>I660+I661+I662</f>
        <v>0</v>
      </c>
      <c r="J658" s="416">
        <f t="shared" si="100"/>
        <v>105269</v>
      </c>
      <c r="K658" s="330"/>
      <c r="L658" s="420"/>
      <c r="M658" s="420"/>
      <c r="N658" s="420"/>
      <c r="O658" s="330"/>
      <c r="P658" s="329">
        <f t="shared" si="101"/>
        <v>105269</v>
      </c>
      <c r="Q658" s="329">
        <f t="shared" si="102"/>
        <v>0</v>
      </c>
      <c r="R658" s="329">
        <f t="shared" si="103"/>
        <v>105269</v>
      </c>
    </row>
    <row r="659" spans="2:18" ht="15" x14ac:dyDescent="0.25">
      <c r="B659" s="172">
        <f t="shared" si="98"/>
        <v>160</v>
      </c>
      <c r="C659" s="144"/>
      <c r="D659" s="528"/>
      <c r="E659" s="532" t="s">
        <v>429</v>
      </c>
      <c r="F659" s="532" t="s">
        <v>689</v>
      </c>
      <c r="G659" s="531"/>
      <c r="H659" s="533">
        <f>H660+H661+H662</f>
        <v>105269</v>
      </c>
      <c r="I659" s="533">
        <f>I660+I661+I662</f>
        <v>0</v>
      </c>
      <c r="J659" s="533">
        <f t="shared" si="100"/>
        <v>105269</v>
      </c>
      <c r="K659" s="330"/>
      <c r="L659" s="530"/>
      <c r="M659" s="530"/>
      <c r="N659" s="530"/>
      <c r="O659" s="330"/>
      <c r="P659" s="534">
        <f t="shared" si="101"/>
        <v>105269</v>
      </c>
      <c r="Q659" s="534">
        <f t="shared" si="102"/>
        <v>0</v>
      </c>
      <c r="R659" s="534">
        <f t="shared" si="103"/>
        <v>105269</v>
      </c>
    </row>
    <row r="660" spans="2:18" x14ac:dyDescent="0.2">
      <c r="B660" s="172">
        <f t="shared" si="98"/>
        <v>161</v>
      </c>
      <c r="C660" s="144"/>
      <c r="D660" s="145"/>
      <c r="E660" s="145"/>
      <c r="F660" s="145" t="s">
        <v>211</v>
      </c>
      <c r="G660" s="202" t="s">
        <v>506</v>
      </c>
      <c r="H660" s="543">
        <f>57940+2150</f>
        <v>60090</v>
      </c>
      <c r="I660" s="543"/>
      <c r="J660" s="543">
        <f t="shared" si="100"/>
        <v>60090</v>
      </c>
      <c r="K660" s="332"/>
      <c r="L660" s="390"/>
      <c r="M660" s="390"/>
      <c r="N660" s="390"/>
      <c r="O660" s="332"/>
      <c r="P660" s="167">
        <f t="shared" si="101"/>
        <v>60090</v>
      </c>
      <c r="Q660" s="167">
        <f t="shared" si="102"/>
        <v>0</v>
      </c>
      <c r="R660" s="167">
        <f t="shared" si="103"/>
        <v>60090</v>
      </c>
    </row>
    <row r="661" spans="2:18" x14ac:dyDescent="0.2">
      <c r="B661" s="172">
        <f t="shared" si="98"/>
        <v>162</v>
      </c>
      <c r="C661" s="144"/>
      <c r="D661" s="145"/>
      <c r="E661" s="145"/>
      <c r="F661" s="145" t="s">
        <v>212</v>
      </c>
      <c r="G661" s="202" t="s">
        <v>259</v>
      </c>
      <c r="H661" s="543">
        <f>20250+1756</f>
        <v>22006</v>
      </c>
      <c r="I661" s="543"/>
      <c r="J661" s="543">
        <f t="shared" si="100"/>
        <v>22006</v>
      </c>
      <c r="K661" s="332"/>
      <c r="L661" s="390"/>
      <c r="M661" s="390"/>
      <c r="N661" s="390"/>
      <c r="O661" s="332"/>
      <c r="P661" s="167">
        <f t="shared" si="101"/>
        <v>22006</v>
      </c>
      <c r="Q661" s="167">
        <f t="shared" si="102"/>
        <v>0</v>
      </c>
      <c r="R661" s="167">
        <f t="shared" si="103"/>
        <v>22006</v>
      </c>
    </row>
    <row r="662" spans="2:18" x14ac:dyDescent="0.2">
      <c r="B662" s="172">
        <f t="shared" si="98"/>
        <v>163</v>
      </c>
      <c r="C662" s="144"/>
      <c r="D662" s="145"/>
      <c r="E662" s="145"/>
      <c r="F662" s="145" t="s">
        <v>218</v>
      </c>
      <c r="G662" s="202" t="s">
        <v>341</v>
      </c>
      <c r="H662" s="543">
        <f>SUM(H663:H667)</f>
        <v>23173</v>
      </c>
      <c r="I662" s="543">
        <f>SUM(I663:I667)</f>
        <v>0</v>
      </c>
      <c r="J662" s="543">
        <f t="shared" si="100"/>
        <v>23173</v>
      </c>
      <c r="K662" s="332"/>
      <c r="L662" s="390"/>
      <c r="M662" s="390"/>
      <c r="N662" s="390"/>
      <c r="O662" s="332"/>
      <c r="P662" s="167">
        <f t="shared" si="101"/>
        <v>23173</v>
      </c>
      <c r="Q662" s="167">
        <f t="shared" si="102"/>
        <v>0</v>
      </c>
      <c r="R662" s="167">
        <f t="shared" si="103"/>
        <v>23173</v>
      </c>
    </row>
    <row r="663" spans="2:18" x14ac:dyDescent="0.2">
      <c r="B663" s="172">
        <f t="shared" si="98"/>
        <v>164</v>
      </c>
      <c r="C663" s="144"/>
      <c r="D663" s="145"/>
      <c r="E663" s="145"/>
      <c r="F663" s="130" t="s">
        <v>199</v>
      </c>
      <c r="G663" s="194" t="s">
        <v>246</v>
      </c>
      <c r="H663" s="389">
        <f>6345+8461</f>
        <v>14806</v>
      </c>
      <c r="I663" s="389"/>
      <c r="J663" s="389">
        <f t="shared" si="100"/>
        <v>14806</v>
      </c>
      <c r="K663" s="332"/>
      <c r="L663" s="390"/>
      <c r="M663" s="390"/>
      <c r="N663" s="390"/>
      <c r="O663" s="332"/>
      <c r="P663" s="168">
        <f t="shared" si="101"/>
        <v>14806</v>
      </c>
      <c r="Q663" s="168">
        <f t="shared" si="102"/>
        <v>0</v>
      </c>
      <c r="R663" s="168">
        <f t="shared" si="103"/>
        <v>14806</v>
      </c>
    </row>
    <row r="664" spans="2:18" x14ac:dyDescent="0.2">
      <c r="B664" s="172">
        <f t="shared" si="98"/>
        <v>165</v>
      </c>
      <c r="C664" s="144"/>
      <c r="D664" s="145"/>
      <c r="E664" s="145"/>
      <c r="F664" s="130" t="s">
        <v>200</v>
      </c>
      <c r="G664" s="194" t="s">
        <v>247</v>
      </c>
      <c r="H664" s="389">
        <v>4700</v>
      </c>
      <c r="I664" s="389"/>
      <c r="J664" s="389">
        <f t="shared" si="100"/>
        <v>4700</v>
      </c>
      <c r="K664" s="332"/>
      <c r="L664" s="390"/>
      <c r="M664" s="390"/>
      <c r="N664" s="390"/>
      <c r="O664" s="332"/>
      <c r="P664" s="168">
        <f t="shared" si="101"/>
        <v>4700</v>
      </c>
      <c r="Q664" s="168">
        <f t="shared" si="102"/>
        <v>0</v>
      </c>
      <c r="R664" s="168">
        <f t="shared" si="103"/>
        <v>4700</v>
      </c>
    </row>
    <row r="665" spans="2:18" x14ac:dyDescent="0.2">
      <c r="B665" s="172">
        <f t="shared" si="98"/>
        <v>166</v>
      </c>
      <c r="C665" s="144"/>
      <c r="D665" s="145"/>
      <c r="E665" s="145"/>
      <c r="F665" s="130" t="s">
        <v>214</v>
      </c>
      <c r="G665" s="194" t="s">
        <v>261</v>
      </c>
      <c r="H665" s="389">
        <v>1000</v>
      </c>
      <c r="I665" s="389"/>
      <c r="J665" s="389">
        <f t="shared" si="100"/>
        <v>1000</v>
      </c>
      <c r="K665" s="332"/>
      <c r="L665" s="390"/>
      <c r="M665" s="428"/>
      <c r="N665" s="428"/>
      <c r="O665" s="332"/>
      <c r="P665" s="168">
        <f t="shared" si="101"/>
        <v>1000</v>
      </c>
      <c r="Q665" s="169">
        <f t="shared" si="102"/>
        <v>0</v>
      </c>
      <c r="R665" s="169">
        <f t="shared" si="103"/>
        <v>1000</v>
      </c>
    </row>
    <row r="666" spans="2:18" x14ac:dyDescent="0.2">
      <c r="B666" s="172">
        <f t="shared" si="98"/>
        <v>167</v>
      </c>
      <c r="C666" s="144"/>
      <c r="D666" s="145"/>
      <c r="E666" s="145"/>
      <c r="F666" s="130" t="s">
        <v>216</v>
      </c>
      <c r="G666" s="194" t="s">
        <v>248</v>
      </c>
      <c r="H666" s="389">
        <v>2460</v>
      </c>
      <c r="I666" s="389"/>
      <c r="J666" s="389">
        <f t="shared" si="100"/>
        <v>2460</v>
      </c>
      <c r="K666" s="332"/>
      <c r="L666" s="390"/>
      <c r="M666" s="428"/>
      <c r="N666" s="428"/>
      <c r="O666" s="332"/>
      <c r="P666" s="168">
        <f t="shared" si="101"/>
        <v>2460</v>
      </c>
      <c r="Q666" s="169">
        <f t="shared" si="102"/>
        <v>0</v>
      </c>
      <c r="R666" s="169">
        <f t="shared" si="103"/>
        <v>2460</v>
      </c>
    </row>
    <row r="667" spans="2:18" x14ac:dyDescent="0.2">
      <c r="B667" s="172">
        <f t="shared" si="98"/>
        <v>168</v>
      </c>
      <c r="C667" s="144"/>
      <c r="D667" s="166"/>
      <c r="E667" s="166"/>
      <c r="F667" s="170" t="s">
        <v>218</v>
      </c>
      <c r="G667" s="194" t="s">
        <v>794</v>
      </c>
      <c r="H667" s="425">
        <v>207</v>
      </c>
      <c r="I667" s="425"/>
      <c r="J667" s="425">
        <f t="shared" si="100"/>
        <v>207</v>
      </c>
      <c r="K667" s="332"/>
      <c r="L667" s="428"/>
      <c r="M667" s="428"/>
      <c r="N667" s="428"/>
      <c r="O667" s="332"/>
      <c r="P667" s="169">
        <f t="shared" si="101"/>
        <v>207</v>
      </c>
      <c r="Q667" s="169">
        <f t="shared" si="102"/>
        <v>0</v>
      </c>
      <c r="R667" s="169">
        <f t="shared" si="103"/>
        <v>207</v>
      </c>
    </row>
    <row r="668" spans="2:18" ht="15" x14ac:dyDescent="0.25">
      <c r="B668" s="172">
        <f t="shared" si="98"/>
        <v>169</v>
      </c>
      <c r="C668" s="75"/>
      <c r="D668" s="265">
        <v>2</v>
      </c>
      <c r="E668" s="265"/>
      <c r="F668" s="265" t="s">
        <v>366</v>
      </c>
      <c r="G668" s="266"/>
      <c r="H668" s="418">
        <f>H669+H680</f>
        <v>1090554</v>
      </c>
      <c r="I668" s="418">
        <f>I669+I680</f>
        <v>0</v>
      </c>
      <c r="J668" s="418">
        <f t="shared" si="100"/>
        <v>1090554</v>
      </c>
      <c r="K668" s="335"/>
      <c r="L668" s="513"/>
      <c r="M668" s="802"/>
      <c r="N668" s="802"/>
      <c r="O668" s="335"/>
      <c r="P668" s="333">
        <f t="shared" si="101"/>
        <v>1090554</v>
      </c>
      <c r="Q668" s="803">
        <f t="shared" si="102"/>
        <v>0</v>
      </c>
      <c r="R668" s="803">
        <f t="shared" si="103"/>
        <v>1090554</v>
      </c>
    </row>
    <row r="669" spans="2:18" ht="14.25" x14ac:dyDescent="0.2">
      <c r="B669" s="172">
        <f t="shared" si="98"/>
        <v>170</v>
      </c>
      <c r="C669" s="75"/>
      <c r="D669" s="528"/>
      <c r="E669" s="535" t="s">
        <v>429</v>
      </c>
      <c r="F669" s="532" t="s">
        <v>689</v>
      </c>
      <c r="G669" s="531"/>
      <c r="H669" s="533">
        <f>H670+H671+H672+H679</f>
        <v>399510</v>
      </c>
      <c r="I669" s="533">
        <f>I670+I671+I672+I679</f>
        <v>0</v>
      </c>
      <c r="J669" s="533">
        <f t="shared" si="100"/>
        <v>399510</v>
      </c>
      <c r="K669" s="335"/>
      <c r="L669" s="530"/>
      <c r="M669" s="530"/>
      <c r="N669" s="530"/>
      <c r="O669" s="335"/>
      <c r="P669" s="534">
        <f t="shared" si="101"/>
        <v>399510</v>
      </c>
      <c r="Q669" s="534">
        <f t="shared" si="102"/>
        <v>0</v>
      </c>
      <c r="R669" s="534">
        <f t="shared" si="103"/>
        <v>399510</v>
      </c>
    </row>
    <row r="670" spans="2:18" x14ac:dyDescent="0.2">
      <c r="B670" s="172">
        <f t="shared" si="98"/>
        <v>171</v>
      </c>
      <c r="C670" s="144"/>
      <c r="D670" s="130"/>
      <c r="E670" s="145"/>
      <c r="F670" s="145" t="s">
        <v>211</v>
      </c>
      <c r="G670" s="202" t="s">
        <v>506</v>
      </c>
      <c r="H670" s="543">
        <f>244146-2572</f>
        <v>241574</v>
      </c>
      <c r="I670" s="543"/>
      <c r="J670" s="543">
        <f t="shared" si="100"/>
        <v>241574</v>
      </c>
      <c r="K670" s="332"/>
      <c r="L670" s="390"/>
      <c r="M670" s="390"/>
      <c r="N670" s="390"/>
      <c r="O670" s="332"/>
      <c r="P670" s="167">
        <f t="shared" si="101"/>
        <v>241574</v>
      </c>
      <c r="Q670" s="167">
        <f t="shared" si="102"/>
        <v>0</v>
      </c>
      <c r="R670" s="167">
        <f t="shared" si="103"/>
        <v>241574</v>
      </c>
    </row>
    <row r="671" spans="2:18" x14ac:dyDescent="0.2">
      <c r="B671" s="172">
        <f t="shared" si="98"/>
        <v>172</v>
      </c>
      <c r="C671" s="144"/>
      <c r="D671" s="130"/>
      <c r="E671" s="145"/>
      <c r="F671" s="145" t="s">
        <v>212</v>
      </c>
      <c r="G671" s="202" t="s">
        <v>259</v>
      </c>
      <c r="H671" s="543">
        <f>85440-898</f>
        <v>84542</v>
      </c>
      <c r="I671" s="543"/>
      <c r="J671" s="543">
        <f t="shared" si="100"/>
        <v>84542</v>
      </c>
      <c r="K671" s="332"/>
      <c r="L671" s="390"/>
      <c r="M671" s="390"/>
      <c r="N671" s="390"/>
      <c r="O671" s="332"/>
      <c r="P671" s="167">
        <f t="shared" si="101"/>
        <v>84542</v>
      </c>
      <c r="Q671" s="167">
        <f t="shared" si="102"/>
        <v>0</v>
      </c>
      <c r="R671" s="167">
        <f t="shared" si="103"/>
        <v>84542</v>
      </c>
    </row>
    <row r="672" spans="2:18" x14ac:dyDescent="0.2">
      <c r="B672" s="172">
        <f t="shared" si="98"/>
        <v>173</v>
      </c>
      <c r="C672" s="144"/>
      <c r="D672" s="130"/>
      <c r="E672" s="145"/>
      <c r="F672" s="145" t="s">
        <v>218</v>
      </c>
      <c r="G672" s="202" t="s">
        <v>341</v>
      </c>
      <c r="H672" s="543">
        <f>SUM(H673:H678)</f>
        <v>69754</v>
      </c>
      <c r="I672" s="543">
        <f>SUM(I673:I678)</f>
        <v>0</v>
      </c>
      <c r="J672" s="543">
        <f t="shared" si="100"/>
        <v>69754</v>
      </c>
      <c r="K672" s="332"/>
      <c r="L672" s="390"/>
      <c r="M672" s="390"/>
      <c r="N672" s="390"/>
      <c r="O672" s="332"/>
      <c r="P672" s="167">
        <f t="shared" si="101"/>
        <v>69754</v>
      </c>
      <c r="Q672" s="167">
        <f t="shared" si="102"/>
        <v>0</v>
      </c>
      <c r="R672" s="167">
        <f t="shared" si="103"/>
        <v>69754</v>
      </c>
    </row>
    <row r="673" spans="2:18" x14ac:dyDescent="0.2">
      <c r="B673" s="172">
        <f t="shared" si="98"/>
        <v>174</v>
      </c>
      <c r="C673" s="129"/>
      <c r="D673" s="130"/>
      <c r="E673" s="130"/>
      <c r="F673" s="130" t="s">
        <v>213</v>
      </c>
      <c r="G673" s="194" t="s">
        <v>255</v>
      </c>
      <c r="H673" s="389">
        <v>16</v>
      </c>
      <c r="I673" s="389"/>
      <c r="J673" s="389">
        <f t="shared" si="100"/>
        <v>16</v>
      </c>
      <c r="K673" s="334"/>
      <c r="L673" s="430"/>
      <c r="M673" s="430"/>
      <c r="N673" s="430"/>
      <c r="O673" s="334"/>
      <c r="P673" s="168">
        <f t="shared" si="101"/>
        <v>16</v>
      </c>
      <c r="Q673" s="168">
        <f t="shared" si="102"/>
        <v>0</v>
      </c>
      <c r="R673" s="168">
        <f t="shared" si="103"/>
        <v>16</v>
      </c>
    </row>
    <row r="674" spans="2:18" x14ac:dyDescent="0.2">
      <c r="B674" s="172">
        <f t="shared" si="98"/>
        <v>175</v>
      </c>
      <c r="C674" s="129"/>
      <c r="D674" s="130"/>
      <c r="E674" s="130"/>
      <c r="F674" s="130" t="s">
        <v>199</v>
      </c>
      <c r="G674" s="194" t="s">
        <v>319</v>
      </c>
      <c r="H674" s="389">
        <v>44016</v>
      </c>
      <c r="I674" s="389"/>
      <c r="J674" s="389">
        <f t="shared" si="100"/>
        <v>44016</v>
      </c>
      <c r="K674" s="334"/>
      <c r="L674" s="430"/>
      <c r="M674" s="430"/>
      <c r="N674" s="430"/>
      <c r="O674" s="334"/>
      <c r="P674" s="168">
        <f t="shared" si="101"/>
        <v>44016</v>
      </c>
      <c r="Q674" s="168">
        <f t="shared" si="102"/>
        <v>0</v>
      </c>
      <c r="R674" s="168">
        <f t="shared" si="103"/>
        <v>44016</v>
      </c>
    </row>
    <row r="675" spans="2:18" x14ac:dyDescent="0.2">
      <c r="B675" s="172">
        <f t="shared" si="98"/>
        <v>176</v>
      </c>
      <c r="C675" s="129"/>
      <c r="D675" s="130"/>
      <c r="E675" s="130"/>
      <c r="F675" s="130" t="s">
        <v>200</v>
      </c>
      <c r="G675" s="194" t="s">
        <v>247</v>
      </c>
      <c r="H675" s="389">
        <v>11390</v>
      </c>
      <c r="I675" s="389"/>
      <c r="J675" s="389">
        <f t="shared" si="100"/>
        <v>11390</v>
      </c>
      <c r="K675" s="334"/>
      <c r="L675" s="430"/>
      <c r="M675" s="430"/>
      <c r="N675" s="430"/>
      <c r="O675" s="334"/>
      <c r="P675" s="168">
        <f t="shared" si="101"/>
        <v>11390</v>
      </c>
      <c r="Q675" s="168">
        <f t="shared" si="102"/>
        <v>0</v>
      </c>
      <c r="R675" s="168">
        <f t="shared" si="103"/>
        <v>11390</v>
      </c>
    </row>
    <row r="676" spans="2:18" x14ac:dyDescent="0.2">
      <c r="B676" s="172">
        <f t="shared" si="98"/>
        <v>177</v>
      </c>
      <c r="C676" s="144"/>
      <c r="D676" s="130"/>
      <c r="E676" s="148"/>
      <c r="F676" s="130" t="s">
        <v>201</v>
      </c>
      <c r="G676" s="194" t="s">
        <v>367</v>
      </c>
      <c r="H676" s="389">
        <v>10</v>
      </c>
      <c r="I676" s="389"/>
      <c r="J676" s="389">
        <f t="shared" si="100"/>
        <v>10</v>
      </c>
      <c r="K676" s="332"/>
      <c r="L676" s="390"/>
      <c r="M676" s="390"/>
      <c r="N676" s="390"/>
      <c r="O676" s="332"/>
      <c r="P676" s="168">
        <f t="shared" si="101"/>
        <v>10</v>
      </c>
      <c r="Q676" s="168">
        <f t="shared" si="102"/>
        <v>0</v>
      </c>
      <c r="R676" s="168">
        <f t="shared" si="103"/>
        <v>10</v>
      </c>
    </row>
    <row r="677" spans="2:18" x14ac:dyDescent="0.2">
      <c r="B677" s="172">
        <f t="shared" si="98"/>
        <v>178</v>
      </c>
      <c r="C677" s="75"/>
      <c r="D677" s="130"/>
      <c r="E677" s="148"/>
      <c r="F677" s="130" t="s">
        <v>214</v>
      </c>
      <c r="G677" s="194" t="s">
        <v>261</v>
      </c>
      <c r="H677" s="389">
        <f>1532+4304</f>
        <v>5836</v>
      </c>
      <c r="I677" s="389"/>
      <c r="J677" s="389">
        <f t="shared" si="100"/>
        <v>5836</v>
      </c>
      <c r="K677" s="334"/>
      <c r="L677" s="430"/>
      <c r="M677" s="430"/>
      <c r="N677" s="430"/>
      <c r="O677" s="334"/>
      <c r="P677" s="168">
        <f t="shared" si="101"/>
        <v>5836</v>
      </c>
      <c r="Q677" s="168">
        <f t="shared" si="102"/>
        <v>0</v>
      </c>
      <c r="R677" s="168">
        <f t="shared" si="103"/>
        <v>5836</v>
      </c>
    </row>
    <row r="678" spans="2:18" x14ac:dyDescent="0.2">
      <c r="B678" s="172">
        <f t="shared" si="98"/>
        <v>179</v>
      </c>
      <c r="C678" s="129"/>
      <c r="D678" s="130"/>
      <c r="E678" s="148"/>
      <c r="F678" s="130" t="s">
        <v>216</v>
      </c>
      <c r="G678" s="194" t="s">
        <v>248</v>
      </c>
      <c r="H678" s="389">
        <v>8486</v>
      </c>
      <c r="I678" s="389"/>
      <c r="J678" s="389">
        <f t="shared" si="100"/>
        <v>8486</v>
      </c>
      <c r="K678" s="334"/>
      <c r="L678" s="430"/>
      <c r="M678" s="430"/>
      <c r="N678" s="430"/>
      <c r="O678" s="334"/>
      <c r="P678" s="168">
        <f t="shared" si="101"/>
        <v>8486</v>
      </c>
      <c r="Q678" s="168">
        <f t="shared" si="102"/>
        <v>0</v>
      </c>
      <c r="R678" s="168">
        <f t="shared" si="103"/>
        <v>8486</v>
      </c>
    </row>
    <row r="679" spans="2:18" x14ac:dyDescent="0.2">
      <c r="B679" s="172">
        <f t="shared" si="98"/>
        <v>180</v>
      </c>
      <c r="C679" s="129"/>
      <c r="D679" s="130"/>
      <c r="E679" s="441"/>
      <c r="F679" s="282" t="s">
        <v>217</v>
      </c>
      <c r="G679" s="202" t="s">
        <v>372</v>
      </c>
      <c r="H679" s="543">
        <f>3440+200</f>
        <v>3640</v>
      </c>
      <c r="I679" s="543"/>
      <c r="J679" s="543">
        <f t="shared" si="100"/>
        <v>3640</v>
      </c>
      <c r="K679" s="334"/>
      <c r="L679" s="544"/>
      <c r="M679" s="544"/>
      <c r="N679" s="544"/>
      <c r="O679" s="334"/>
      <c r="P679" s="545">
        <f t="shared" si="101"/>
        <v>3640</v>
      </c>
      <c r="Q679" s="545">
        <f t="shared" si="102"/>
        <v>0</v>
      </c>
      <c r="R679" s="545">
        <f t="shared" si="103"/>
        <v>3640</v>
      </c>
    </row>
    <row r="680" spans="2:18" ht="14.25" x14ac:dyDescent="0.2">
      <c r="B680" s="172">
        <f t="shared" si="98"/>
        <v>181</v>
      </c>
      <c r="C680" s="129"/>
      <c r="D680" s="130"/>
      <c r="E680" s="535" t="s">
        <v>687</v>
      </c>
      <c r="F680" s="532" t="s">
        <v>688</v>
      </c>
      <c r="G680" s="528"/>
      <c r="H680" s="536">
        <f>H681+H682+H683+H691</f>
        <v>691044</v>
      </c>
      <c r="I680" s="536">
        <f>I681+I682+I683+I691</f>
        <v>0</v>
      </c>
      <c r="J680" s="536">
        <f t="shared" si="100"/>
        <v>691044</v>
      </c>
      <c r="K680" s="334"/>
      <c r="L680" s="530"/>
      <c r="M680" s="530"/>
      <c r="N680" s="530"/>
      <c r="O680" s="334"/>
      <c r="P680" s="534">
        <f t="shared" si="101"/>
        <v>691044</v>
      </c>
      <c r="Q680" s="534">
        <f t="shared" si="102"/>
        <v>0</v>
      </c>
      <c r="R680" s="534">
        <f t="shared" si="103"/>
        <v>691044</v>
      </c>
    </row>
    <row r="681" spans="2:18" x14ac:dyDescent="0.2">
      <c r="B681" s="172">
        <f t="shared" si="98"/>
        <v>182</v>
      </c>
      <c r="C681" s="129"/>
      <c r="D681" s="130"/>
      <c r="E681" s="166"/>
      <c r="F681" s="145" t="s">
        <v>211</v>
      </c>
      <c r="G681" s="202" t="s">
        <v>506</v>
      </c>
      <c r="H681" s="474">
        <f>375019+8890-3858</f>
        <v>380051</v>
      </c>
      <c r="I681" s="474"/>
      <c r="J681" s="474">
        <f t="shared" si="100"/>
        <v>380051</v>
      </c>
      <c r="K681" s="334"/>
      <c r="L681" s="544"/>
      <c r="M681" s="544"/>
      <c r="N681" s="544"/>
      <c r="O681" s="334"/>
      <c r="P681" s="545">
        <f t="shared" si="101"/>
        <v>380051</v>
      </c>
      <c r="Q681" s="545">
        <f t="shared" si="102"/>
        <v>0</v>
      </c>
      <c r="R681" s="545">
        <f t="shared" si="103"/>
        <v>380051</v>
      </c>
    </row>
    <row r="682" spans="2:18" x14ac:dyDescent="0.2">
      <c r="B682" s="172">
        <f t="shared" si="98"/>
        <v>183</v>
      </c>
      <c r="C682" s="129"/>
      <c r="D682" s="130"/>
      <c r="E682" s="166"/>
      <c r="F682" s="145" t="s">
        <v>212</v>
      </c>
      <c r="G682" s="202" t="s">
        <v>259</v>
      </c>
      <c r="H682" s="474">
        <f>131260+3110-1348</f>
        <v>133022</v>
      </c>
      <c r="I682" s="474"/>
      <c r="J682" s="474">
        <f t="shared" si="100"/>
        <v>133022</v>
      </c>
      <c r="K682" s="334"/>
      <c r="L682" s="544"/>
      <c r="M682" s="544"/>
      <c r="N682" s="544"/>
      <c r="O682" s="334"/>
      <c r="P682" s="545">
        <f t="shared" si="101"/>
        <v>133022</v>
      </c>
      <c r="Q682" s="545">
        <f t="shared" si="102"/>
        <v>0</v>
      </c>
      <c r="R682" s="545">
        <f t="shared" si="103"/>
        <v>133022</v>
      </c>
    </row>
    <row r="683" spans="2:18" x14ac:dyDescent="0.2">
      <c r="B683" s="172">
        <f t="shared" si="98"/>
        <v>184</v>
      </c>
      <c r="C683" s="129"/>
      <c r="D683" s="130"/>
      <c r="E683" s="166"/>
      <c r="F683" s="145" t="s">
        <v>218</v>
      </c>
      <c r="G683" s="202" t="s">
        <v>341</v>
      </c>
      <c r="H683" s="543">
        <f>SUM(H684:H690)</f>
        <v>172511</v>
      </c>
      <c r="I683" s="543">
        <f>SUM(I684:I690)</f>
        <v>0</v>
      </c>
      <c r="J683" s="543">
        <f t="shared" si="100"/>
        <v>172511</v>
      </c>
      <c r="K683" s="334"/>
      <c r="L683" s="544"/>
      <c r="M683" s="544"/>
      <c r="N683" s="544"/>
      <c r="O683" s="334"/>
      <c r="P683" s="545">
        <f t="shared" si="101"/>
        <v>172511</v>
      </c>
      <c r="Q683" s="545">
        <f t="shared" si="102"/>
        <v>0</v>
      </c>
      <c r="R683" s="545">
        <f t="shared" si="103"/>
        <v>172511</v>
      </c>
    </row>
    <row r="684" spans="2:18" x14ac:dyDescent="0.2">
      <c r="B684" s="172">
        <f t="shared" si="98"/>
        <v>185</v>
      </c>
      <c r="C684" s="129"/>
      <c r="D684" s="130"/>
      <c r="E684" s="166"/>
      <c r="F684" s="130" t="s">
        <v>213</v>
      </c>
      <c r="G684" s="194" t="s">
        <v>255</v>
      </c>
      <c r="H684" s="425">
        <v>24</v>
      </c>
      <c r="I684" s="425"/>
      <c r="J684" s="425">
        <f t="shared" si="100"/>
        <v>24</v>
      </c>
      <c r="K684" s="334"/>
      <c r="L684" s="544"/>
      <c r="M684" s="544"/>
      <c r="N684" s="544"/>
      <c r="O684" s="334"/>
      <c r="P684" s="169">
        <f t="shared" si="101"/>
        <v>24</v>
      </c>
      <c r="Q684" s="169">
        <f t="shared" si="102"/>
        <v>0</v>
      </c>
      <c r="R684" s="169">
        <f t="shared" si="103"/>
        <v>24</v>
      </c>
    </row>
    <row r="685" spans="2:18" x14ac:dyDescent="0.2">
      <c r="B685" s="172">
        <f t="shared" si="98"/>
        <v>186</v>
      </c>
      <c r="C685" s="129"/>
      <c r="D685" s="130"/>
      <c r="E685" s="166"/>
      <c r="F685" s="130" t="s">
        <v>199</v>
      </c>
      <c r="G685" s="194" t="s">
        <v>319</v>
      </c>
      <c r="H685" s="425">
        <v>122099</v>
      </c>
      <c r="I685" s="425"/>
      <c r="J685" s="425">
        <f t="shared" si="100"/>
        <v>122099</v>
      </c>
      <c r="K685" s="334"/>
      <c r="L685" s="544"/>
      <c r="M685" s="544"/>
      <c r="N685" s="544"/>
      <c r="O685" s="334"/>
      <c r="P685" s="169">
        <f t="shared" si="101"/>
        <v>122099</v>
      </c>
      <c r="Q685" s="169">
        <f t="shared" si="102"/>
        <v>0</v>
      </c>
      <c r="R685" s="169">
        <f t="shared" si="103"/>
        <v>122099</v>
      </c>
    </row>
    <row r="686" spans="2:18" x14ac:dyDescent="0.2">
      <c r="B686" s="172">
        <f t="shared" si="98"/>
        <v>187</v>
      </c>
      <c r="C686" s="129"/>
      <c r="D686" s="130"/>
      <c r="E686" s="166"/>
      <c r="F686" s="130" t="s">
        <v>200</v>
      </c>
      <c r="G686" s="194" t="s">
        <v>247</v>
      </c>
      <c r="H686" s="425">
        <v>17085</v>
      </c>
      <c r="I686" s="425"/>
      <c r="J686" s="425">
        <f t="shared" si="100"/>
        <v>17085</v>
      </c>
      <c r="K686" s="334"/>
      <c r="L686" s="544"/>
      <c r="M686" s="544"/>
      <c r="N686" s="544"/>
      <c r="O686" s="334"/>
      <c r="P686" s="169">
        <f t="shared" si="101"/>
        <v>17085</v>
      </c>
      <c r="Q686" s="169">
        <f t="shared" si="102"/>
        <v>0</v>
      </c>
      <c r="R686" s="169">
        <f t="shared" si="103"/>
        <v>17085</v>
      </c>
    </row>
    <row r="687" spans="2:18" x14ac:dyDescent="0.2">
      <c r="B687" s="172">
        <f t="shared" si="98"/>
        <v>188</v>
      </c>
      <c r="C687" s="129"/>
      <c r="D687" s="130"/>
      <c r="E687" s="166"/>
      <c r="F687" s="130" t="s">
        <v>201</v>
      </c>
      <c r="G687" s="194" t="s">
        <v>367</v>
      </c>
      <c r="H687" s="425">
        <v>15</v>
      </c>
      <c r="I687" s="425"/>
      <c r="J687" s="425">
        <f t="shared" si="100"/>
        <v>15</v>
      </c>
      <c r="K687" s="334"/>
      <c r="L687" s="544"/>
      <c r="M687" s="544"/>
      <c r="N687" s="544"/>
      <c r="O687" s="334"/>
      <c r="P687" s="169">
        <f t="shared" si="101"/>
        <v>15</v>
      </c>
      <c r="Q687" s="169">
        <f t="shared" si="102"/>
        <v>0</v>
      </c>
      <c r="R687" s="169">
        <f t="shared" si="103"/>
        <v>15</v>
      </c>
    </row>
    <row r="688" spans="2:18" x14ac:dyDescent="0.2">
      <c r="B688" s="172">
        <f t="shared" si="98"/>
        <v>189</v>
      </c>
      <c r="C688" s="129"/>
      <c r="D688" s="130"/>
      <c r="E688" s="166"/>
      <c r="F688" s="130" t="s">
        <v>214</v>
      </c>
      <c r="G688" s="194" t="s">
        <v>261</v>
      </c>
      <c r="H688" s="425">
        <f>4498+6455</f>
        <v>10953</v>
      </c>
      <c r="I688" s="425"/>
      <c r="J688" s="425">
        <f t="shared" si="100"/>
        <v>10953</v>
      </c>
      <c r="K688" s="334"/>
      <c r="L688" s="544"/>
      <c r="M688" s="544"/>
      <c r="N688" s="544"/>
      <c r="O688" s="334"/>
      <c r="P688" s="169">
        <f t="shared" si="101"/>
        <v>10953</v>
      </c>
      <c r="Q688" s="169">
        <f t="shared" si="102"/>
        <v>0</v>
      </c>
      <c r="R688" s="169">
        <f t="shared" si="103"/>
        <v>10953</v>
      </c>
    </row>
    <row r="689" spans="2:18" x14ac:dyDescent="0.2">
      <c r="B689" s="172">
        <f t="shared" si="98"/>
        <v>190</v>
      </c>
      <c r="C689" s="129"/>
      <c r="D689" s="130"/>
      <c r="E689" s="166"/>
      <c r="F689" s="130" t="s">
        <v>216</v>
      </c>
      <c r="G689" s="194" t="s">
        <v>248</v>
      </c>
      <c r="H689" s="425">
        <v>22329</v>
      </c>
      <c r="I689" s="425"/>
      <c r="J689" s="425">
        <f t="shared" si="100"/>
        <v>22329</v>
      </c>
      <c r="K689" s="334"/>
      <c r="L689" s="544"/>
      <c r="M689" s="544"/>
      <c r="N689" s="544"/>
      <c r="O689" s="334"/>
      <c r="P689" s="169">
        <f t="shared" ref="P689:P720" si="104">H689+L689</f>
        <v>22329</v>
      </c>
      <c r="Q689" s="169">
        <f t="shared" si="102"/>
        <v>0</v>
      </c>
      <c r="R689" s="169">
        <f t="shared" si="103"/>
        <v>22329</v>
      </c>
    </row>
    <row r="690" spans="2:18" x14ac:dyDescent="0.2">
      <c r="B690" s="172">
        <f t="shared" si="98"/>
        <v>191</v>
      </c>
      <c r="C690" s="129"/>
      <c r="D690" s="130"/>
      <c r="E690" s="166"/>
      <c r="F690" s="170" t="s">
        <v>218</v>
      </c>
      <c r="G690" s="194" t="s">
        <v>794</v>
      </c>
      <c r="H690" s="425">
        <v>6</v>
      </c>
      <c r="I690" s="425"/>
      <c r="J690" s="425">
        <f t="shared" si="100"/>
        <v>6</v>
      </c>
      <c r="K690" s="334"/>
      <c r="L690" s="544"/>
      <c r="M690" s="544"/>
      <c r="N690" s="544"/>
      <c r="O690" s="334"/>
      <c r="P690" s="169">
        <f t="shared" si="104"/>
        <v>6</v>
      </c>
      <c r="Q690" s="169">
        <f t="shared" si="102"/>
        <v>0</v>
      </c>
      <c r="R690" s="169">
        <f t="shared" si="103"/>
        <v>6</v>
      </c>
    </row>
    <row r="691" spans="2:18" x14ac:dyDescent="0.2">
      <c r="B691" s="172">
        <f t="shared" si="98"/>
        <v>192</v>
      </c>
      <c r="C691" s="129"/>
      <c r="D691" s="130"/>
      <c r="E691" s="166"/>
      <c r="F691" s="282" t="s">
        <v>217</v>
      </c>
      <c r="G691" s="202" t="s">
        <v>372</v>
      </c>
      <c r="H691" s="474">
        <f>5160+300</f>
        <v>5460</v>
      </c>
      <c r="I691" s="474"/>
      <c r="J691" s="474">
        <f t="shared" si="100"/>
        <v>5460</v>
      </c>
      <c r="K691" s="334"/>
      <c r="L691" s="544"/>
      <c r="M691" s="544"/>
      <c r="N691" s="544"/>
      <c r="O691" s="334"/>
      <c r="P691" s="545">
        <f t="shared" si="104"/>
        <v>5460</v>
      </c>
      <c r="Q691" s="545">
        <f t="shared" si="102"/>
        <v>0</v>
      </c>
      <c r="R691" s="545">
        <f t="shared" si="103"/>
        <v>5460</v>
      </c>
    </row>
    <row r="692" spans="2:18" ht="15" x14ac:dyDescent="0.25">
      <c r="B692" s="172">
        <f t="shared" si="98"/>
        <v>193</v>
      </c>
      <c r="C692" s="144"/>
      <c r="D692" s="260" t="s">
        <v>6</v>
      </c>
      <c r="E692" s="265" t="s">
        <v>430</v>
      </c>
      <c r="F692" s="265" t="s">
        <v>368</v>
      </c>
      <c r="G692" s="266"/>
      <c r="H692" s="418">
        <f>H693+H703</f>
        <v>1341347</v>
      </c>
      <c r="I692" s="418">
        <f>I693+I703</f>
        <v>0</v>
      </c>
      <c r="J692" s="418">
        <f t="shared" si="100"/>
        <v>1341347</v>
      </c>
      <c r="K692" s="330"/>
      <c r="L692" s="502"/>
      <c r="M692" s="502"/>
      <c r="N692" s="502"/>
      <c r="O692" s="330"/>
      <c r="P692" s="336">
        <f t="shared" si="104"/>
        <v>1341347</v>
      </c>
      <c r="Q692" s="336">
        <f t="shared" si="102"/>
        <v>0</v>
      </c>
      <c r="R692" s="336">
        <f t="shared" si="103"/>
        <v>1341347</v>
      </c>
    </row>
    <row r="693" spans="2:18" ht="14.25" x14ac:dyDescent="0.2">
      <c r="B693" s="172">
        <f t="shared" si="98"/>
        <v>194</v>
      </c>
      <c r="C693" s="75"/>
      <c r="D693" s="528"/>
      <c r="E693" s="535" t="s">
        <v>429</v>
      </c>
      <c r="F693" s="532" t="s">
        <v>689</v>
      </c>
      <c r="G693" s="531"/>
      <c r="H693" s="533">
        <f>H694+H695+H696+H702</f>
        <v>514731</v>
      </c>
      <c r="I693" s="533">
        <f>I694+I695+I696+I702</f>
        <v>0</v>
      </c>
      <c r="J693" s="533">
        <f t="shared" si="100"/>
        <v>514731</v>
      </c>
      <c r="K693" s="335"/>
      <c r="L693" s="530"/>
      <c r="M693" s="530"/>
      <c r="N693" s="530"/>
      <c r="O693" s="335"/>
      <c r="P693" s="534">
        <f t="shared" si="104"/>
        <v>514731</v>
      </c>
      <c r="Q693" s="534">
        <f t="shared" si="102"/>
        <v>0</v>
      </c>
      <c r="R693" s="534">
        <f t="shared" si="103"/>
        <v>514731</v>
      </c>
    </row>
    <row r="694" spans="2:18" x14ac:dyDescent="0.2">
      <c r="B694" s="172">
        <f t="shared" si="98"/>
        <v>195</v>
      </c>
      <c r="C694" s="144"/>
      <c r="D694" s="145"/>
      <c r="E694" s="145"/>
      <c r="F694" s="145" t="s">
        <v>211</v>
      </c>
      <c r="G694" s="202" t="s">
        <v>506</v>
      </c>
      <c r="H694" s="543">
        <f>298656+14480</f>
        <v>313136</v>
      </c>
      <c r="I694" s="543"/>
      <c r="J694" s="543">
        <f t="shared" si="100"/>
        <v>313136</v>
      </c>
      <c r="K694" s="332"/>
      <c r="L694" s="390"/>
      <c r="M694" s="390"/>
      <c r="N694" s="390"/>
      <c r="O694" s="332"/>
      <c r="P694" s="545">
        <f t="shared" si="104"/>
        <v>313136</v>
      </c>
      <c r="Q694" s="545">
        <f t="shared" si="102"/>
        <v>0</v>
      </c>
      <c r="R694" s="545">
        <f t="shared" si="103"/>
        <v>313136</v>
      </c>
    </row>
    <row r="695" spans="2:18" x14ac:dyDescent="0.2">
      <c r="B695" s="172">
        <f t="shared" si="98"/>
        <v>196</v>
      </c>
      <c r="C695" s="144"/>
      <c r="D695" s="145"/>
      <c r="E695" s="145"/>
      <c r="F695" s="145" t="s">
        <v>212</v>
      </c>
      <c r="G695" s="202" t="s">
        <v>259</v>
      </c>
      <c r="H695" s="543">
        <f>104530+5028</f>
        <v>109558</v>
      </c>
      <c r="I695" s="543"/>
      <c r="J695" s="543">
        <f t="shared" si="100"/>
        <v>109558</v>
      </c>
      <c r="K695" s="332"/>
      <c r="L695" s="390"/>
      <c r="M695" s="390"/>
      <c r="N695" s="390"/>
      <c r="O695" s="332"/>
      <c r="P695" s="167">
        <f t="shared" si="104"/>
        <v>109558</v>
      </c>
      <c r="Q695" s="167">
        <f t="shared" si="102"/>
        <v>0</v>
      </c>
      <c r="R695" s="167">
        <f t="shared" si="103"/>
        <v>109558</v>
      </c>
    </row>
    <row r="696" spans="2:18" x14ac:dyDescent="0.2">
      <c r="B696" s="172">
        <f t="shared" ref="B696:B760" si="105">B695+1</f>
        <v>197</v>
      </c>
      <c r="C696" s="129"/>
      <c r="D696" s="130"/>
      <c r="E696" s="130"/>
      <c r="F696" s="145" t="s">
        <v>218</v>
      </c>
      <c r="G696" s="202" t="s">
        <v>341</v>
      </c>
      <c r="H696" s="543">
        <f>SUM(H697:H701)</f>
        <v>88647</v>
      </c>
      <c r="I696" s="543">
        <f>SUM(I697:I701)</f>
        <v>0</v>
      </c>
      <c r="J696" s="543">
        <f t="shared" si="100"/>
        <v>88647</v>
      </c>
      <c r="K696" s="334"/>
      <c r="L696" s="430"/>
      <c r="M696" s="430"/>
      <c r="N696" s="430"/>
      <c r="O696" s="334"/>
      <c r="P696" s="167">
        <f t="shared" si="104"/>
        <v>88647</v>
      </c>
      <c r="Q696" s="167">
        <f t="shared" si="102"/>
        <v>0</v>
      </c>
      <c r="R696" s="167">
        <f t="shared" si="103"/>
        <v>88647</v>
      </c>
    </row>
    <row r="697" spans="2:18" x14ac:dyDescent="0.2">
      <c r="B697" s="172">
        <f t="shared" si="105"/>
        <v>198</v>
      </c>
      <c r="C697" s="129"/>
      <c r="D697" s="130"/>
      <c r="E697" s="130"/>
      <c r="F697" s="130" t="s">
        <v>213</v>
      </c>
      <c r="G697" s="194" t="s">
        <v>255</v>
      </c>
      <c r="H697" s="389">
        <v>20</v>
      </c>
      <c r="I697" s="389"/>
      <c r="J697" s="389">
        <f t="shared" si="100"/>
        <v>20</v>
      </c>
      <c r="K697" s="334"/>
      <c r="L697" s="430"/>
      <c r="M697" s="430"/>
      <c r="N697" s="430"/>
      <c r="O697" s="334"/>
      <c r="P697" s="168">
        <f t="shared" si="104"/>
        <v>20</v>
      </c>
      <c r="Q697" s="168">
        <f t="shared" si="102"/>
        <v>0</v>
      </c>
      <c r="R697" s="168">
        <f t="shared" si="103"/>
        <v>20</v>
      </c>
    </row>
    <row r="698" spans="2:18" x14ac:dyDescent="0.2">
      <c r="B698" s="172">
        <f t="shared" si="105"/>
        <v>199</v>
      </c>
      <c r="C698" s="129"/>
      <c r="D698" s="130"/>
      <c r="E698" s="130"/>
      <c r="F698" s="130" t="s">
        <v>199</v>
      </c>
      <c r="G698" s="194" t="s">
        <v>319</v>
      </c>
      <c r="H698" s="389">
        <f>48376+10517</f>
        <v>58893</v>
      </c>
      <c r="I698" s="389"/>
      <c r="J698" s="389">
        <f t="shared" si="100"/>
        <v>58893</v>
      </c>
      <c r="K698" s="334"/>
      <c r="L698" s="430"/>
      <c r="M698" s="430"/>
      <c r="N698" s="430"/>
      <c r="O698" s="334"/>
      <c r="P698" s="168">
        <f t="shared" si="104"/>
        <v>58893</v>
      </c>
      <c r="Q698" s="168">
        <f t="shared" si="102"/>
        <v>0</v>
      </c>
      <c r="R698" s="168">
        <f t="shared" si="103"/>
        <v>58893</v>
      </c>
    </row>
    <row r="699" spans="2:18" x14ac:dyDescent="0.2">
      <c r="B699" s="172">
        <f t="shared" si="105"/>
        <v>200</v>
      </c>
      <c r="C699" s="129"/>
      <c r="D699" s="130"/>
      <c r="E699" s="130"/>
      <c r="F699" s="130" t="s">
        <v>200</v>
      </c>
      <c r="G699" s="194" t="s">
        <v>247</v>
      </c>
      <c r="H699" s="389">
        <v>12046</v>
      </c>
      <c r="I699" s="389"/>
      <c r="J699" s="389">
        <f t="shared" si="100"/>
        <v>12046</v>
      </c>
      <c r="K699" s="334"/>
      <c r="L699" s="430"/>
      <c r="M699" s="430"/>
      <c r="N699" s="430"/>
      <c r="O699" s="334"/>
      <c r="P699" s="168">
        <f t="shared" si="104"/>
        <v>12046</v>
      </c>
      <c r="Q699" s="168">
        <f t="shared" si="102"/>
        <v>0</v>
      </c>
      <c r="R699" s="168">
        <f t="shared" si="103"/>
        <v>12046</v>
      </c>
    </row>
    <row r="700" spans="2:18" x14ac:dyDescent="0.2">
      <c r="B700" s="172">
        <f t="shared" si="105"/>
        <v>201</v>
      </c>
      <c r="C700" s="129"/>
      <c r="D700" s="130"/>
      <c r="E700" s="130"/>
      <c r="F700" s="130" t="s">
        <v>214</v>
      </c>
      <c r="G700" s="194" t="s">
        <v>261</v>
      </c>
      <c r="H700" s="389">
        <v>4460</v>
      </c>
      <c r="I700" s="389"/>
      <c r="J700" s="389">
        <f t="shared" si="100"/>
        <v>4460</v>
      </c>
      <c r="K700" s="334"/>
      <c r="L700" s="430"/>
      <c r="M700" s="430"/>
      <c r="N700" s="430"/>
      <c r="O700" s="334"/>
      <c r="P700" s="168">
        <f t="shared" si="104"/>
        <v>4460</v>
      </c>
      <c r="Q700" s="168">
        <f t="shared" si="102"/>
        <v>0</v>
      </c>
      <c r="R700" s="168">
        <f t="shared" si="103"/>
        <v>4460</v>
      </c>
    </row>
    <row r="701" spans="2:18" x14ac:dyDescent="0.2">
      <c r="B701" s="172">
        <f t="shared" si="105"/>
        <v>202</v>
      </c>
      <c r="C701" s="129"/>
      <c r="D701" s="130"/>
      <c r="E701" s="130"/>
      <c r="F701" s="130" t="s">
        <v>216</v>
      </c>
      <c r="G701" s="194" t="s">
        <v>248</v>
      </c>
      <c r="H701" s="425">
        <v>13228</v>
      </c>
      <c r="I701" s="425"/>
      <c r="J701" s="425">
        <f t="shared" si="100"/>
        <v>13228</v>
      </c>
      <c r="K701" s="334"/>
      <c r="L701" s="544"/>
      <c r="M701" s="544"/>
      <c r="N701" s="544"/>
      <c r="O701" s="334"/>
      <c r="P701" s="169">
        <f t="shared" si="104"/>
        <v>13228</v>
      </c>
      <c r="Q701" s="169">
        <f t="shared" si="102"/>
        <v>0</v>
      </c>
      <c r="R701" s="169">
        <f t="shared" si="103"/>
        <v>13228</v>
      </c>
    </row>
    <row r="702" spans="2:18" x14ac:dyDescent="0.2">
      <c r="B702" s="172">
        <f t="shared" si="105"/>
        <v>203</v>
      </c>
      <c r="C702" s="129"/>
      <c r="D702" s="130"/>
      <c r="E702" s="130"/>
      <c r="F702" s="145" t="s">
        <v>217</v>
      </c>
      <c r="G702" s="202" t="s">
        <v>372</v>
      </c>
      <c r="H702" s="543">
        <f>3830-440</f>
        <v>3390</v>
      </c>
      <c r="I702" s="543"/>
      <c r="J702" s="543">
        <f t="shared" si="100"/>
        <v>3390</v>
      </c>
      <c r="K702" s="334"/>
      <c r="L702" s="544"/>
      <c r="M702" s="544"/>
      <c r="N702" s="544"/>
      <c r="O702" s="334"/>
      <c r="P702" s="167">
        <f t="shared" si="104"/>
        <v>3390</v>
      </c>
      <c r="Q702" s="167">
        <f t="shared" si="102"/>
        <v>0</v>
      </c>
      <c r="R702" s="167">
        <f t="shared" si="103"/>
        <v>3390</v>
      </c>
    </row>
    <row r="703" spans="2:18" ht="14.25" x14ac:dyDescent="0.2">
      <c r="B703" s="172">
        <f t="shared" si="105"/>
        <v>204</v>
      </c>
      <c r="C703" s="129"/>
      <c r="D703" s="130"/>
      <c r="E703" s="535" t="s">
        <v>687</v>
      </c>
      <c r="F703" s="532" t="s">
        <v>688</v>
      </c>
      <c r="G703" s="528"/>
      <c r="H703" s="536">
        <f>H704+H705+H706+H714</f>
        <v>826616</v>
      </c>
      <c r="I703" s="536">
        <f>I704+I705+I706+I714</f>
        <v>0</v>
      </c>
      <c r="J703" s="536">
        <f t="shared" si="100"/>
        <v>826616</v>
      </c>
      <c r="K703" s="334"/>
      <c r="L703" s="530"/>
      <c r="M703" s="530"/>
      <c r="N703" s="530"/>
      <c r="O703" s="334"/>
      <c r="P703" s="534">
        <f t="shared" si="104"/>
        <v>826616</v>
      </c>
      <c r="Q703" s="534">
        <f t="shared" si="102"/>
        <v>0</v>
      </c>
      <c r="R703" s="534">
        <f t="shared" si="103"/>
        <v>826616</v>
      </c>
    </row>
    <row r="704" spans="2:18" x14ac:dyDescent="0.2">
      <c r="B704" s="172">
        <f t="shared" si="105"/>
        <v>205</v>
      </c>
      <c r="C704" s="129"/>
      <c r="D704" s="130"/>
      <c r="E704" s="166"/>
      <c r="F704" s="145" t="s">
        <v>211</v>
      </c>
      <c r="G704" s="202" t="s">
        <v>506</v>
      </c>
      <c r="H704" s="474">
        <f>458464+21720</f>
        <v>480184</v>
      </c>
      <c r="I704" s="474"/>
      <c r="J704" s="474">
        <f t="shared" si="100"/>
        <v>480184</v>
      </c>
      <c r="K704" s="334"/>
      <c r="L704" s="544"/>
      <c r="M704" s="544"/>
      <c r="N704" s="544"/>
      <c r="O704" s="334"/>
      <c r="P704" s="545">
        <f t="shared" si="104"/>
        <v>480184</v>
      </c>
      <c r="Q704" s="545">
        <f t="shared" si="102"/>
        <v>0</v>
      </c>
      <c r="R704" s="545">
        <f t="shared" si="103"/>
        <v>480184</v>
      </c>
    </row>
    <row r="705" spans="2:18" x14ac:dyDescent="0.2">
      <c r="B705" s="172">
        <f t="shared" si="105"/>
        <v>206</v>
      </c>
      <c r="C705" s="129"/>
      <c r="D705" s="130"/>
      <c r="E705" s="166"/>
      <c r="F705" s="145" t="s">
        <v>212</v>
      </c>
      <c r="G705" s="202" t="s">
        <v>259</v>
      </c>
      <c r="H705" s="474">
        <f>160290+7542</f>
        <v>167832</v>
      </c>
      <c r="I705" s="474"/>
      <c r="J705" s="474">
        <f t="shared" si="100"/>
        <v>167832</v>
      </c>
      <c r="K705" s="334"/>
      <c r="L705" s="544"/>
      <c r="M705" s="544"/>
      <c r="N705" s="544"/>
      <c r="O705" s="334"/>
      <c r="P705" s="545">
        <f t="shared" si="104"/>
        <v>167832</v>
      </c>
      <c r="Q705" s="545">
        <f t="shared" si="102"/>
        <v>0</v>
      </c>
      <c r="R705" s="545">
        <f t="shared" si="103"/>
        <v>167832</v>
      </c>
    </row>
    <row r="706" spans="2:18" x14ac:dyDescent="0.2">
      <c r="B706" s="172">
        <f t="shared" si="105"/>
        <v>207</v>
      </c>
      <c r="C706" s="129"/>
      <c r="D706" s="130"/>
      <c r="E706" s="166"/>
      <c r="F706" s="145" t="s">
        <v>218</v>
      </c>
      <c r="G706" s="202" t="s">
        <v>341</v>
      </c>
      <c r="H706" s="474">
        <f>SUM(H707:H713)</f>
        <v>174490</v>
      </c>
      <c r="I706" s="474">
        <f>SUM(I707:I713)</f>
        <v>0</v>
      </c>
      <c r="J706" s="474">
        <f t="shared" si="100"/>
        <v>174490</v>
      </c>
      <c r="K706" s="334"/>
      <c r="L706" s="544"/>
      <c r="M706" s="544"/>
      <c r="N706" s="544"/>
      <c r="O706" s="334"/>
      <c r="P706" s="545">
        <f t="shared" si="104"/>
        <v>174490</v>
      </c>
      <c r="Q706" s="545">
        <f t="shared" si="102"/>
        <v>0</v>
      </c>
      <c r="R706" s="545">
        <f t="shared" si="103"/>
        <v>174490</v>
      </c>
    </row>
    <row r="707" spans="2:18" x14ac:dyDescent="0.2">
      <c r="B707" s="172">
        <f t="shared" si="105"/>
        <v>208</v>
      </c>
      <c r="C707" s="129"/>
      <c r="D707" s="130"/>
      <c r="E707" s="166"/>
      <c r="F707" s="130" t="s">
        <v>213</v>
      </c>
      <c r="G707" s="194" t="s">
        <v>255</v>
      </c>
      <c r="H707" s="425">
        <v>30</v>
      </c>
      <c r="I707" s="425"/>
      <c r="J707" s="425">
        <f t="shared" si="100"/>
        <v>30</v>
      </c>
      <c r="K707" s="334"/>
      <c r="L707" s="544"/>
      <c r="M707" s="544"/>
      <c r="N707" s="544"/>
      <c r="O707" s="334"/>
      <c r="P707" s="169">
        <f t="shared" si="104"/>
        <v>30</v>
      </c>
      <c r="Q707" s="169">
        <f t="shared" si="102"/>
        <v>0</v>
      </c>
      <c r="R707" s="169">
        <f t="shared" si="103"/>
        <v>30</v>
      </c>
    </row>
    <row r="708" spans="2:18" x14ac:dyDescent="0.2">
      <c r="B708" s="172">
        <f t="shared" si="105"/>
        <v>209</v>
      </c>
      <c r="C708" s="129"/>
      <c r="D708" s="130"/>
      <c r="E708" s="166"/>
      <c r="F708" s="130" t="s">
        <v>199</v>
      </c>
      <c r="G708" s="194" t="s">
        <v>319</v>
      </c>
      <c r="H708" s="425">
        <f>82564+15776</f>
        <v>98340</v>
      </c>
      <c r="I708" s="425"/>
      <c r="J708" s="425">
        <f t="shared" si="100"/>
        <v>98340</v>
      </c>
      <c r="K708" s="334"/>
      <c r="L708" s="544"/>
      <c r="M708" s="544"/>
      <c r="N708" s="544"/>
      <c r="O708" s="334"/>
      <c r="P708" s="169">
        <f t="shared" si="104"/>
        <v>98340</v>
      </c>
      <c r="Q708" s="169">
        <f t="shared" si="102"/>
        <v>0</v>
      </c>
      <c r="R708" s="169">
        <f t="shared" si="103"/>
        <v>98340</v>
      </c>
    </row>
    <row r="709" spans="2:18" x14ac:dyDescent="0.2">
      <c r="B709" s="172">
        <f t="shared" si="105"/>
        <v>210</v>
      </c>
      <c r="C709" s="129"/>
      <c r="D709" s="130"/>
      <c r="E709" s="166"/>
      <c r="F709" s="130" t="s">
        <v>200</v>
      </c>
      <c r="G709" s="194" t="s">
        <v>247</v>
      </c>
      <c r="H709" s="425">
        <v>23094</v>
      </c>
      <c r="I709" s="425"/>
      <c r="J709" s="425">
        <f t="shared" si="100"/>
        <v>23094</v>
      </c>
      <c r="K709" s="334"/>
      <c r="L709" s="544"/>
      <c r="M709" s="544"/>
      <c r="N709" s="544"/>
      <c r="O709" s="334"/>
      <c r="P709" s="169">
        <f t="shared" si="104"/>
        <v>23094</v>
      </c>
      <c r="Q709" s="169">
        <f t="shared" si="102"/>
        <v>0</v>
      </c>
      <c r="R709" s="169">
        <f t="shared" si="103"/>
        <v>23094</v>
      </c>
    </row>
    <row r="710" spans="2:18" x14ac:dyDescent="0.2">
      <c r="B710" s="172">
        <f t="shared" si="105"/>
        <v>211</v>
      </c>
      <c r="C710" s="129"/>
      <c r="D710" s="130"/>
      <c r="E710" s="166"/>
      <c r="F710" s="130" t="s">
        <v>214</v>
      </c>
      <c r="G710" s="194" t="s">
        <v>261</v>
      </c>
      <c r="H710" s="425">
        <v>12690</v>
      </c>
      <c r="I710" s="425"/>
      <c r="J710" s="425">
        <f t="shared" si="100"/>
        <v>12690</v>
      </c>
      <c r="K710" s="334"/>
      <c r="L710" s="544"/>
      <c r="M710" s="544"/>
      <c r="N710" s="544"/>
      <c r="O710" s="334"/>
      <c r="P710" s="169">
        <f t="shared" si="104"/>
        <v>12690</v>
      </c>
      <c r="Q710" s="169">
        <f t="shared" si="102"/>
        <v>0</v>
      </c>
      <c r="R710" s="169">
        <f t="shared" si="103"/>
        <v>12690</v>
      </c>
    </row>
    <row r="711" spans="2:18" x14ac:dyDescent="0.2">
      <c r="B711" s="172">
        <f t="shared" si="105"/>
        <v>212</v>
      </c>
      <c r="C711" s="129"/>
      <c r="D711" s="130"/>
      <c r="E711" s="166"/>
      <c r="F711" s="130" t="s">
        <v>215</v>
      </c>
      <c r="G711" s="194" t="s">
        <v>635</v>
      </c>
      <c r="H711" s="425">
        <v>20000</v>
      </c>
      <c r="I711" s="425"/>
      <c r="J711" s="425">
        <f t="shared" si="100"/>
        <v>20000</v>
      </c>
      <c r="K711" s="334"/>
      <c r="L711" s="544"/>
      <c r="M711" s="544"/>
      <c r="N711" s="544"/>
      <c r="O711" s="334"/>
      <c r="P711" s="169">
        <f t="shared" si="104"/>
        <v>20000</v>
      </c>
      <c r="Q711" s="169">
        <f t="shared" si="102"/>
        <v>0</v>
      </c>
      <c r="R711" s="169">
        <f t="shared" si="103"/>
        <v>20000</v>
      </c>
    </row>
    <row r="712" spans="2:18" x14ac:dyDescent="0.2">
      <c r="B712" s="172">
        <f t="shared" si="105"/>
        <v>213</v>
      </c>
      <c r="C712" s="129"/>
      <c r="D712" s="130"/>
      <c r="E712" s="166"/>
      <c r="F712" s="130" t="s">
        <v>216</v>
      </c>
      <c r="G712" s="194" t="s">
        <v>248</v>
      </c>
      <c r="H712" s="425">
        <v>19842</v>
      </c>
      <c r="I712" s="425"/>
      <c r="J712" s="425">
        <f t="shared" si="100"/>
        <v>19842</v>
      </c>
      <c r="K712" s="334"/>
      <c r="L712" s="544"/>
      <c r="M712" s="544"/>
      <c r="N712" s="544"/>
      <c r="O712" s="334"/>
      <c r="P712" s="169">
        <f t="shared" si="104"/>
        <v>19842</v>
      </c>
      <c r="Q712" s="169">
        <f t="shared" si="102"/>
        <v>0</v>
      </c>
      <c r="R712" s="169">
        <f t="shared" si="103"/>
        <v>19842</v>
      </c>
    </row>
    <row r="713" spans="2:18" x14ac:dyDescent="0.2">
      <c r="B713" s="172">
        <f t="shared" si="105"/>
        <v>214</v>
      </c>
      <c r="C713" s="129"/>
      <c r="D713" s="130"/>
      <c r="E713" s="166"/>
      <c r="F713" s="130" t="s">
        <v>218</v>
      </c>
      <c r="G713" s="194" t="s">
        <v>794</v>
      </c>
      <c r="H713" s="425">
        <v>494</v>
      </c>
      <c r="I713" s="425"/>
      <c r="J713" s="425">
        <f t="shared" si="100"/>
        <v>494</v>
      </c>
      <c r="K713" s="334"/>
      <c r="L713" s="544"/>
      <c r="M713" s="544"/>
      <c r="N713" s="544"/>
      <c r="O713" s="334"/>
      <c r="P713" s="169">
        <f t="shared" si="104"/>
        <v>494</v>
      </c>
      <c r="Q713" s="169">
        <f t="shared" si="102"/>
        <v>0</v>
      </c>
      <c r="R713" s="169">
        <f t="shared" si="103"/>
        <v>494</v>
      </c>
    </row>
    <row r="714" spans="2:18" x14ac:dyDescent="0.2">
      <c r="B714" s="172">
        <f t="shared" si="105"/>
        <v>215</v>
      </c>
      <c r="C714" s="129"/>
      <c r="D714" s="130"/>
      <c r="E714" s="166"/>
      <c r="F714" s="282" t="s">
        <v>217</v>
      </c>
      <c r="G714" s="202" t="s">
        <v>372</v>
      </c>
      <c r="H714" s="474">
        <f>4770-660</f>
        <v>4110</v>
      </c>
      <c r="I714" s="474"/>
      <c r="J714" s="474">
        <f t="shared" si="100"/>
        <v>4110</v>
      </c>
      <c r="K714" s="334"/>
      <c r="L714" s="544"/>
      <c r="M714" s="544"/>
      <c r="N714" s="544"/>
      <c r="O714" s="334"/>
      <c r="P714" s="545">
        <f t="shared" si="104"/>
        <v>4110</v>
      </c>
      <c r="Q714" s="545">
        <f t="shared" si="102"/>
        <v>0</v>
      </c>
      <c r="R714" s="545">
        <f t="shared" si="103"/>
        <v>4110</v>
      </c>
    </row>
    <row r="715" spans="2:18" ht="15" x14ac:dyDescent="0.25">
      <c r="B715" s="172">
        <f t="shared" si="105"/>
        <v>216</v>
      </c>
      <c r="C715" s="129"/>
      <c r="D715" s="261" t="s">
        <v>7</v>
      </c>
      <c r="E715" s="149" t="s">
        <v>430</v>
      </c>
      <c r="F715" s="149" t="s">
        <v>369</v>
      </c>
      <c r="G715" s="239"/>
      <c r="H715" s="416">
        <f>H716+H728</f>
        <v>952254</v>
      </c>
      <c r="I715" s="416">
        <f>I716+I728</f>
        <v>600</v>
      </c>
      <c r="J715" s="416">
        <f t="shared" si="100"/>
        <v>952854</v>
      </c>
      <c r="K715" s="131"/>
      <c r="L715" s="421">
        <f>L716+L728</f>
        <v>75216</v>
      </c>
      <c r="M715" s="421">
        <f>M716+M728</f>
        <v>0</v>
      </c>
      <c r="N715" s="421">
        <f>M715+L715</f>
        <v>75216</v>
      </c>
      <c r="O715" s="131"/>
      <c r="P715" s="328">
        <f t="shared" si="104"/>
        <v>1027470</v>
      </c>
      <c r="Q715" s="328">
        <f t="shared" si="102"/>
        <v>600</v>
      </c>
      <c r="R715" s="328">
        <f t="shared" si="103"/>
        <v>1028070</v>
      </c>
    </row>
    <row r="716" spans="2:18" ht="14.25" x14ac:dyDescent="0.2">
      <c r="B716" s="172">
        <f t="shared" si="105"/>
        <v>217</v>
      </c>
      <c r="C716" s="75"/>
      <c r="D716" s="528"/>
      <c r="E716" s="535" t="s">
        <v>429</v>
      </c>
      <c r="F716" s="532" t="s">
        <v>689</v>
      </c>
      <c r="G716" s="531"/>
      <c r="H716" s="533">
        <f>H717+H718+H719+H726+H725</f>
        <v>375821</v>
      </c>
      <c r="I716" s="533">
        <f>I717+I718+I719+I726+I725</f>
        <v>600</v>
      </c>
      <c r="J716" s="533">
        <f t="shared" si="100"/>
        <v>376421</v>
      </c>
      <c r="K716" s="335"/>
      <c r="L716" s="667">
        <f>L727</f>
        <v>2500</v>
      </c>
      <c r="M716" s="667">
        <f>M727</f>
        <v>0</v>
      </c>
      <c r="N716" s="667">
        <f>M716+L716</f>
        <v>2500</v>
      </c>
      <c r="O716" s="335"/>
      <c r="P716" s="534">
        <f t="shared" si="104"/>
        <v>378321</v>
      </c>
      <c r="Q716" s="534">
        <f t="shared" si="102"/>
        <v>600</v>
      </c>
      <c r="R716" s="534">
        <f t="shared" si="103"/>
        <v>378921</v>
      </c>
    </row>
    <row r="717" spans="2:18" x14ac:dyDescent="0.2">
      <c r="B717" s="172">
        <f t="shared" si="105"/>
        <v>218</v>
      </c>
      <c r="C717" s="129"/>
      <c r="D717" s="130"/>
      <c r="E717" s="130"/>
      <c r="F717" s="145" t="s">
        <v>211</v>
      </c>
      <c r="G717" s="202" t="s">
        <v>506</v>
      </c>
      <c r="H717" s="543">
        <f>203353+21682</f>
        <v>225035</v>
      </c>
      <c r="I717" s="543"/>
      <c r="J717" s="543">
        <f t="shared" si="100"/>
        <v>225035</v>
      </c>
      <c r="K717" s="334"/>
      <c r="L717" s="430"/>
      <c r="M717" s="430"/>
      <c r="N717" s="430"/>
      <c r="O717" s="334"/>
      <c r="P717" s="245">
        <f t="shared" si="104"/>
        <v>225035</v>
      </c>
      <c r="Q717" s="245">
        <f t="shared" si="102"/>
        <v>0</v>
      </c>
      <c r="R717" s="245">
        <f t="shared" si="103"/>
        <v>225035</v>
      </c>
    </row>
    <row r="718" spans="2:18" x14ac:dyDescent="0.2">
      <c r="B718" s="172">
        <f t="shared" si="105"/>
        <v>219</v>
      </c>
      <c r="C718" s="129"/>
      <c r="D718" s="130"/>
      <c r="E718" s="130"/>
      <c r="F718" s="145" t="s">
        <v>212</v>
      </c>
      <c r="G718" s="202" t="s">
        <v>259</v>
      </c>
      <c r="H718" s="543">
        <f>71580+7632</f>
        <v>79212</v>
      </c>
      <c r="I718" s="543"/>
      <c r="J718" s="543">
        <f t="shared" si="100"/>
        <v>79212</v>
      </c>
      <c r="K718" s="334"/>
      <c r="L718" s="430"/>
      <c r="M718" s="430"/>
      <c r="N718" s="430"/>
      <c r="O718" s="334"/>
      <c r="P718" s="245">
        <f t="shared" si="104"/>
        <v>79212</v>
      </c>
      <c r="Q718" s="245">
        <f t="shared" si="102"/>
        <v>0</v>
      </c>
      <c r="R718" s="245">
        <f t="shared" si="103"/>
        <v>79212</v>
      </c>
    </row>
    <row r="719" spans="2:18" x14ac:dyDescent="0.2">
      <c r="B719" s="172">
        <f t="shared" si="105"/>
        <v>220</v>
      </c>
      <c r="C719" s="129"/>
      <c r="D719" s="130"/>
      <c r="E719" s="130"/>
      <c r="F719" s="145" t="s">
        <v>218</v>
      </c>
      <c r="G719" s="202" t="s">
        <v>341</v>
      </c>
      <c r="H719" s="543">
        <f>SUM(H720:H724)</f>
        <v>70921</v>
      </c>
      <c r="I719" s="543">
        <f>SUM(I720:I724)</f>
        <v>600</v>
      </c>
      <c r="J719" s="543">
        <f t="shared" si="100"/>
        <v>71521</v>
      </c>
      <c r="K719" s="334"/>
      <c r="L719" s="430"/>
      <c r="M719" s="430"/>
      <c r="N719" s="430"/>
      <c r="O719" s="334"/>
      <c r="P719" s="245">
        <f t="shared" si="104"/>
        <v>70921</v>
      </c>
      <c r="Q719" s="245">
        <f t="shared" si="102"/>
        <v>600</v>
      </c>
      <c r="R719" s="245">
        <f t="shared" si="103"/>
        <v>71521</v>
      </c>
    </row>
    <row r="720" spans="2:18" x14ac:dyDescent="0.2">
      <c r="B720" s="172">
        <f t="shared" si="105"/>
        <v>221</v>
      </c>
      <c r="C720" s="129"/>
      <c r="D720" s="130"/>
      <c r="E720" s="130"/>
      <c r="F720" s="130" t="s">
        <v>213</v>
      </c>
      <c r="G720" s="194" t="s">
        <v>255</v>
      </c>
      <c r="H720" s="389">
        <v>113</v>
      </c>
      <c r="I720" s="389"/>
      <c r="J720" s="389">
        <f t="shared" si="100"/>
        <v>113</v>
      </c>
      <c r="K720" s="334"/>
      <c r="L720" s="430"/>
      <c r="M720" s="430"/>
      <c r="N720" s="430"/>
      <c r="O720" s="334"/>
      <c r="P720" s="168">
        <f t="shared" si="104"/>
        <v>113</v>
      </c>
      <c r="Q720" s="168">
        <f t="shared" si="102"/>
        <v>0</v>
      </c>
      <c r="R720" s="168">
        <f t="shared" si="103"/>
        <v>113</v>
      </c>
    </row>
    <row r="721" spans="2:18" x14ac:dyDescent="0.2">
      <c r="B721" s="172">
        <f t="shared" si="105"/>
        <v>222</v>
      </c>
      <c r="C721" s="129"/>
      <c r="D721" s="130"/>
      <c r="E721" s="130"/>
      <c r="F721" s="130" t="s">
        <v>199</v>
      </c>
      <c r="G721" s="194" t="s">
        <v>319</v>
      </c>
      <c r="H721" s="389">
        <v>24300</v>
      </c>
      <c r="I721" s="389"/>
      <c r="J721" s="389">
        <f t="shared" ref="J721:J785" si="106">I721+H721</f>
        <v>24300</v>
      </c>
      <c r="K721" s="334"/>
      <c r="L721" s="430"/>
      <c r="M721" s="430"/>
      <c r="N721" s="430"/>
      <c r="O721" s="334"/>
      <c r="P721" s="168">
        <f t="shared" ref="P721:P753" si="107">H721+L721</f>
        <v>24300</v>
      </c>
      <c r="Q721" s="168">
        <f t="shared" ref="Q721:Q785" si="108">I721+M721</f>
        <v>0</v>
      </c>
      <c r="R721" s="168">
        <f t="shared" ref="R721:R785" si="109">Q721+P721</f>
        <v>24300</v>
      </c>
    </row>
    <row r="722" spans="2:18" x14ac:dyDescent="0.2">
      <c r="B722" s="172">
        <f t="shared" si="105"/>
        <v>223</v>
      </c>
      <c r="C722" s="129"/>
      <c r="D722" s="130"/>
      <c r="E722" s="130"/>
      <c r="F722" s="130" t="s">
        <v>200</v>
      </c>
      <c r="G722" s="194" t="s">
        <v>247</v>
      </c>
      <c r="H722" s="389">
        <f>11792+10236</f>
        <v>22028</v>
      </c>
      <c r="I722" s="389"/>
      <c r="J722" s="389">
        <f t="shared" si="106"/>
        <v>22028</v>
      </c>
      <c r="K722" s="334"/>
      <c r="L722" s="430"/>
      <c r="M722" s="430"/>
      <c r="N722" s="430"/>
      <c r="O722" s="334"/>
      <c r="P722" s="168">
        <f t="shared" si="107"/>
        <v>22028</v>
      </c>
      <c r="Q722" s="168">
        <f t="shared" si="108"/>
        <v>0</v>
      </c>
      <c r="R722" s="168">
        <f t="shared" si="109"/>
        <v>22028</v>
      </c>
    </row>
    <row r="723" spans="2:18" x14ac:dyDescent="0.2">
      <c r="B723" s="172">
        <f t="shared" si="105"/>
        <v>224</v>
      </c>
      <c r="C723" s="129"/>
      <c r="D723" s="130"/>
      <c r="E723" s="130"/>
      <c r="F723" s="130" t="s">
        <v>214</v>
      </c>
      <c r="G723" s="194" t="s">
        <v>261</v>
      </c>
      <c r="H723" s="389">
        <v>10350</v>
      </c>
      <c r="I723" s="389"/>
      <c r="J723" s="389">
        <f t="shared" si="106"/>
        <v>10350</v>
      </c>
      <c r="K723" s="334"/>
      <c r="L723" s="430"/>
      <c r="M723" s="430"/>
      <c r="N723" s="430"/>
      <c r="O723" s="334"/>
      <c r="P723" s="168">
        <f t="shared" si="107"/>
        <v>10350</v>
      </c>
      <c r="Q723" s="168">
        <f t="shared" si="108"/>
        <v>0</v>
      </c>
      <c r="R723" s="168">
        <f t="shared" si="109"/>
        <v>10350</v>
      </c>
    </row>
    <row r="724" spans="2:18" x14ac:dyDescent="0.2">
      <c r="B724" s="172">
        <f t="shared" si="105"/>
        <v>225</v>
      </c>
      <c r="C724" s="129"/>
      <c r="D724" s="130"/>
      <c r="E724" s="130"/>
      <c r="F724" s="130" t="s">
        <v>216</v>
      </c>
      <c r="G724" s="194" t="s">
        <v>248</v>
      </c>
      <c r="H724" s="389">
        <v>14130</v>
      </c>
      <c r="I724" s="389">
        <v>600</v>
      </c>
      <c r="J724" s="389">
        <f t="shared" si="106"/>
        <v>14730</v>
      </c>
      <c r="K724" s="334"/>
      <c r="L724" s="430"/>
      <c r="M724" s="430"/>
      <c r="N724" s="430"/>
      <c r="O724" s="334"/>
      <c r="P724" s="168">
        <f t="shared" si="107"/>
        <v>14130</v>
      </c>
      <c r="Q724" s="168">
        <f t="shared" si="108"/>
        <v>600</v>
      </c>
      <c r="R724" s="168">
        <f t="shared" si="109"/>
        <v>14730</v>
      </c>
    </row>
    <row r="725" spans="2:18" x14ac:dyDescent="0.2">
      <c r="B725" s="172">
        <f t="shared" si="105"/>
        <v>226</v>
      </c>
      <c r="C725" s="129"/>
      <c r="D725" s="130"/>
      <c r="E725" s="130"/>
      <c r="F725" s="145" t="s">
        <v>217</v>
      </c>
      <c r="G725" s="202" t="s">
        <v>507</v>
      </c>
      <c r="H725" s="543">
        <v>225</v>
      </c>
      <c r="I725" s="543"/>
      <c r="J725" s="543">
        <f t="shared" si="106"/>
        <v>225</v>
      </c>
      <c r="K725" s="332"/>
      <c r="L725" s="390"/>
      <c r="M725" s="390"/>
      <c r="N725" s="390"/>
      <c r="O725" s="332"/>
      <c r="P725" s="167">
        <f t="shared" si="107"/>
        <v>225</v>
      </c>
      <c r="Q725" s="167">
        <f t="shared" si="108"/>
        <v>0</v>
      </c>
      <c r="R725" s="167">
        <f t="shared" si="109"/>
        <v>225</v>
      </c>
    </row>
    <row r="726" spans="2:18" x14ac:dyDescent="0.2">
      <c r="B726" s="172">
        <f t="shared" si="105"/>
        <v>227</v>
      </c>
      <c r="C726" s="129"/>
      <c r="D726" s="130"/>
      <c r="E726" s="130"/>
      <c r="F726" s="145" t="s">
        <v>217</v>
      </c>
      <c r="G726" s="202" t="s">
        <v>372</v>
      </c>
      <c r="H726" s="543">
        <v>428</v>
      </c>
      <c r="I726" s="543"/>
      <c r="J726" s="543">
        <f t="shared" si="106"/>
        <v>428</v>
      </c>
      <c r="K726" s="332"/>
      <c r="L726" s="390"/>
      <c r="M726" s="390"/>
      <c r="N726" s="390"/>
      <c r="O726" s="332"/>
      <c r="P726" s="167">
        <f t="shared" si="107"/>
        <v>428</v>
      </c>
      <c r="Q726" s="167">
        <f t="shared" si="108"/>
        <v>0</v>
      </c>
      <c r="R726" s="167">
        <f t="shared" si="109"/>
        <v>428</v>
      </c>
    </row>
    <row r="727" spans="2:18" x14ac:dyDescent="0.2">
      <c r="B727" s="172">
        <f t="shared" si="105"/>
        <v>228</v>
      </c>
      <c r="C727" s="129"/>
      <c r="D727" s="130"/>
      <c r="E727" s="170"/>
      <c r="F727" s="145" t="s">
        <v>607</v>
      </c>
      <c r="G727" s="202" t="s">
        <v>655</v>
      </c>
      <c r="H727" s="543"/>
      <c r="I727" s="543"/>
      <c r="J727" s="543">
        <f t="shared" si="106"/>
        <v>0</v>
      </c>
      <c r="K727" s="332"/>
      <c r="L727" s="390">
        <v>2500</v>
      </c>
      <c r="M727" s="390"/>
      <c r="N727" s="390">
        <f>M727+L727</f>
        <v>2500</v>
      </c>
      <c r="O727" s="332"/>
      <c r="P727" s="167">
        <f t="shared" si="107"/>
        <v>2500</v>
      </c>
      <c r="Q727" s="167">
        <f t="shared" si="108"/>
        <v>0</v>
      </c>
      <c r="R727" s="167">
        <f t="shared" si="109"/>
        <v>2500</v>
      </c>
    </row>
    <row r="728" spans="2:18" x14ac:dyDescent="0.2">
      <c r="B728" s="172">
        <f t="shared" si="105"/>
        <v>229</v>
      </c>
      <c r="C728" s="129"/>
      <c r="D728" s="130"/>
      <c r="E728" s="535" t="s">
        <v>687</v>
      </c>
      <c r="F728" s="532" t="s">
        <v>688</v>
      </c>
      <c r="G728" s="528"/>
      <c r="H728" s="536">
        <f>H729+H730+H731+H739+H738</f>
        <v>576433</v>
      </c>
      <c r="I728" s="536">
        <f>I729+I730+I731+I739+I738</f>
        <v>0</v>
      </c>
      <c r="J728" s="536">
        <f t="shared" si="106"/>
        <v>576433</v>
      </c>
      <c r="K728" s="334"/>
      <c r="L728" s="667">
        <f>L740+L741</f>
        <v>72716</v>
      </c>
      <c r="M728" s="667">
        <f>M740</f>
        <v>0</v>
      </c>
      <c r="N728" s="667">
        <f>M728+L728</f>
        <v>72716</v>
      </c>
      <c r="O728" s="334"/>
      <c r="P728" s="534">
        <f t="shared" si="107"/>
        <v>649149</v>
      </c>
      <c r="Q728" s="534">
        <f t="shared" si="108"/>
        <v>0</v>
      </c>
      <c r="R728" s="534">
        <f t="shared" si="109"/>
        <v>649149</v>
      </c>
    </row>
    <row r="729" spans="2:18" x14ac:dyDescent="0.2">
      <c r="B729" s="172">
        <f t="shared" si="105"/>
        <v>230</v>
      </c>
      <c r="C729" s="129"/>
      <c r="D729" s="130"/>
      <c r="E729" s="166"/>
      <c r="F729" s="145" t="s">
        <v>211</v>
      </c>
      <c r="G729" s="202" t="s">
        <v>506</v>
      </c>
      <c r="H729" s="474">
        <f>332387+26049</f>
        <v>358436</v>
      </c>
      <c r="I729" s="474"/>
      <c r="J729" s="474">
        <f t="shared" si="106"/>
        <v>358436</v>
      </c>
      <c r="K729" s="334"/>
      <c r="L729" s="544"/>
      <c r="M729" s="544"/>
      <c r="N729" s="544"/>
      <c r="O729" s="334"/>
      <c r="P729" s="545">
        <f t="shared" si="107"/>
        <v>358436</v>
      </c>
      <c r="Q729" s="545">
        <f t="shared" si="108"/>
        <v>0</v>
      </c>
      <c r="R729" s="545">
        <f t="shared" si="109"/>
        <v>358436</v>
      </c>
    </row>
    <row r="730" spans="2:18" x14ac:dyDescent="0.2">
      <c r="B730" s="172">
        <f t="shared" si="105"/>
        <v>231</v>
      </c>
      <c r="C730" s="129"/>
      <c r="D730" s="130"/>
      <c r="E730" s="166"/>
      <c r="F730" s="145" t="s">
        <v>212</v>
      </c>
      <c r="G730" s="202" t="s">
        <v>259</v>
      </c>
      <c r="H730" s="474">
        <f>117000+9170</f>
        <v>126170</v>
      </c>
      <c r="I730" s="474"/>
      <c r="J730" s="474">
        <f t="shared" si="106"/>
        <v>126170</v>
      </c>
      <c r="K730" s="334"/>
      <c r="L730" s="544"/>
      <c r="M730" s="544"/>
      <c r="N730" s="544"/>
      <c r="O730" s="334"/>
      <c r="P730" s="545">
        <f t="shared" si="107"/>
        <v>126170</v>
      </c>
      <c r="Q730" s="545">
        <f t="shared" si="108"/>
        <v>0</v>
      </c>
      <c r="R730" s="545">
        <f t="shared" si="109"/>
        <v>126170</v>
      </c>
    </row>
    <row r="731" spans="2:18" x14ac:dyDescent="0.2">
      <c r="B731" s="172">
        <f t="shared" si="105"/>
        <v>232</v>
      </c>
      <c r="C731" s="129"/>
      <c r="D731" s="130"/>
      <c r="E731" s="166"/>
      <c r="F731" s="145" t="s">
        <v>218</v>
      </c>
      <c r="G731" s="202" t="s">
        <v>341</v>
      </c>
      <c r="H731" s="543">
        <f>SUM(H732:H737)</f>
        <v>91030</v>
      </c>
      <c r="I731" s="543">
        <f>SUM(I732:I737)</f>
        <v>0</v>
      </c>
      <c r="J731" s="543">
        <f t="shared" si="106"/>
        <v>91030</v>
      </c>
      <c r="K731" s="334"/>
      <c r="L731" s="544"/>
      <c r="M731" s="544"/>
      <c r="N731" s="544"/>
      <c r="O731" s="334"/>
      <c r="P731" s="545">
        <f t="shared" si="107"/>
        <v>91030</v>
      </c>
      <c r="Q731" s="545">
        <f t="shared" si="108"/>
        <v>0</v>
      </c>
      <c r="R731" s="545">
        <f t="shared" si="109"/>
        <v>91030</v>
      </c>
    </row>
    <row r="732" spans="2:18" x14ac:dyDescent="0.2">
      <c r="B732" s="172">
        <f t="shared" si="105"/>
        <v>233</v>
      </c>
      <c r="C732" s="129"/>
      <c r="D732" s="130"/>
      <c r="E732" s="166"/>
      <c r="F732" s="130" t="s">
        <v>213</v>
      </c>
      <c r="G732" s="194" t="s">
        <v>255</v>
      </c>
      <c r="H732" s="425">
        <v>137</v>
      </c>
      <c r="I732" s="425"/>
      <c r="J732" s="425">
        <f t="shared" si="106"/>
        <v>137</v>
      </c>
      <c r="K732" s="334"/>
      <c r="L732" s="544"/>
      <c r="M732" s="544"/>
      <c r="N732" s="544"/>
      <c r="O732" s="334"/>
      <c r="P732" s="169">
        <f t="shared" si="107"/>
        <v>137</v>
      </c>
      <c r="Q732" s="169">
        <f t="shared" si="108"/>
        <v>0</v>
      </c>
      <c r="R732" s="169">
        <f t="shared" si="109"/>
        <v>137</v>
      </c>
    </row>
    <row r="733" spans="2:18" x14ac:dyDescent="0.2">
      <c r="B733" s="172">
        <f t="shared" si="105"/>
        <v>234</v>
      </c>
      <c r="C733" s="129"/>
      <c r="D733" s="130"/>
      <c r="E733" s="166"/>
      <c r="F733" s="130" t="s">
        <v>199</v>
      </c>
      <c r="G733" s="194" t="s">
        <v>319</v>
      </c>
      <c r="H733" s="425">
        <v>31700</v>
      </c>
      <c r="I733" s="425"/>
      <c r="J733" s="425">
        <f t="shared" si="106"/>
        <v>31700</v>
      </c>
      <c r="K733" s="334"/>
      <c r="L733" s="544"/>
      <c r="M733" s="544"/>
      <c r="N733" s="544"/>
      <c r="O733" s="334"/>
      <c r="P733" s="169">
        <f t="shared" si="107"/>
        <v>31700</v>
      </c>
      <c r="Q733" s="169">
        <f t="shared" si="108"/>
        <v>0</v>
      </c>
      <c r="R733" s="169">
        <f t="shared" si="109"/>
        <v>31700</v>
      </c>
    </row>
    <row r="734" spans="2:18" x14ac:dyDescent="0.2">
      <c r="B734" s="172">
        <f t="shared" si="105"/>
        <v>235</v>
      </c>
      <c r="C734" s="129"/>
      <c r="D734" s="130"/>
      <c r="E734" s="166"/>
      <c r="F734" s="130" t="s">
        <v>200</v>
      </c>
      <c r="G734" s="194" t="s">
        <v>247</v>
      </c>
      <c r="H734" s="425">
        <f>14413+12266</f>
        <v>26679</v>
      </c>
      <c r="I734" s="425"/>
      <c r="J734" s="425">
        <f t="shared" si="106"/>
        <v>26679</v>
      </c>
      <c r="K734" s="334"/>
      <c r="L734" s="544"/>
      <c r="M734" s="544"/>
      <c r="N734" s="544"/>
      <c r="O734" s="334"/>
      <c r="P734" s="169">
        <f t="shared" si="107"/>
        <v>26679</v>
      </c>
      <c r="Q734" s="169">
        <f t="shared" si="108"/>
        <v>0</v>
      </c>
      <c r="R734" s="169">
        <f t="shared" si="109"/>
        <v>26679</v>
      </c>
    </row>
    <row r="735" spans="2:18" x14ac:dyDescent="0.2">
      <c r="B735" s="172">
        <f t="shared" si="105"/>
        <v>236</v>
      </c>
      <c r="C735" s="129"/>
      <c r="D735" s="130"/>
      <c r="E735" s="166"/>
      <c r="F735" s="130" t="s">
        <v>214</v>
      </c>
      <c r="G735" s="194" t="s">
        <v>261</v>
      </c>
      <c r="H735" s="425">
        <v>12650</v>
      </c>
      <c r="I735" s="425"/>
      <c r="J735" s="425">
        <f t="shared" si="106"/>
        <v>12650</v>
      </c>
      <c r="K735" s="334"/>
      <c r="L735" s="544"/>
      <c r="M735" s="544"/>
      <c r="N735" s="544"/>
      <c r="O735" s="334"/>
      <c r="P735" s="169">
        <f t="shared" si="107"/>
        <v>12650</v>
      </c>
      <c r="Q735" s="169">
        <f t="shared" si="108"/>
        <v>0</v>
      </c>
      <c r="R735" s="169">
        <f t="shared" si="109"/>
        <v>12650</v>
      </c>
    </row>
    <row r="736" spans="2:18" x14ac:dyDescent="0.2">
      <c r="B736" s="172">
        <f t="shared" si="105"/>
        <v>237</v>
      </c>
      <c r="C736" s="129"/>
      <c r="D736" s="130"/>
      <c r="E736" s="166"/>
      <c r="F736" s="130" t="s">
        <v>216</v>
      </c>
      <c r="G736" s="194" t="s">
        <v>248</v>
      </c>
      <c r="H736" s="425">
        <v>17270</v>
      </c>
      <c r="I736" s="425"/>
      <c r="J736" s="425">
        <f t="shared" si="106"/>
        <v>17270</v>
      </c>
      <c r="K736" s="334"/>
      <c r="L736" s="544"/>
      <c r="M736" s="544"/>
      <c r="N736" s="544"/>
      <c r="O736" s="334"/>
      <c r="P736" s="169">
        <f t="shared" si="107"/>
        <v>17270</v>
      </c>
      <c r="Q736" s="169">
        <f t="shared" si="108"/>
        <v>0</v>
      </c>
      <c r="R736" s="169">
        <f t="shared" si="109"/>
        <v>17270</v>
      </c>
    </row>
    <row r="737" spans="2:18" x14ac:dyDescent="0.2">
      <c r="B737" s="172">
        <f t="shared" si="105"/>
        <v>238</v>
      </c>
      <c r="C737" s="129"/>
      <c r="D737" s="130"/>
      <c r="E737" s="166"/>
      <c r="F737" s="130" t="s">
        <v>218</v>
      </c>
      <c r="G737" s="194" t="s">
        <v>794</v>
      </c>
      <c r="H737" s="425">
        <v>2594</v>
      </c>
      <c r="I737" s="425"/>
      <c r="J737" s="425">
        <f t="shared" si="106"/>
        <v>2594</v>
      </c>
      <c r="K737" s="334"/>
      <c r="L737" s="544"/>
      <c r="M737" s="544"/>
      <c r="N737" s="544"/>
      <c r="O737" s="334"/>
      <c r="P737" s="169">
        <f t="shared" si="107"/>
        <v>2594</v>
      </c>
      <c r="Q737" s="169">
        <f t="shared" si="108"/>
        <v>0</v>
      </c>
      <c r="R737" s="169">
        <f t="shared" si="109"/>
        <v>2594</v>
      </c>
    </row>
    <row r="738" spans="2:18" x14ac:dyDescent="0.2">
      <c r="B738" s="172">
        <f t="shared" si="105"/>
        <v>239</v>
      </c>
      <c r="C738" s="129"/>
      <c r="D738" s="130"/>
      <c r="E738" s="166"/>
      <c r="F738" s="282" t="s">
        <v>217</v>
      </c>
      <c r="G738" s="202" t="s">
        <v>507</v>
      </c>
      <c r="H738" s="474">
        <v>275</v>
      </c>
      <c r="I738" s="474"/>
      <c r="J738" s="474">
        <f t="shared" si="106"/>
        <v>275</v>
      </c>
      <c r="K738" s="334"/>
      <c r="L738" s="544"/>
      <c r="M738" s="544"/>
      <c r="N738" s="544"/>
      <c r="O738" s="334"/>
      <c r="P738" s="169">
        <f t="shared" si="107"/>
        <v>275</v>
      </c>
      <c r="Q738" s="169">
        <f t="shared" si="108"/>
        <v>0</v>
      </c>
      <c r="R738" s="169">
        <f t="shared" si="109"/>
        <v>275</v>
      </c>
    </row>
    <row r="739" spans="2:18" x14ac:dyDescent="0.2">
      <c r="B739" s="172">
        <f t="shared" si="105"/>
        <v>240</v>
      </c>
      <c r="C739" s="129"/>
      <c r="D739" s="130"/>
      <c r="E739" s="166"/>
      <c r="F739" s="282" t="s">
        <v>217</v>
      </c>
      <c r="G739" s="202" t="s">
        <v>372</v>
      </c>
      <c r="H739" s="474">
        <v>522</v>
      </c>
      <c r="I739" s="474"/>
      <c r="J739" s="474">
        <f t="shared" si="106"/>
        <v>522</v>
      </c>
      <c r="K739" s="334"/>
      <c r="L739" s="544"/>
      <c r="M739" s="544"/>
      <c r="N739" s="544"/>
      <c r="O739" s="334"/>
      <c r="P739" s="545">
        <f t="shared" si="107"/>
        <v>522</v>
      </c>
      <c r="Q739" s="545">
        <f t="shared" si="108"/>
        <v>0</v>
      </c>
      <c r="R739" s="545">
        <f t="shared" si="109"/>
        <v>522</v>
      </c>
    </row>
    <row r="740" spans="2:18" x14ac:dyDescent="0.2">
      <c r="B740" s="172">
        <f t="shared" si="105"/>
        <v>241</v>
      </c>
      <c r="C740" s="129"/>
      <c r="D740" s="130"/>
      <c r="E740" s="166"/>
      <c r="F740" s="282" t="s">
        <v>433</v>
      </c>
      <c r="G740" s="202" t="s">
        <v>761</v>
      </c>
      <c r="H740" s="474"/>
      <c r="I740" s="474"/>
      <c r="J740" s="474">
        <f t="shared" si="106"/>
        <v>0</v>
      </c>
      <c r="K740" s="334"/>
      <c r="L740" s="428">
        <f>2680+36</f>
        <v>2716</v>
      </c>
      <c r="M740" s="428"/>
      <c r="N740" s="428">
        <f>M740+L740</f>
        <v>2716</v>
      </c>
      <c r="O740" s="334"/>
      <c r="P740" s="545">
        <f t="shared" si="107"/>
        <v>2716</v>
      </c>
      <c r="Q740" s="545">
        <f t="shared" si="108"/>
        <v>0</v>
      </c>
      <c r="R740" s="545">
        <f t="shared" si="109"/>
        <v>2716</v>
      </c>
    </row>
    <row r="741" spans="2:18" x14ac:dyDescent="0.2">
      <c r="B741" s="172">
        <f t="shared" si="105"/>
        <v>242</v>
      </c>
      <c r="C741" s="129"/>
      <c r="D741" s="130"/>
      <c r="E741" s="166"/>
      <c r="F741" s="282" t="s">
        <v>322</v>
      </c>
      <c r="G741" s="202" t="s">
        <v>859</v>
      </c>
      <c r="H741" s="474"/>
      <c r="I741" s="474"/>
      <c r="J741" s="474"/>
      <c r="K741" s="334"/>
      <c r="L741" s="390">
        <v>70000</v>
      </c>
      <c r="M741" s="390"/>
      <c r="N741" s="428">
        <f>M741+L741</f>
        <v>70000</v>
      </c>
      <c r="O741" s="334"/>
      <c r="P741" s="545">
        <f t="shared" ref="P741" si="110">H741+L741</f>
        <v>70000</v>
      </c>
      <c r="Q741" s="545">
        <f t="shared" ref="Q741" si="111">I741+M741</f>
        <v>0</v>
      </c>
      <c r="R741" s="545">
        <f t="shared" ref="R741" si="112">Q741+P741</f>
        <v>70000</v>
      </c>
    </row>
    <row r="742" spans="2:18" ht="15" x14ac:dyDescent="0.25">
      <c r="B742" s="172">
        <f t="shared" si="105"/>
        <v>243</v>
      </c>
      <c r="C742" s="129"/>
      <c r="D742" s="261" t="s">
        <v>8</v>
      </c>
      <c r="E742" s="149" t="s">
        <v>430</v>
      </c>
      <c r="F742" s="149" t="s">
        <v>370</v>
      </c>
      <c r="G742" s="239"/>
      <c r="H742" s="416">
        <f>H743+H755</f>
        <v>950887</v>
      </c>
      <c r="I742" s="416">
        <f>I743+I755</f>
        <v>0</v>
      </c>
      <c r="J742" s="416">
        <f t="shared" si="106"/>
        <v>950887</v>
      </c>
      <c r="K742" s="131"/>
      <c r="L742" s="437"/>
      <c r="M742" s="437"/>
      <c r="N742" s="437"/>
      <c r="O742" s="131"/>
      <c r="P742" s="328">
        <f t="shared" si="107"/>
        <v>950887</v>
      </c>
      <c r="Q742" s="328">
        <f t="shared" si="108"/>
        <v>0</v>
      </c>
      <c r="R742" s="328">
        <f t="shared" si="109"/>
        <v>950887</v>
      </c>
    </row>
    <row r="743" spans="2:18" ht="14.25" x14ac:dyDescent="0.2">
      <c r="B743" s="172">
        <f t="shared" si="105"/>
        <v>244</v>
      </c>
      <c r="C743" s="75"/>
      <c r="D743" s="528"/>
      <c r="E743" s="535" t="s">
        <v>429</v>
      </c>
      <c r="F743" s="532" t="s">
        <v>689</v>
      </c>
      <c r="G743" s="531"/>
      <c r="H743" s="533">
        <f>H744+H745+H746+H754</f>
        <v>420125</v>
      </c>
      <c r="I743" s="533">
        <f>I744+I745+I746+I754</f>
        <v>0</v>
      </c>
      <c r="J743" s="533">
        <f t="shared" si="106"/>
        <v>420125</v>
      </c>
      <c r="K743" s="335"/>
      <c r="L743" s="530"/>
      <c r="M743" s="530"/>
      <c r="N743" s="530"/>
      <c r="O743" s="335"/>
      <c r="P743" s="534">
        <f t="shared" si="107"/>
        <v>420125</v>
      </c>
      <c r="Q743" s="534">
        <f t="shared" si="108"/>
        <v>0</v>
      </c>
      <c r="R743" s="534">
        <f t="shared" si="109"/>
        <v>420125</v>
      </c>
    </row>
    <row r="744" spans="2:18" x14ac:dyDescent="0.2">
      <c r="B744" s="172">
        <f t="shared" si="105"/>
        <v>245</v>
      </c>
      <c r="C744" s="129"/>
      <c r="D744" s="130"/>
      <c r="E744" s="130"/>
      <c r="F744" s="145" t="s">
        <v>211</v>
      </c>
      <c r="G744" s="202" t="s">
        <v>506</v>
      </c>
      <c r="H744" s="543">
        <f>234360+12900</f>
        <v>247260</v>
      </c>
      <c r="I744" s="543"/>
      <c r="J744" s="543">
        <f t="shared" si="106"/>
        <v>247260</v>
      </c>
      <c r="K744" s="334"/>
      <c r="L744" s="430"/>
      <c r="M744" s="430"/>
      <c r="N744" s="430"/>
      <c r="O744" s="334"/>
      <c r="P744" s="167">
        <f t="shared" si="107"/>
        <v>247260</v>
      </c>
      <c r="Q744" s="167">
        <f t="shared" si="108"/>
        <v>0</v>
      </c>
      <c r="R744" s="167">
        <f t="shared" si="109"/>
        <v>247260</v>
      </c>
    </row>
    <row r="745" spans="2:18" x14ac:dyDescent="0.2">
      <c r="B745" s="172">
        <f t="shared" si="105"/>
        <v>246</v>
      </c>
      <c r="C745" s="129"/>
      <c r="D745" s="130"/>
      <c r="E745" s="130"/>
      <c r="F745" s="145" t="s">
        <v>212</v>
      </c>
      <c r="G745" s="202" t="s">
        <v>259</v>
      </c>
      <c r="H745" s="543">
        <f>85990+5000</f>
        <v>90990</v>
      </c>
      <c r="I745" s="543"/>
      <c r="J745" s="543">
        <f t="shared" si="106"/>
        <v>90990</v>
      </c>
      <c r="K745" s="334"/>
      <c r="L745" s="430"/>
      <c r="M745" s="430"/>
      <c r="N745" s="430"/>
      <c r="O745" s="334"/>
      <c r="P745" s="167">
        <f t="shared" si="107"/>
        <v>90990</v>
      </c>
      <c r="Q745" s="167">
        <f t="shared" si="108"/>
        <v>0</v>
      </c>
      <c r="R745" s="167">
        <f t="shared" si="109"/>
        <v>90990</v>
      </c>
    </row>
    <row r="746" spans="2:18" x14ac:dyDescent="0.2">
      <c r="B746" s="172">
        <f t="shared" si="105"/>
        <v>247</v>
      </c>
      <c r="C746" s="129"/>
      <c r="D746" s="130"/>
      <c r="E746" s="130"/>
      <c r="F746" s="145" t="s">
        <v>218</v>
      </c>
      <c r="G746" s="202" t="s">
        <v>341</v>
      </c>
      <c r="H746" s="543">
        <f>SUM(H747:H753)</f>
        <v>72885</v>
      </c>
      <c r="I746" s="543">
        <f>SUM(I747:I753)</f>
        <v>0</v>
      </c>
      <c r="J746" s="543">
        <f t="shared" si="106"/>
        <v>72885</v>
      </c>
      <c r="K746" s="334"/>
      <c r="L746" s="430"/>
      <c r="M746" s="430"/>
      <c r="N746" s="430"/>
      <c r="O746" s="334"/>
      <c r="P746" s="167">
        <f t="shared" si="107"/>
        <v>72885</v>
      </c>
      <c r="Q746" s="167">
        <f t="shared" si="108"/>
        <v>0</v>
      </c>
      <c r="R746" s="167">
        <f t="shared" si="109"/>
        <v>72885</v>
      </c>
    </row>
    <row r="747" spans="2:18" x14ac:dyDescent="0.2">
      <c r="B747" s="172">
        <f t="shared" si="105"/>
        <v>248</v>
      </c>
      <c r="C747" s="129"/>
      <c r="D747" s="130"/>
      <c r="E747" s="130"/>
      <c r="F747" s="130" t="s">
        <v>213</v>
      </c>
      <c r="G747" s="194" t="s">
        <v>255</v>
      </c>
      <c r="H747" s="389">
        <v>270</v>
      </c>
      <c r="I747" s="389"/>
      <c r="J747" s="389">
        <f t="shared" si="106"/>
        <v>270</v>
      </c>
      <c r="K747" s="334"/>
      <c r="L747" s="430"/>
      <c r="M747" s="430"/>
      <c r="N747" s="430"/>
      <c r="O747" s="334"/>
      <c r="P747" s="168">
        <f t="shared" si="107"/>
        <v>270</v>
      </c>
      <c r="Q747" s="168">
        <f t="shared" si="108"/>
        <v>0</v>
      </c>
      <c r="R747" s="168">
        <f t="shared" si="109"/>
        <v>270</v>
      </c>
    </row>
    <row r="748" spans="2:18" x14ac:dyDescent="0.2">
      <c r="B748" s="172">
        <f t="shared" si="105"/>
        <v>249</v>
      </c>
      <c r="C748" s="129"/>
      <c r="D748" s="130"/>
      <c r="E748" s="130"/>
      <c r="F748" s="130" t="s">
        <v>199</v>
      </c>
      <c r="G748" s="194" t="s">
        <v>319</v>
      </c>
      <c r="H748" s="389">
        <v>25425</v>
      </c>
      <c r="I748" s="389"/>
      <c r="J748" s="389">
        <f t="shared" si="106"/>
        <v>25425</v>
      </c>
      <c r="K748" s="334"/>
      <c r="L748" s="430"/>
      <c r="M748" s="430"/>
      <c r="N748" s="430"/>
      <c r="O748" s="334"/>
      <c r="P748" s="168">
        <f t="shared" si="107"/>
        <v>25425</v>
      </c>
      <c r="Q748" s="168">
        <f t="shared" si="108"/>
        <v>0</v>
      </c>
      <c r="R748" s="168">
        <f t="shared" si="109"/>
        <v>25425</v>
      </c>
    </row>
    <row r="749" spans="2:18" x14ac:dyDescent="0.2">
      <c r="B749" s="172">
        <f t="shared" si="105"/>
        <v>250</v>
      </c>
      <c r="C749" s="129"/>
      <c r="D749" s="130"/>
      <c r="E749" s="130"/>
      <c r="F749" s="130" t="s">
        <v>200</v>
      </c>
      <c r="G749" s="194" t="s">
        <v>247</v>
      </c>
      <c r="H749" s="389">
        <v>13320</v>
      </c>
      <c r="I749" s="389"/>
      <c r="J749" s="389">
        <f t="shared" si="106"/>
        <v>13320</v>
      </c>
      <c r="K749" s="334"/>
      <c r="L749" s="430"/>
      <c r="M749" s="430"/>
      <c r="N749" s="430"/>
      <c r="O749" s="334"/>
      <c r="P749" s="168">
        <f t="shared" si="107"/>
        <v>13320</v>
      </c>
      <c r="Q749" s="168">
        <f t="shared" si="108"/>
        <v>0</v>
      </c>
      <c r="R749" s="168">
        <f t="shared" si="109"/>
        <v>13320</v>
      </c>
    </row>
    <row r="750" spans="2:18" x14ac:dyDescent="0.2">
      <c r="B750" s="172">
        <f t="shared" si="105"/>
        <v>251</v>
      </c>
      <c r="C750" s="129"/>
      <c r="D750" s="130"/>
      <c r="E750" s="130"/>
      <c r="F750" s="130" t="s">
        <v>201</v>
      </c>
      <c r="G750" s="194" t="s">
        <v>260</v>
      </c>
      <c r="H750" s="389">
        <v>110</v>
      </c>
      <c r="I750" s="389"/>
      <c r="J750" s="389">
        <f t="shared" si="106"/>
        <v>110</v>
      </c>
      <c r="K750" s="334"/>
      <c r="L750" s="430"/>
      <c r="M750" s="430"/>
      <c r="N750" s="430"/>
      <c r="O750" s="334"/>
      <c r="P750" s="168">
        <f t="shared" si="107"/>
        <v>110</v>
      </c>
      <c r="Q750" s="168">
        <f t="shared" si="108"/>
        <v>0</v>
      </c>
      <c r="R750" s="168">
        <f t="shared" si="109"/>
        <v>110</v>
      </c>
    </row>
    <row r="751" spans="2:18" x14ac:dyDescent="0.2">
      <c r="B751" s="172">
        <f t="shared" si="105"/>
        <v>252</v>
      </c>
      <c r="C751" s="129"/>
      <c r="D751" s="130"/>
      <c r="E751" s="130"/>
      <c r="F751" s="130" t="s">
        <v>214</v>
      </c>
      <c r="G751" s="194" t="s">
        <v>261</v>
      </c>
      <c r="H751" s="389">
        <f>12270+7000</f>
        <v>19270</v>
      </c>
      <c r="I751" s="389"/>
      <c r="J751" s="389">
        <f t="shared" si="106"/>
        <v>19270</v>
      </c>
      <c r="K751" s="334"/>
      <c r="L751" s="430"/>
      <c r="M751" s="430"/>
      <c r="N751" s="430"/>
      <c r="O751" s="334"/>
      <c r="P751" s="168">
        <f t="shared" si="107"/>
        <v>19270</v>
      </c>
      <c r="Q751" s="168">
        <f t="shared" si="108"/>
        <v>0</v>
      </c>
      <c r="R751" s="168">
        <f t="shared" si="109"/>
        <v>19270</v>
      </c>
    </row>
    <row r="752" spans="2:18" x14ac:dyDescent="0.2">
      <c r="B752" s="172">
        <f t="shared" si="105"/>
        <v>253</v>
      </c>
      <c r="C752" s="129"/>
      <c r="D752" s="130"/>
      <c r="E752" s="130"/>
      <c r="F752" s="130" t="s">
        <v>215</v>
      </c>
      <c r="G752" s="194" t="s">
        <v>371</v>
      </c>
      <c r="H752" s="425">
        <v>1035</v>
      </c>
      <c r="I752" s="425"/>
      <c r="J752" s="425">
        <f t="shared" si="106"/>
        <v>1035</v>
      </c>
      <c r="K752" s="334"/>
      <c r="L752" s="544"/>
      <c r="M752" s="544"/>
      <c r="N752" s="544"/>
      <c r="O752" s="334"/>
      <c r="P752" s="169">
        <f t="shared" si="107"/>
        <v>1035</v>
      </c>
      <c r="Q752" s="169">
        <f t="shared" si="108"/>
        <v>0</v>
      </c>
      <c r="R752" s="169">
        <f t="shared" si="109"/>
        <v>1035</v>
      </c>
    </row>
    <row r="753" spans="2:18" x14ac:dyDescent="0.2">
      <c r="B753" s="172">
        <f t="shared" si="105"/>
        <v>254</v>
      </c>
      <c r="C753" s="129"/>
      <c r="D753" s="130"/>
      <c r="E753" s="130"/>
      <c r="F753" s="130" t="s">
        <v>216</v>
      </c>
      <c r="G753" s="194" t="s">
        <v>248</v>
      </c>
      <c r="H753" s="389">
        <v>13455</v>
      </c>
      <c r="I753" s="389"/>
      <c r="J753" s="389">
        <f t="shared" si="106"/>
        <v>13455</v>
      </c>
      <c r="K753" s="334"/>
      <c r="L753" s="544"/>
      <c r="M753" s="544"/>
      <c r="N753" s="544"/>
      <c r="O753" s="334"/>
      <c r="P753" s="169">
        <f t="shared" si="107"/>
        <v>13455</v>
      </c>
      <c r="Q753" s="169">
        <f t="shared" si="108"/>
        <v>0</v>
      </c>
      <c r="R753" s="169">
        <f t="shared" si="109"/>
        <v>13455</v>
      </c>
    </row>
    <row r="754" spans="2:18" x14ac:dyDescent="0.2">
      <c r="B754" s="172">
        <f t="shared" si="105"/>
        <v>255</v>
      </c>
      <c r="C754" s="129"/>
      <c r="D754" s="130"/>
      <c r="E754" s="170"/>
      <c r="F754" s="145" t="s">
        <v>217</v>
      </c>
      <c r="G754" s="202" t="s">
        <v>372</v>
      </c>
      <c r="H754" s="543">
        <f>8490+500</f>
        <v>8990</v>
      </c>
      <c r="I754" s="543"/>
      <c r="J754" s="543">
        <f t="shared" si="106"/>
        <v>8990</v>
      </c>
      <c r="K754" s="332"/>
      <c r="L754" s="428"/>
      <c r="M754" s="428"/>
      <c r="N754" s="428"/>
      <c r="O754" s="332"/>
      <c r="P754" s="545">
        <f t="shared" ref="P754:P788" si="113">H754+L754</f>
        <v>8990</v>
      </c>
      <c r="Q754" s="545">
        <f t="shared" si="108"/>
        <v>0</v>
      </c>
      <c r="R754" s="545">
        <f t="shared" si="109"/>
        <v>8990</v>
      </c>
    </row>
    <row r="755" spans="2:18" ht="14.25" x14ac:dyDescent="0.2">
      <c r="B755" s="172">
        <f t="shared" si="105"/>
        <v>256</v>
      </c>
      <c r="C755" s="129"/>
      <c r="D755" s="130"/>
      <c r="E755" s="535" t="s">
        <v>687</v>
      </c>
      <c r="F755" s="532" t="s">
        <v>688</v>
      </c>
      <c r="G755" s="528"/>
      <c r="H755" s="536">
        <f>H756+H757+H758+H766</f>
        <v>530762</v>
      </c>
      <c r="I755" s="536">
        <f>I756+I757+I758+I766</f>
        <v>0</v>
      </c>
      <c r="J755" s="536">
        <f t="shared" si="106"/>
        <v>530762</v>
      </c>
      <c r="K755" s="334"/>
      <c r="L755" s="530"/>
      <c r="M755" s="530"/>
      <c r="N755" s="530"/>
      <c r="O755" s="334"/>
      <c r="P755" s="534">
        <f t="shared" si="113"/>
        <v>530762</v>
      </c>
      <c r="Q755" s="534">
        <f t="shared" si="108"/>
        <v>0</v>
      </c>
      <c r="R755" s="534">
        <f t="shared" si="109"/>
        <v>530762</v>
      </c>
    </row>
    <row r="756" spans="2:18" x14ac:dyDescent="0.2">
      <c r="B756" s="172">
        <f t="shared" si="105"/>
        <v>257</v>
      </c>
      <c r="C756" s="129"/>
      <c r="D756" s="130"/>
      <c r="E756" s="166"/>
      <c r="F756" s="145" t="s">
        <v>211</v>
      </c>
      <c r="G756" s="202" t="s">
        <v>506</v>
      </c>
      <c r="H756" s="474">
        <f>289990+22123</f>
        <v>312113</v>
      </c>
      <c r="I756" s="474">
        <v>-3550</v>
      </c>
      <c r="J756" s="474">
        <f t="shared" si="106"/>
        <v>308563</v>
      </c>
      <c r="K756" s="334"/>
      <c r="L756" s="544"/>
      <c r="M756" s="544"/>
      <c r="N756" s="544"/>
      <c r="O756" s="334"/>
      <c r="P756" s="545">
        <f t="shared" si="113"/>
        <v>312113</v>
      </c>
      <c r="Q756" s="545">
        <f t="shared" si="108"/>
        <v>-3550</v>
      </c>
      <c r="R756" s="545">
        <f t="shared" si="109"/>
        <v>308563</v>
      </c>
    </row>
    <row r="757" spans="2:18" x14ac:dyDescent="0.2">
      <c r="B757" s="172">
        <f t="shared" si="105"/>
        <v>258</v>
      </c>
      <c r="C757" s="129"/>
      <c r="D757" s="130"/>
      <c r="E757" s="166"/>
      <c r="F757" s="145" t="s">
        <v>212</v>
      </c>
      <c r="G757" s="202" t="s">
        <v>259</v>
      </c>
      <c r="H757" s="474">
        <f>106345+6746</f>
        <v>113091</v>
      </c>
      <c r="I757" s="474"/>
      <c r="J757" s="474">
        <f t="shared" si="106"/>
        <v>113091</v>
      </c>
      <c r="K757" s="334"/>
      <c r="L757" s="544"/>
      <c r="M757" s="544"/>
      <c r="N757" s="544"/>
      <c r="O757" s="334"/>
      <c r="P757" s="545">
        <f t="shared" si="113"/>
        <v>113091</v>
      </c>
      <c r="Q757" s="545">
        <f t="shared" si="108"/>
        <v>0</v>
      </c>
      <c r="R757" s="545">
        <f t="shared" si="109"/>
        <v>113091</v>
      </c>
    </row>
    <row r="758" spans="2:18" x14ac:dyDescent="0.2">
      <c r="B758" s="172">
        <f t="shared" si="105"/>
        <v>259</v>
      </c>
      <c r="C758" s="129"/>
      <c r="D758" s="130"/>
      <c r="E758" s="166"/>
      <c r="F758" s="145" t="s">
        <v>218</v>
      </c>
      <c r="G758" s="202" t="s">
        <v>341</v>
      </c>
      <c r="H758" s="543">
        <f>SUM(H759:H765)</f>
        <v>94518</v>
      </c>
      <c r="I758" s="543">
        <f>SUM(I759:I765)</f>
        <v>3550</v>
      </c>
      <c r="J758" s="543">
        <f t="shared" si="106"/>
        <v>98068</v>
      </c>
      <c r="K758" s="334"/>
      <c r="L758" s="544"/>
      <c r="M758" s="544"/>
      <c r="N758" s="544"/>
      <c r="O758" s="334"/>
      <c r="P758" s="545">
        <f t="shared" si="113"/>
        <v>94518</v>
      </c>
      <c r="Q758" s="545">
        <f t="shared" si="108"/>
        <v>3550</v>
      </c>
      <c r="R758" s="545">
        <f t="shared" si="109"/>
        <v>98068</v>
      </c>
    </row>
    <row r="759" spans="2:18" x14ac:dyDescent="0.2">
      <c r="B759" s="172">
        <f t="shared" si="105"/>
        <v>260</v>
      </c>
      <c r="C759" s="129"/>
      <c r="D759" s="130"/>
      <c r="E759" s="166"/>
      <c r="F759" s="130" t="s">
        <v>213</v>
      </c>
      <c r="G759" s="194" t="s">
        <v>255</v>
      </c>
      <c r="H759" s="425">
        <v>330</v>
      </c>
      <c r="I759" s="425"/>
      <c r="J759" s="425">
        <f t="shared" si="106"/>
        <v>330</v>
      </c>
      <c r="K759" s="334"/>
      <c r="L759" s="544"/>
      <c r="M759" s="544"/>
      <c r="N759" s="544"/>
      <c r="O759" s="334"/>
      <c r="P759" s="169">
        <f t="shared" si="113"/>
        <v>330</v>
      </c>
      <c r="Q759" s="169">
        <f t="shared" si="108"/>
        <v>0</v>
      </c>
      <c r="R759" s="169">
        <f t="shared" si="109"/>
        <v>330</v>
      </c>
    </row>
    <row r="760" spans="2:18" x14ac:dyDescent="0.2">
      <c r="B760" s="172">
        <f t="shared" si="105"/>
        <v>261</v>
      </c>
      <c r="C760" s="129"/>
      <c r="D760" s="130"/>
      <c r="E760" s="166"/>
      <c r="F760" s="130" t="s">
        <v>199</v>
      </c>
      <c r="G760" s="194" t="s">
        <v>319</v>
      </c>
      <c r="H760" s="425">
        <v>31075</v>
      </c>
      <c r="I760" s="425"/>
      <c r="J760" s="425">
        <f t="shared" si="106"/>
        <v>31075</v>
      </c>
      <c r="K760" s="334"/>
      <c r="L760" s="544"/>
      <c r="M760" s="544"/>
      <c r="N760" s="544"/>
      <c r="O760" s="334"/>
      <c r="P760" s="169">
        <f t="shared" si="113"/>
        <v>31075</v>
      </c>
      <c r="Q760" s="169">
        <f t="shared" si="108"/>
        <v>0</v>
      </c>
      <c r="R760" s="169">
        <f t="shared" si="109"/>
        <v>31075</v>
      </c>
    </row>
    <row r="761" spans="2:18" x14ac:dyDescent="0.2">
      <c r="B761" s="172">
        <f t="shared" ref="B761:B824" si="114">B760+1</f>
        <v>262</v>
      </c>
      <c r="C761" s="129"/>
      <c r="D761" s="130"/>
      <c r="E761" s="166"/>
      <c r="F761" s="130" t="s">
        <v>200</v>
      </c>
      <c r="G761" s="194" t="s">
        <v>247</v>
      </c>
      <c r="H761" s="425">
        <v>16485</v>
      </c>
      <c r="I761" s="425"/>
      <c r="J761" s="425">
        <f t="shared" si="106"/>
        <v>16485</v>
      </c>
      <c r="K761" s="334"/>
      <c r="L761" s="544"/>
      <c r="M761" s="544"/>
      <c r="N761" s="544"/>
      <c r="O761" s="334"/>
      <c r="P761" s="169">
        <f t="shared" si="113"/>
        <v>16485</v>
      </c>
      <c r="Q761" s="169">
        <f t="shared" si="108"/>
        <v>0</v>
      </c>
      <c r="R761" s="169">
        <f t="shared" si="109"/>
        <v>16485</v>
      </c>
    </row>
    <row r="762" spans="2:18" x14ac:dyDescent="0.2">
      <c r="B762" s="172">
        <f t="shared" si="114"/>
        <v>263</v>
      </c>
      <c r="C762" s="129"/>
      <c r="D762" s="130"/>
      <c r="E762" s="166"/>
      <c r="F762" s="130" t="s">
        <v>201</v>
      </c>
      <c r="G762" s="194" t="s">
        <v>260</v>
      </c>
      <c r="H762" s="425">
        <v>140</v>
      </c>
      <c r="I762" s="425"/>
      <c r="J762" s="425">
        <f t="shared" si="106"/>
        <v>140</v>
      </c>
      <c r="K762" s="334"/>
      <c r="L762" s="544"/>
      <c r="M762" s="544"/>
      <c r="N762" s="544"/>
      <c r="O762" s="334"/>
      <c r="P762" s="169">
        <f t="shared" si="113"/>
        <v>140</v>
      </c>
      <c r="Q762" s="169">
        <f t="shared" si="108"/>
        <v>0</v>
      </c>
      <c r="R762" s="169">
        <f t="shared" si="109"/>
        <v>140</v>
      </c>
    </row>
    <row r="763" spans="2:18" x14ac:dyDescent="0.2">
      <c r="B763" s="172">
        <f t="shared" si="114"/>
        <v>264</v>
      </c>
      <c r="C763" s="129"/>
      <c r="D763" s="130"/>
      <c r="E763" s="166"/>
      <c r="F763" s="130" t="s">
        <v>214</v>
      </c>
      <c r="G763" s="194" t="s">
        <v>261</v>
      </c>
      <c r="H763" s="425">
        <f>17630+10148</f>
        <v>27778</v>
      </c>
      <c r="I763" s="425"/>
      <c r="J763" s="425">
        <f t="shared" si="106"/>
        <v>27778</v>
      </c>
      <c r="K763" s="334"/>
      <c r="L763" s="544"/>
      <c r="M763" s="544"/>
      <c r="N763" s="544"/>
      <c r="O763" s="334"/>
      <c r="P763" s="169">
        <f t="shared" si="113"/>
        <v>27778</v>
      </c>
      <c r="Q763" s="169">
        <f t="shared" si="108"/>
        <v>0</v>
      </c>
      <c r="R763" s="169">
        <f t="shared" si="109"/>
        <v>27778</v>
      </c>
    </row>
    <row r="764" spans="2:18" x14ac:dyDescent="0.2">
      <c r="B764" s="172">
        <f t="shared" si="114"/>
        <v>265</v>
      </c>
      <c r="C764" s="129"/>
      <c r="D764" s="130"/>
      <c r="E764" s="166"/>
      <c r="F764" s="130" t="s">
        <v>215</v>
      </c>
      <c r="G764" s="194" t="s">
        <v>635</v>
      </c>
      <c r="H764" s="425">
        <v>1265</v>
      </c>
      <c r="I764" s="425"/>
      <c r="J764" s="425">
        <f t="shared" si="106"/>
        <v>1265</v>
      </c>
      <c r="K764" s="334"/>
      <c r="L764" s="544"/>
      <c r="M764" s="544"/>
      <c r="N764" s="544"/>
      <c r="O764" s="334"/>
      <c r="P764" s="169">
        <f t="shared" si="113"/>
        <v>1265</v>
      </c>
      <c r="Q764" s="169">
        <f t="shared" si="108"/>
        <v>0</v>
      </c>
      <c r="R764" s="169">
        <f t="shared" si="109"/>
        <v>1265</v>
      </c>
    </row>
    <row r="765" spans="2:18" x14ac:dyDescent="0.2">
      <c r="B765" s="172">
        <f t="shared" si="114"/>
        <v>266</v>
      </c>
      <c r="C765" s="129"/>
      <c r="D765" s="130"/>
      <c r="E765" s="166"/>
      <c r="F765" s="130" t="s">
        <v>216</v>
      </c>
      <c r="G765" s="194" t="s">
        <v>248</v>
      </c>
      <c r="H765" s="425">
        <v>17445</v>
      </c>
      <c r="I765" s="425">
        <v>3550</v>
      </c>
      <c r="J765" s="425">
        <f t="shared" si="106"/>
        <v>20995</v>
      </c>
      <c r="K765" s="334"/>
      <c r="L765" s="544"/>
      <c r="M765" s="544"/>
      <c r="N765" s="544"/>
      <c r="O765" s="334"/>
      <c r="P765" s="169">
        <f t="shared" si="113"/>
        <v>17445</v>
      </c>
      <c r="Q765" s="169">
        <f t="shared" si="108"/>
        <v>3550</v>
      </c>
      <c r="R765" s="169">
        <f t="shared" si="109"/>
        <v>20995</v>
      </c>
    </row>
    <row r="766" spans="2:18" x14ac:dyDescent="0.2">
      <c r="B766" s="172">
        <f t="shared" si="114"/>
        <v>267</v>
      </c>
      <c r="C766" s="129"/>
      <c r="D766" s="130"/>
      <c r="E766" s="166"/>
      <c r="F766" s="282" t="s">
        <v>217</v>
      </c>
      <c r="G766" s="202" t="s">
        <v>372</v>
      </c>
      <c r="H766" s="474">
        <f>10390+650</f>
        <v>11040</v>
      </c>
      <c r="I766" s="474"/>
      <c r="J766" s="474">
        <f t="shared" si="106"/>
        <v>11040</v>
      </c>
      <c r="K766" s="334"/>
      <c r="L766" s="544"/>
      <c r="M766" s="544"/>
      <c r="N766" s="544"/>
      <c r="O766" s="334"/>
      <c r="P766" s="545">
        <f t="shared" si="113"/>
        <v>11040</v>
      </c>
      <c r="Q766" s="545">
        <f t="shared" si="108"/>
        <v>0</v>
      </c>
      <c r="R766" s="545">
        <f t="shared" si="109"/>
        <v>11040</v>
      </c>
    </row>
    <row r="767" spans="2:18" ht="15" x14ac:dyDescent="0.25">
      <c r="B767" s="172">
        <f t="shared" si="114"/>
        <v>268</v>
      </c>
      <c r="C767" s="129"/>
      <c r="D767" s="261" t="s">
        <v>169</v>
      </c>
      <c r="E767" s="149" t="s">
        <v>430</v>
      </c>
      <c r="F767" s="149" t="s">
        <v>373</v>
      </c>
      <c r="G767" s="239"/>
      <c r="H767" s="416">
        <f>H768+H778</f>
        <v>529350</v>
      </c>
      <c r="I767" s="416">
        <f>I768+I778</f>
        <v>0</v>
      </c>
      <c r="J767" s="416">
        <f t="shared" si="106"/>
        <v>529350</v>
      </c>
      <c r="K767" s="335"/>
      <c r="L767" s="421">
        <f>L768+L778</f>
        <v>40000</v>
      </c>
      <c r="M767" s="421">
        <f>M768+M778</f>
        <v>0</v>
      </c>
      <c r="N767" s="421">
        <f>M767+L767</f>
        <v>40000</v>
      </c>
      <c r="O767" s="335"/>
      <c r="P767" s="328">
        <f t="shared" si="113"/>
        <v>569350</v>
      </c>
      <c r="Q767" s="328">
        <f t="shared" si="108"/>
        <v>0</v>
      </c>
      <c r="R767" s="328">
        <f t="shared" si="109"/>
        <v>569350</v>
      </c>
    </row>
    <row r="768" spans="2:18" ht="14.25" x14ac:dyDescent="0.2">
      <c r="B768" s="172">
        <f t="shared" si="114"/>
        <v>269</v>
      </c>
      <c r="C768" s="75"/>
      <c r="D768" s="528"/>
      <c r="E768" s="535" t="s">
        <v>429</v>
      </c>
      <c r="F768" s="532" t="s">
        <v>689</v>
      </c>
      <c r="G768" s="531"/>
      <c r="H768" s="533">
        <f>H769+H770+H771+H777</f>
        <v>247960</v>
      </c>
      <c r="I768" s="533">
        <f>I769+I770+I771+I777</f>
        <v>0</v>
      </c>
      <c r="J768" s="533">
        <f t="shared" si="106"/>
        <v>247960</v>
      </c>
      <c r="K768" s="335"/>
      <c r="L768" s="530"/>
      <c r="M768" s="530"/>
      <c r="N768" s="530"/>
      <c r="O768" s="335"/>
      <c r="P768" s="534">
        <f t="shared" si="113"/>
        <v>247960</v>
      </c>
      <c r="Q768" s="534">
        <f t="shared" si="108"/>
        <v>0</v>
      </c>
      <c r="R768" s="534">
        <f t="shared" si="109"/>
        <v>247960</v>
      </c>
    </row>
    <row r="769" spans="2:18" x14ac:dyDescent="0.2">
      <c r="B769" s="172">
        <f t="shared" si="114"/>
        <v>270</v>
      </c>
      <c r="C769" s="129"/>
      <c r="D769" s="130"/>
      <c r="E769" s="130"/>
      <c r="F769" s="145" t="s">
        <v>211</v>
      </c>
      <c r="G769" s="202" t="s">
        <v>506</v>
      </c>
      <c r="H769" s="543">
        <f>141040+6050</f>
        <v>147090</v>
      </c>
      <c r="I769" s="543"/>
      <c r="J769" s="543">
        <f t="shared" si="106"/>
        <v>147090</v>
      </c>
      <c r="K769" s="334"/>
      <c r="L769" s="430"/>
      <c r="M769" s="430"/>
      <c r="N769" s="430"/>
      <c r="O769" s="334"/>
      <c r="P769" s="167">
        <f t="shared" si="113"/>
        <v>147090</v>
      </c>
      <c r="Q769" s="167">
        <f t="shared" si="108"/>
        <v>0</v>
      </c>
      <c r="R769" s="167">
        <f t="shared" si="109"/>
        <v>147090</v>
      </c>
    </row>
    <row r="770" spans="2:18" x14ac:dyDescent="0.2">
      <c r="B770" s="172">
        <f t="shared" si="114"/>
        <v>271</v>
      </c>
      <c r="C770" s="129"/>
      <c r="D770" s="130"/>
      <c r="E770" s="130"/>
      <c r="F770" s="145" t="s">
        <v>212</v>
      </c>
      <c r="G770" s="202" t="s">
        <v>259</v>
      </c>
      <c r="H770" s="543">
        <f>50327+1356</f>
        <v>51683</v>
      </c>
      <c r="I770" s="543"/>
      <c r="J770" s="543">
        <f t="shared" si="106"/>
        <v>51683</v>
      </c>
      <c r="K770" s="334"/>
      <c r="L770" s="430"/>
      <c r="M770" s="430"/>
      <c r="N770" s="430"/>
      <c r="O770" s="334"/>
      <c r="P770" s="167">
        <f t="shared" si="113"/>
        <v>51683</v>
      </c>
      <c r="Q770" s="167">
        <f t="shared" si="108"/>
        <v>0</v>
      </c>
      <c r="R770" s="167">
        <f t="shared" si="109"/>
        <v>51683</v>
      </c>
    </row>
    <row r="771" spans="2:18" x14ac:dyDescent="0.2">
      <c r="B771" s="172">
        <f t="shared" si="114"/>
        <v>272</v>
      </c>
      <c r="C771" s="129"/>
      <c r="D771" s="130"/>
      <c r="E771" s="130"/>
      <c r="F771" s="145" t="s">
        <v>218</v>
      </c>
      <c r="G771" s="202" t="s">
        <v>341</v>
      </c>
      <c r="H771" s="543">
        <f>SUM(H772:H776)</f>
        <v>46437</v>
      </c>
      <c r="I771" s="543">
        <f>SUM(I772:I776)</f>
        <v>0</v>
      </c>
      <c r="J771" s="543">
        <f t="shared" si="106"/>
        <v>46437</v>
      </c>
      <c r="K771" s="334"/>
      <c r="L771" s="430"/>
      <c r="M771" s="430"/>
      <c r="N771" s="430"/>
      <c r="O771" s="334"/>
      <c r="P771" s="167">
        <f t="shared" si="113"/>
        <v>46437</v>
      </c>
      <c r="Q771" s="167">
        <f t="shared" si="108"/>
        <v>0</v>
      </c>
      <c r="R771" s="167">
        <f t="shared" si="109"/>
        <v>46437</v>
      </c>
    </row>
    <row r="772" spans="2:18" x14ac:dyDescent="0.2">
      <c r="B772" s="172">
        <f t="shared" si="114"/>
        <v>273</v>
      </c>
      <c r="C772" s="129"/>
      <c r="D772" s="130"/>
      <c r="E772" s="130"/>
      <c r="F772" s="130" t="s">
        <v>213</v>
      </c>
      <c r="G772" s="194" t="s">
        <v>255</v>
      </c>
      <c r="H772" s="389">
        <v>25</v>
      </c>
      <c r="I772" s="389"/>
      <c r="J772" s="389">
        <f t="shared" si="106"/>
        <v>25</v>
      </c>
      <c r="K772" s="334"/>
      <c r="L772" s="430"/>
      <c r="M772" s="430"/>
      <c r="N772" s="430"/>
      <c r="O772" s="334"/>
      <c r="P772" s="168">
        <f t="shared" si="113"/>
        <v>25</v>
      </c>
      <c r="Q772" s="168">
        <f t="shared" si="108"/>
        <v>0</v>
      </c>
      <c r="R772" s="168">
        <f t="shared" si="109"/>
        <v>25</v>
      </c>
    </row>
    <row r="773" spans="2:18" x14ac:dyDescent="0.2">
      <c r="B773" s="172">
        <f t="shared" si="114"/>
        <v>274</v>
      </c>
      <c r="C773" s="129"/>
      <c r="D773" s="130"/>
      <c r="E773" s="130"/>
      <c r="F773" s="130" t="s">
        <v>199</v>
      </c>
      <c r="G773" s="194" t="s">
        <v>319</v>
      </c>
      <c r="H773" s="389">
        <v>21550</v>
      </c>
      <c r="I773" s="389"/>
      <c r="J773" s="389">
        <f t="shared" si="106"/>
        <v>21550</v>
      </c>
      <c r="K773" s="334"/>
      <c r="L773" s="430"/>
      <c r="M773" s="430"/>
      <c r="N773" s="430"/>
      <c r="O773" s="334"/>
      <c r="P773" s="168">
        <f t="shared" si="113"/>
        <v>21550</v>
      </c>
      <c r="Q773" s="168">
        <f t="shared" si="108"/>
        <v>0</v>
      </c>
      <c r="R773" s="168">
        <f t="shared" si="109"/>
        <v>21550</v>
      </c>
    </row>
    <row r="774" spans="2:18" x14ac:dyDescent="0.2">
      <c r="B774" s="172">
        <f t="shared" si="114"/>
        <v>275</v>
      </c>
      <c r="C774" s="129"/>
      <c r="D774" s="130"/>
      <c r="E774" s="130"/>
      <c r="F774" s="130" t="s">
        <v>200</v>
      </c>
      <c r="G774" s="194" t="s">
        <v>247</v>
      </c>
      <c r="H774" s="389">
        <v>9660</v>
      </c>
      <c r="I774" s="389"/>
      <c r="J774" s="389">
        <f t="shared" si="106"/>
        <v>9660</v>
      </c>
      <c r="K774" s="334"/>
      <c r="L774" s="430"/>
      <c r="M774" s="430"/>
      <c r="N774" s="430"/>
      <c r="O774" s="334"/>
      <c r="P774" s="168">
        <f t="shared" si="113"/>
        <v>9660</v>
      </c>
      <c r="Q774" s="168">
        <f t="shared" si="108"/>
        <v>0</v>
      </c>
      <c r="R774" s="168">
        <f t="shared" si="109"/>
        <v>9660</v>
      </c>
    </row>
    <row r="775" spans="2:18" x14ac:dyDescent="0.2">
      <c r="B775" s="172">
        <f t="shared" si="114"/>
        <v>276</v>
      </c>
      <c r="C775" s="129"/>
      <c r="D775" s="130"/>
      <c r="E775" s="130"/>
      <c r="F775" s="130" t="s">
        <v>214</v>
      </c>
      <c r="G775" s="194" t="s">
        <v>261</v>
      </c>
      <c r="H775" s="389">
        <f>1480+5000</f>
        <v>6480</v>
      </c>
      <c r="I775" s="389"/>
      <c r="J775" s="389">
        <f t="shared" si="106"/>
        <v>6480</v>
      </c>
      <c r="K775" s="334"/>
      <c r="L775" s="430"/>
      <c r="M775" s="430"/>
      <c r="N775" s="430"/>
      <c r="O775" s="334"/>
      <c r="P775" s="168">
        <f t="shared" si="113"/>
        <v>6480</v>
      </c>
      <c r="Q775" s="168">
        <f t="shared" si="108"/>
        <v>0</v>
      </c>
      <c r="R775" s="168">
        <f t="shared" si="109"/>
        <v>6480</v>
      </c>
    </row>
    <row r="776" spans="2:18" x14ac:dyDescent="0.2">
      <c r="B776" s="172">
        <f t="shared" si="114"/>
        <v>277</v>
      </c>
      <c r="C776" s="129"/>
      <c r="D776" s="130"/>
      <c r="E776" s="130"/>
      <c r="F776" s="130" t="s">
        <v>216</v>
      </c>
      <c r="G776" s="194" t="s">
        <v>248</v>
      </c>
      <c r="H776" s="389">
        <v>8722</v>
      </c>
      <c r="I776" s="389"/>
      <c r="J776" s="389">
        <f t="shared" si="106"/>
        <v>8722</v>
      </c>
      <c r="K776" s="334"/>
      <c r="L776" s="430"/>
      <c r="M776" s="430"/>
      <c r="N776" s="430"/>
      <c r="O776" s="334"/>
      <c r="P776" s="168">
        <f t="shared" si="113"/>
        <v>8722</v>
      </c>
      <c r="Q776" s="168">
        <f t="shared" si="108"/>
        <v>0</v>
      </c>
      <c r="R776" s="168">
        <f t="shared" si="109"/>
        <v>8722</v>
      </c>
    </row>
    <row r="777" spans="2:18" x14ac:dyDescent="0.2">
      <c r="B777" s="172">
        <f t="shared" si="114"/>
        <v>278</v>
      </c>
      <c r="C777" s="129"/>
      <c r="D777" s="130"/>
      <c r="E777" s="130"/>
      <c r="F777" s="282" t="s">
        <v>217</v>
      </c>
      <c r="G777" s="202" t="s">
        <v>372</v>
      </c>
      <c r="H777" s="543">
        <v>2750</v>
      </c>
      <c r="I777" s="543"/>
      <c r="J777" s="543">
        <f t="shared" si="106"/>
        <v>2750</v>
      </c>
      <c r="K777" s="334"/>
      <c r="L777" s="430"/>
      <c r="M777" s="430"/>
      <c r="N777" s="430"/>
      <c r="O777" s="334"/>
      <c r="P777" s="167">
        <f t="shared" si="113"/>
        <v>2750</v>
      </c>
      <c r="Q777" s="167">
        <f t="shared" si="108"/>
        <v>0</v>
      </c>
      <c r="R777" s="167">
        <f t="shared" si="109"/>
        <v>2750</v>
      </c>
    </row>
    <row r="778" spans="2:18" ht="15" x14ac:dyDescent="0.25">
      <c r="B778" s="172">
        <f t="shared" si="114"/>
        <v>279</v>
      </c>
      <c r="C778" s="129"/>
      <c r="D778" s="130"/>
      <c r="E778" s="535" t="s">
        <v>687</v>
      </c>
      <c r="F778" s="532" t="s">
        <v>688</v>
      </c>
      <c r="G778" s="618"/>
      <c r="H778" s="536">
        <f>H779+H780+H781+H788</f>
        <v>281390</v>
      </c>
      <c r="I778" s="536">
        <f>I779+I780+I781+I788</f>
        <v>0</v>
      </c>
      <c r="J778" s="536">
        <f t="shared" si="106"/>
        <v>281390</v>
      </c>
      <c r="K778" s="334"/>
      <c r="L778" s="750">
        <f>L790</f>
        <v>40000</v>
      </c>
      <c r="M778" s="667">
        <f>M790</f>
        <v>0</v>
      </c>
      <c r="N778" s="667">
        <f>M778+L778</f>
        <v>40000</v>
      </c>
      <c r="O778" s="334"/>
      <c r="P778" s="534">
        <f t="shared" si="113"/>
        <v>321390</v>
      </c>
      <c r="Q778" s="534">
        <f t="shared" si="108"/>
        <v>0</v>
      </c>
      <c r="R778" s="534">
        <f t="shared" si="109"/>
        <v>321390</v>
      </c>
    </row>
    <row r="779" spans="2:18" x14ac:dyDescent="0.2">
      <c r="B779" s="172">
        <f t="shared" si="114"/>
        <v>280</v>
      </c>
      <c r="C779" s="129"/>
      <c r="D779" s="130"/>
      <c r="E779" s="166"/>
      <c r="F779" s="145" t="s">
        <v>211</v>
      </c>
      <c r="G779" s="202" t="s">
        <v>506</v>
      </c>
      <c r="H779" s="474">
        <f>149935+4445+6050</f>
        <v>160430</v>
      </c>
      <c r="I779" s="474"/>
      <c r="J779" s="474">
        <f t="shared" si="106"/>
        <v>160430</v>
      </c>
      <c r="K779" s="334"/>
      <c r="L779" s="544"/>
      <c r="M779" s="544"/>
      <c r="N779" s="544"/>
      <c r="O779" s="334"/>
      <c r="P779" s="545">
        <f t="shared" si="113"/>
        <v>160430</v>
      </c>
      <c r="Q779" s="545">
        <f t="shared" si="108"/>
        <v>0</v>
      </c>
      <c r="R779" s="545">
        <f t="shared" si="109"/>
        <v>160430</v>
      </c>
    </row>
    <row r="780" spans="2:18" x14ac:dyDescent="0.2">
      <c r="B780" s="172">
        <f t="shared" si="114"/>
        <v>281</v>
      </c>
      <c r="C780" s="129"/>
      <c r="D780" s="130"/>
      <c r="E780" s="166"/>
      <c r="F780" s="145" t="s">
        <v>212</v>
      </c>
      <c r="G780" s="202" t="s">
        <v>259</v>
      </c>
      <c r="H780" s="474">
        <f>53438+1555+1357</f>
        <v>56350</v>
      </c>
      <c r="I780" s="474"/>
      <c r="J780" s="474">
        <f t="shared" si="106"/>
        <v>56350</v>
      </c>
      <c r="K780" s="334"/>
      <c r="L780" s="544"/>
      <c r="M780" s="544"/>
      <c r="N780" s="544"/>
      <c r="O780" s="334"/>
      <c r="P780" s="545">
        <f t="shared" si="113"/>
        <v>56350</v>
      </c>
      <c r="Q780" s="545">
        <f t="shared" si="108"/>
        <v>0</v>
      </c>
      <c r="R780" s="545">
        <f t="shared" si="109"/>
        <v>56350</v>
      </c>
    </row>
    <row r="781" spans="2:18" x14ac:dyDescent="0.2">
      <c r="B781" s="172">
        <f t="shared" si="114"/>
        <v>282</v>
      </c>
      <c r="C781" s="129"/>
      <c r="D781" s="130"/>
      <c r="E781" s="166"/>
      <c r="F781" s="145" t="s">
        <v>218</v>
      </c>
      <c r="G781" s="202" t="s">
        <v>341</v>
      </c>
      <c r="H781" s="543">
        <f>SUM(H782:H787)</f>
        <v>61860</v>
      </c>
      <c r="I781" s="543">
        <f>SUM(I782:I787)</f>
        <v>0</v>
      </c>
      <c r="J781" s="543">
        <f t="shared" si="106"/>
        <v>61860</v>
      </c>
      <c r="K781" s="334"/>
      <c r="L781" s="544"/>
      <c r="M781" s="544"/>
      <c r="N781" s="544"/>
      <c r="O781" s="334"/>
      <c r="P781" s="545">
        <f t="shared" si="113"/>
        <v>61860</v>
      </c>
      <c r="Q781" s="545">
        <f t="shared" si="108"/>
        <v>0</v>
      </c>
      <c r="R781" s="545">
        <f t="shared" si="109"/>
        <v>61860</v>
      </c>
    </row>
    <row r="782" spans="2:18" x14ac:dyDescent="0.2">
      <c r="B782" s="172">
        <f t="shared" si="114"/>
        <v>283</v>
      </c>
      <c r="C782" s="129"/>
      <c r="D782" s="130"/>
      <c r="E782" s="166"/>
      <c r="F782" s="130" t="s">
        <v>213</v>
      </c>
      <c r="G782" s="194" t="s">
        <v>255</v>
      </c>
      <c r="H782" s="425">
        <v>25</v>
      </c>
      <c r="I782" s="425"/>
      <c r="J782" s="425">
        <f t="shared" si="106"/>
        <v>25</v>
      </c>
      <c r="K782" s="334"/>
      <c r="L782" s="544"/>
      <c r="M782" s="544"/>
      <c r="N782" s="544"/>
      <c r="O782" s="334"/>
      <c r="P782" s="169">
        <f t="shared" si="113"/>
        <v>25</v>
      </c>
      <c r="Q782" s="169">
        <f t="shared" si="108"/>
        <v>0</v>
      </c>
      <c r="R782" s="169">
        <f t="shared" si="109"/>
        <v>25</v>
      </c>
    </row>
    <row r="783" spans="2:18" x14ac:dyDescent="0.2">
      <c r="B783" s="172">
        <f t="shared" si="114"/>
        <v>284</v>
      </c>
      <c r="C783" s="129"/>
      <c r="D783" s="130"/>
      <c r="E783" s="166"/>
      <c r="F783" s="130" t="s">
        <v>199</v>
      </c>
      <c r="G783" s="194" t="s">
        <v>319</v>
      </c>
      <c r="H783" s="425">
        <v>21550</v>
      </c>
      <c r="I783" s="425"/>
      <c r="J783" s="425">
        <f t="shared" si="106"/>
        <v>21550</v>
      </c>
      <c r="K783" s="334"/>
      <c r="L783" s="544"/>
      <c r="M783" s="544"/>
      <c r="N783" s="544"/>
      <c r="O783" s="334"/>
      <c r="P783" s="169">
        <f t="shared" si="113"/>
        <v>21550</v>
      </c>
      <c r="Q783" s="169">
        <f t="shared" si="108"/>
        <v>0</v>
      </c>
      <c r="R783" s="169">
        <f t="shared" si="109"/>
        <v>21550</v>
      </c>
    </row>
    <row r="784" spans="2:18" x14ac:dyDescent="0.2">
      <c r="B784" s="172">
        <f t="shared" si="114"/>
        <v>285</v>
      </c>
      <c r="C784" s="129"/>
      <c r="D784" s="130"/>
      <c r="E784" s="166"/>
      <c r="F784" s="130" t="s">
        <v>200</v>
      </c>
      <c r="G784" s="194" t="s">
        <v>247</v>
      </c>
      <c r="H784" s="425">
        <v>9660</v>
      </c>
      <c r="I784" s="425"/>
      <c r="J784" s="425">
        <f t="shared" si="106"/>
        <v>9660</v>
      </c>
      <c r="K784" s="334"/>
      <c r="L784" s="544"/>
      <c r="M784" s="544"/>
      <c r="N784" s="544"/>
      <c r="O784" s="334"/>
      <c r="P784" s="169">
        <f t="shared" si="113"/>
        <v>9660</v>
      </c>
      <c r="Q784" s="169">
        <f t="shared" si="108"/>
        <v>0</v>
      </c>
      <c r="R784" s="169">
        <f t="shared" si="109"/>
        <v>9660</v>
      </c>
    </row>
    <row r="785" spans="2:18" x14ac:dyDescent="0.2">
      <c r="B785" s="172">
        <f t="shared" si="114"/>
        <v>286</v>
      </c>
      <c r="C785" s="129"/>
      <c r="D785" s="130"/>
      <c r="E785" s="166"/>
      <c r="F785" s="130" t="s">
        <v>214</v>
      </c>
      <c r="G785" s="194" t="s">
        <v>261</v>
      </c>
      <c r="H785" s="425">
        <f>3880+5000</f>
        <v>8880</v>
      </c>
      <c r="I785" s="425"/>
      <c r="J785" s="425">
        <f t="shared" si="106"/>
        <v>8880</v>
      </c>
      <c r="K785" s="334"/>
      <c r="L785" s="544"/>
      <c r="M785" s="544"/>
      <c r="N785" s="544"/>
      <c r="O785" s="334"/>
      <c r="P785" s="169">
        <f t="shared" si="113"/>
        <v>8880</v>
      </c>
      <c r="Q785" s="169">
        <f t="shared" si="108"/>
        <v>0</v>
      </c>
      <c r="R785" s="169">
        <f t="shared" si="109"/>
        <v>8880</v>
      </c>
    </row>
    <row r="786" spans="2:18" x14ac:dyDescent="0.2">
      <c r="B786" s="172">
        <f t="shared" si="114"/>
        <v>287</v>
      </c>
      <c r="C786" s="129"/>
      <c r="D786" s="130"/>
      <c r="E786" s="166"/>
      <c r="F786" s="130" t="s">
        <v>216</v>
      </c>
      <c r="G786" s="194" t="s">
        <v>248</v>
      </c>
      <c r="H786" s="425">
        <v>8723</v>
      </c>
      <c r="I786" s="425"/>
      <c r="J786" s="425">
        <f t="shared" ref="J786:J788" si="115">I786+H786</f>
        <v>8723</v>
      </c>
      <c r="K786" s="334"/>
      <c r="L786" s="544"/>
      <c r="M786" s="544"/>
      <c r="N786" s="544"/>
      <c r="O786" s="334"/>
      <c r="P786" s="169">
        <f t="shared" si="113"/>
        <v>8723</v>
      </c>
      <c r="Q786" s="169">
        <f t="shared" ref="Q786:Q788" si="116">I786+M786</f>
        <v>0</v>
      </c>
      <c r="R786" s="169">
        <f t="shared" ref="R786:R788" si="117">Q786+P786</f>
        <v>8723</v>
      </c>
    </row>
    <row r="787" spans="2:18" x14ac:dyDescent="0.2">
      <c r="B787" s="172">
        <f t="shared" si="114"/>
        <v>288</v>
      </c>
      <c r="C787" s="129"/>
      <c r="D787" s="130"/>
      <c r="E787" s="166"/>
      <c r="F787" s="130" t="s">
        <v>218</v>
      </c>
      <c r="G787" s="194" t="s">
        <v>794</v>
      </c>
      <c r="H787" s="425">
        <v>13022</v>
      </c>
      <c r="I787" s="425"/>
      <c r="J787" s="425">
        <f t="shared" si="115"/>
        <v>13022</v>
      </c>
      <c r="K787" s="334"/>
      <c r="L787" s="544"/>
      <c r="M787" s="544"/>
      <c r="N787" s="544"/>
      <c r="O787" s="334"/>
      <c r="P787" s="169">
        <f t="shared" si="113"/>
        <v>13022</v>
      </c>
      <c r="Q787" s="169">
        <f t="shared" si="116"/>
        <v>0</v>
      </c>
      <c r="R787" s="169">
        <f t="shared" si="117"/>
        <v>13022</v>
      </c>
    </row>
    <row r="788" spans="2:18" x14ac:dyDescent="0.2">
      <c r="B788" s="172">
        <f t="shared" si="114"/>
        <v>289</v>
      </c>
      <c r="C788" s="129"/>
      <c r="D788" s="130"/>
      <c r="E788" s="166"/>
      <c r="F788" s="282" t="s">
        <v>217</v>
      </c>
      <c r="G788" s="202" t="s">
        <v>372</v>
      </c>
      <c r="H788" s="474">
        <v>2750</v>
      </c>
      <c r="I788" s="474"/>
      <c r="J788" s="474">
        <f t="shared" si="115"/>
        <v>2750</v>
      </c>
      <c r="K788" s="334"/>
      <c r="L788" s="544"/>
      <c r="M788" s="544"/>
      <c r="N788" s="544"/>
      <c r="O788" s="334"/>
      <c r="P788" s="545">
        <f t="shared" si="113"/>
        <v>2750</v>
      </c>
      <c r="Q788" s="545">
        <f t="shared" si="116"/>
        <v>0</v>
      </c>
      <c r="R788" s="545">
        <f t="shared" si="117"/>
        <v>2750</v>
      </c>
    </row>
    <row r="789" spans="2:18" x14ac:dyDescent="0.2">
      <c r="B789" s="172">
        <f t="shared" si="114"/>
        <v>290</v>
      </c>
      <c r="C789" s="129"/>
      <c r="D789" s="130"/>
      <c r="E789" s="166"/>
      <c r="F789" s="441"/>
      <c r="G789" s="202"/>
      <c r="H789" s="474"/>
      <c r="I789" s="474"/>
      <c r="J789" s="474"/>
      <c r="K789" s="334"/>
      <c r="L789" s="430"/>
      <c r="M789" s="430"/>
      <c r="N789" s="430"/>
      <c r="O789" s="334"/>
      <c r="P789" s="167"/>
      <c r="Q789" s="167"/>
      <c r="R789" s="167"/>
    </row>
    <row r="790" spans="2:18" x14ac:dyDescent="0.2">
      <c r="B790" s="172">
        <f t="shared" si="114"/>
        <v>291</v>
      </c>
      <c r="C790" s="129"/>
      <c r="D790" s="130"/>
      <c r="E790" s="166"/>
      <c r="F790" s="441" t="s">
        <v>322</v>
      </c>
      <c r="G790" s="202" t="s">
        <v>795</v>
      </c>
      <c r="H790" s="474"/>
      <c r="I790" s="474"/>
      <c r="J790" s="474">
        <f t="shared" ref="J790:J853" si="118">I790+H790</f>
        <v>0</v>
      </c>
      <c r="K790" s="334"/>
      <c r="L790" s="430">
        <v>40000</v>
      </c>
      <c r="M790" s="430"/>
      <c r="N790" s="430">
        <f>M790+L790</f>
        <v>40000</v>
      </c>
      <c r="O790" s="334"/>
      <c r="P790" s="167">
        <f>L790</f>
        <v>40000</v>
      </c>
      <c r="Q790" s="167">
        <f>M790</f>
        <v>0</v>
      </c>
      <c r="R790" s="167">
        <f t="shared" ref="R790:R853" si="119">Q790+P790</f>
        <v>40000</v>
      </c>
    </row>
    <row r="791" spans="2:18" ht="15" x14ac:dyDescent="0.25">
      <c r="B791" s="172">
        <f t="shared" si="114"/>
        <v>292</v>
      </c>
      <c r="C791" s="129"/>
      <c r="D791" s="261" t="s">
        <v>173</v>
      </c>
      <c r="E791" s="149" t="s">
        <v>430</v>
      </c>
      <c r="F791" s="149" t="s">
        <v>374</v>
      </c>
      <c r="G791" s="239"/>
      <c r="H791" s="416">
        <f>H792+H802</f>
        <v>393992</v>
      </c>
      <c r="I791" s="416">
        <f>I792+I802</f>
        <v>0</v>
      </c>
      <c r="J791" s="416">
        <f t="shared" si="118"/>
        <v>393992</v>
      </c>
      <c r="K791" s="335"/>
      <c r="L791" s="421"/>
      <c r="M791" s="421"/>
      <c r="N791" s="421"/>
      <c r="O791" s="335"/>
      <c r="P791" s="328">
        <f t="shared" ref="P791:P822" si="120">H791+L791</f>
        <v>393992</v>
      </c>
      <c r="Q791" s="328">
        <f t="shared" ref="Q791:Q854" si="121">I791+M791</f>
        <v>0</v>
      </c>
      <c r="R791" s="328">
        <f t="shared" si="119"/>
        <v>393992</v>
      </c>
    </row>
    <row r="792" spans="2:18" ht="14.25" x14ac:dyDescent="0.2">
      <c r="B792" s="172">
        <f t="shared" si="114"/>
        <v>293</v>
      </c>
      <c r="C792" s="75"/>
      <c r="D792" s="528"/>
      <c r="E792" s="535" t="s">
        <v>429</v>
      </c>
      <c r="F792" s="532" t="s">
        <v>689</v>
      </c>
      <c r="G792" s="531"/>
      <c r="H792" s="533">
        <f>H793+H794+H795+H801</f>
        <v>141998</v>
      </c>
      <c r="I792" s="533">
        <f>I793+I794+I795+I801</f>
        <v>0</v>
      </c>
      <c r="J792" s="533">
        <f t="shared" si="118"/>
        <v>141998</v>
      </c>
      <c r="K792" s="335"/>
      <c r="L792" s="530"/>
      <c r="M792" s="530"/>
      <c r="N792" s="530"/>
      <c r="O792" s="335"/>
      <c r="P792" s="534">
        <f t="shared" si="120"/>
        <v>141998</v>
      </c>
      <c r="Q792" s="534">
        <f t="shared" si="121"/>
        <v>0</v>
      </c>
      <c r="R792" s="534">
        <f t="shared" si="119"/>
        <v>141998</v>
      </c>
    </row>
    <row r="793" spans="2:18" x14ac:dyDescent="0.2">
      <c r="B793" s="172">
        <f t="shared" si="114"/>
        <v>294</v>
      </c>
      <c r="C793" s="129"/>
      <c r="D793" s="130"/>
      <c r="E793" s="130"/>
      <c r="F793" s="145" t="s">
        <v>211</v>
      </c>
      <c r="G793" s="202" t="s">
        <v>506</v>
      </c>
      <c r="H793" s="543">
        <f>76640+13970</f>
        <v>90610</v>
      </c>
      <c r="I793" s="543"/>
      <c r="J793" s="543">
        <f t="shared" si="118"/>
        <v>90610</v>
      </c>
      <c r="K793" s="334"/>
      <c r="L793" s="430"/>
      <c r="M793" s="430"/>
      <c r="N793" s="430"/>
      <c r="O793" s="334"/>
      <c r="P793" s="167">
        <f t="shared" si="120"/>
        <v>90610</v>
      </c>
      <c r="Q793" s="167">
        <f t="shared" si="121"/>
        <v>0</v>
      </c>
      <c r="R793" s="167">
        <f t="shared" si="119"/>
        <v>90610</v>
      </c>
    </row>
    <row r="794" spans="2:18" x14ac:dyDescent="0.2">
      <c r="B794" s="172">
        <f t="shared" si="114"/>
        <v>295</v>
      </c>
      <c r="C794" s="129"/>
      <c r="D794" s="130"/>
      <c r="E794" s="130"/>
      <c r="F794" s="145" t="s">
        <v>212</v>
      </c>
      <c r="G794" s="202" t="s">
        <v>259</v>
      </c>
      <c r="H794" s="543">
        <f>24542+7126</f>
        <v>31668</v>
      </c>
      <c r="I794" s="543"/>
      <c r="J794" s="543">
        <f t="shared" si="118"/>
        <v>31668</v>
      </c>
      <c r="K794" s="334"/>
      <c r="L794" s="430"/>
      <c r="M794" s="430"/>
      <c r="N794" s="430"/>
      <c r="O794" s="334"/>
      <c r="P794" s="167">
        <f t="shared" si="120"/>
        <v>31668</v>
      </c>
      <c r="Q794" s="167">
        <f t="shared" si="121"/>
        <v>0</v>
      </c>
      <c r="R794" s="167">
        <f t="shared" si="119"/>
        <v>31668</v>
      </c>
    </row>
    <row r="795" spans="2:18" x14ac:dyDescent="0.2">
      <c r="B795" s="172">
        <f t="shared" si="114"/>
        <v>296</v>
      </c>
      <c r="C795" s="129"/>
      <c r="D795" s="130"/>
      <c r="E795" s="130"/>
      <c r="F795" s="145" t="s">
        <v>218</v>
      </c>
      <c r="G795" s="202" t="s">
        <v>341</v>
      </c>
      <c r="H795" s="543">
        <f>SUM(H796:H800)</f>
        <v>19620</v>
      </c>
      <c r="I795" s="543">
        <f>SUM(I796:I800)</f>
        <v>0</v>
      </c>
      <c r="J795" s="543">
        <f t="shared" si="118"/>
        <v>19620</v>
      </c>
      <c r="K795" s="334"/>
      <c r="L795" s="430"/>
      <c r="M795" s="430"/>
      <c r="N795" s="430"/>
      <c r="O795" s="334"/>
      <c r="P795" s="167">
        <f t="shared" si="120"/>
        <v>19620</v>
      </c>
      <c r="Q795" s="167">
        <f t="shared" si="121"/>
        <v>0</v>
      </c>
      <c r="R795" s="167">
        <f t="shared" si="119"/>
        <v>19620</v>
      </c>
    </row>
    <row r="796" spans="2:18" x14ac:dyDescent="0.2">
      <c r="B796" s="172">
        <f t="shared" si="114"/>
        <v>297</v>
      </c>
      <c r="C796" s="129"/>
      <c r="D796" s="130"/>
      <c r="E796" s="130"/>
      <c r="F796" s="130" t="s">
        <v>213</v>
      </c>
      <c r="G796" s="194" t="s">
        <v>255</v>
      </c>
      <c r="H796" s="389">
        <v>100</v>
      </c>
      <c r="I796" s="389"/>
      <c r="J796" s="389">
        <f t="shared" si="118"/>
        <v>100</v>
      </c>
      <c r="K796" s="334"/>
      <c r="L796" s="430"/>
      <c r="M796" s="430"/>
      <c r="N796" s="430"/>
      <c r="O796" s="334"/>
      <c r="P796" s="168">
        <f t="shared" si="120"/>
        <v>100</v>
      </c>
      <c r="Q796" s="168">
        <f t="shared" si="121"/>
        <v>0</v>
      </c>
      <c r="R796" s="168">
        <f t="shared" si="119"/>
        <v>100</v>
      </c>
    </row>
    <row r="797" spans="2:18" x14ac:dyDescent="0.2">
      <c r="B797" s="172">
        <f t="shared" si="114"/>
        <v>298</v>
      </c>
      <c r="C797" s="129"/>
      <c r="D797" s="130"/>
      <c r="E797" s="130"/>
      <c r="F797" s="130" t="s">
        <v>199</v>
      </c>
      <c r="G797" s="194" t="s">
        <v>319</v>
      </c>
      <c r="H797" s="389">
        <v>8860</v>
      </c>
      <c r="I797" s="389"/>
      <c r="J797" s="389">
        <f t="shared" si="118"/>
        <v>8860</v>
      </c>
      <c r="K797" s="334"/>
      <c r="L797" s="430"/>
      <c r="M797" s="430"/>
      <c r="N797" s="430"/>
      <c r="O797" s="334"/>
      <c r="P797" s="168">
        <f t="shared" si="120"/>
        <v>8860</v>
      </c>
      <c r="Q797" s="168">
        <f t="shared" si="121"/>
        <v>0</v>
      </c>
      <c r="R797" s="168">
        <f t="shared" si="119"/>
        <v>8860</v>
      </c>
    </row>
    <row r="798" spans="2:18" x14ac:dyDescent="0.2">
      <c r="B798" s="172">
        <f t="shared" si="114"/>
        <v>299</v>
      </c>
      <c r="C798" s="129"/>
      <c r="D798" s="130"/>
      <c r="E798" s="130"/>
      <c r="F798" s="130" t="s">
        <v>200</v>
      </c>
      <c r="G798" s="194" t="s">
        <v>247</v>
      </c>
      <c r="H798" s="389">
        <f>3590+1390</f>
        <v>4980</v>
      </c>
      <c r="I798" s="389"/>
      <c r="J798" s="389">
        <f t="shared" si="118"/>
        <v>4980</v>
      </c>
      <c r="K798" s="334"/>
      <c r="L798" s="430"/>
      <c r="M798" s="430"/>
      <c r="N798" s="430"/>
      <c r="O798" s="334"/>
      <c r="P798" s="169">
        <f t="shared" si="120"/>
        <v>4980</v>
      </c>
      <c r="Q798" s="169">
        <f t="shared" si="121"/>
        <v>0</v>
      </c>
      <c r="R798" s="169">
        <f t="shared" si="119"/>
        <v>4980</v>
      </c>
    </row>
    <row r="799" spans="2:18" x14ac:dyDescent="0.2">
      <c r="B799" s="172">
        <f t="shared" si="114"/>
        <v>300</v>
      </c>
      <c r="C799" s="129"/>
      <c r="D799" s="130"/>
      <c r="E799" s="130"/>
      <c r="F799" s="130" t="s">
        <v>214</v>
      </c>
      <c r="G799" s="194" t="s">
        <v>261</v>
      </c>
      <c r="H799" s="425">
        <f>500+1390</f>
        <v>1890</v>
      </c>
      <c r="I799" s="425"/>
      <c r="J799" s="425">
        <f t="shared" si="118"/>
        <v>1890</v>
      </c>
      <c r="K799" s="334"/>
      <c r="L799" s="544"/>
      <c r="M799" s="544"/>
      <c r="N799" s="544"/>
      <c r="O799" s="334"/>
      <c r="P799" s="267">
        <f t="shared" si="120"/>
        <v>1890</v>
      </c>
      <c r="Q799" s="267">
        <f t="shared" si="121"/>
        <v>0</v>
      </c>
      <c r="R799" s="267">
        <f t="shared" si="119"/>
        <v>1890</v>
      </c>
    </row>
    <row r="800" spans="2:18" x14ac:dyDescent="0.2">
      <c r="B800" s="172">
        <f t="shared" si="114"/>
        <v>301</v>
      </c>
      <c r="C800" s="129"/>
      <c r="D800" s="130"/>
      <c r="E800" s="130"/>
      <c r="F800" s="130" t="s">
        <v>216</v>
      </c>
      <c r="G800" s="194" t="s">
        <v>248</v>
      </c>
      <c r="H800" s="389">
        <v>3790</v>
      </c>
      <c r="I800" s="389"/>
      <c r="J800" s="389">
        <f t="shared" si="118"/>
        <v>3790</v>
      </c>
      <c r="K800" s="334"/>
      <c r="L800" s="430"/>
      <c r="M800" s="430"/>
      <c r="N800" s="430"/>
      <c r="O800" s="334"/>
      <c r="P800" s="168">
        <f t="shared" si="120"/>
        <v>3790</v>
      </c>
      <c r="Q800" s="168">
        <f t="shared" si="121"/>
        <v>0</v>
      </c>
      <c r="R800" s="168">
        <f t="shared" si="119"/>
        <v>3790</v>
      </c>
    </row>
    <row r="801" spans="2:18" x14ac:dyDescent="0.2">
      <c r="B801" s="172">
        <f t="shared" si="114"/>
        <v>302</v>
      </c>
      <c r="C801" s="129"/>
      <c r="D801" s="130"/>
      <c r="E801" s="170"/>
      <c r="F801" s="145" t="s">
        <v>217</v>
      </c>
      <c r="G801" s="202" t="s">
        <v>372</v>
      </c>
      <c r="H801" s="434">
        <v>100</v>
      </c>
      <c r="I801" s="434"/>
      <c r="J801" s="434">
        <f t="shared" si="118"/>
        <v>100</v>
      </c>
      <c r="K801" s="334"/>
      <c r="L801" s="430"/>
      <c r="M801" s="430"/>
      <c r="N801" s="430"/>
      <c r="O801" s="334"/>
      <c r="P801" s="167">
        <f t="shared" si="120"/>
        <v>100</v>
      </c>
      <c r="Q801" s="167">
        <f t="shared" si="121"/>
        <v>0</v>
      </c>
      <c r="R801" s="167">
        <f t="shared" si="119"/>
        <v>100</v>
      </c>
    </row>
    <row r="802" spans="2:18" ht="14.25" x14ac:dyDescent="0.2">
      <c r="B802" s="172">
        <f t="shared" si="114"/>
        <v>303</v>
      </c>
      <c r="C802" s="129"/>
      <c r="D802" s="130"/>
      <c r="E802" s="535" t="s">
        <v>687</v>
      </c>
      <c r="F802" s="532" t="s">
        <v>688</v>
      </c>
      <c r="G802" s="618"/>
      <c r="H802" s="536">
        <f>H803+H804+H805+H813</f>
        <v>251994</v>
      </c>
      <c r="I802" s="536">
        <f>I803+I804+I805+I813</f>
        <v>0</v>
      </c>
      <c r="J802" s="536">
        <f t="shared" si="118"/>
        <v>251994</v>
      </c>
      <c r="K802" s="334"/>
      <c r="L802" s="530"/>
      <c r="M802" s="530"/>
      <c r="N802" s="530"/>
      <c r="O802" s="334"/>
      <c r="P802" s="534">
        <f t="shared" si="120"/>
        <v>251994</v>
      </c>
      <c r="Q802" s="534">
        <f t="shared" si="121"/>
        <v>0</v>
      </c>
      <c r="R802" s="534">
        <f t="shared" si="119"/>
        <v>251994</v>
      </c>
    </row>
    <row r="803" spans="2:18" x14ac:dyDescent="0.2">
      <c r="B803" s="172">
        <f t="shared" si="114"/>
        <v>304</v>
      </c>
      <c r="C803" s="129"/>
      <c r="D803" s="130"/>
      <c r="E803" s="166"/>
      <c r="F803" s="145" t="s">
        <v>211</v>
      </c>
      <c r="G803" s="202" t="s">
        <v>506</v>
      </c>
      <c r="H803" s="474">
        <f>105480+11184</f>
        <v>116664</v>
      </c>
      <c r="I803" s="474"/>
      <c r="J803" s="474">
        <f t="shared" si="118"/>
        <v>116664</v>
      </c>
      <c r="K803" s="334"/>
      <c r="L803" s="544"/>
      <c r="M803" s="544"/>
      <c r="N803" s="544"/>
      <c r="O803" s="334"/>
      <c r="P803" s="545">
        <f t="shared" si="120"/>
        <v>116664</v>
      </c>
      <c r="Q803" s="545">
        <f t="shared" si="121"/>
        <v>0</v>
      </c>
      <c r="R803" s="545">
        <f t="shared" si="119"/>
        <v>116664</v>
      </c>
    </row>
    <row r="804" spans="2:18" x14ac:dyDescent="0.2">
      <c r="B804" s="172">
        <f t="shared" si="114"/>
        <v>305</v>
      </c>
      <c r="C804" s="129"/>
      <c r="D804" s="130"/>
      <c r="E804" s="166"/>
      <c r="F804" s="145" t="s">
        <v>212</v>
      </c>
      <c r="G804" s="202" t="s">
        <v>259</v>
      </c>
      <c r="H804" s="474">
        <f>39108+1669</f>
        <v>40777</v>
      </c>
      <c r="I804" s="474"/>
      <c r="J804" s="474">
        <f t="shared" si="118"/>
        <v>40777</v>
      </c>
      <c r="K804" s="334"/>
      <c r="L804" s="544"/>
      <c r="M804" s="544"/>
      <c r="N804" s="544"/>
      <c r="O804" s="334"/>
      <c r="P804" s="545">
        <f t="shared" si="120"/>
        <v>40777</v>
      </c>
      <c r="Q804" s="545">
        <f t="shared" si="121"/>
        <v>0</v>
      </c>
      <c r="R804" s="545">
        <f t="shared" si="119"/>
        <v>40777</v>
      </c>
    </row>
    <row r="805" spans="2:18" x14ac:dyDescent="0.2">
      <c r="B805" s="172">
        <f t="shared" si="114"/>
        <v>306</v>
      </c>
      <c r="C805" s="129"/>
      <c r="D805" s="130"/>
      <c r="E805" s="166"/>
      <c r="F805" s="145" t="s">
        <v>218</v>
      </c>
      <c r="G805" s="202" t="s">
        <v>341</v>
      </c>
      <c r="H805" s="543">
        <f>SUM(H806:H812)</f>
        <v>92853</v>
      </c>
      <c r="I805" s="543">
        <f>SUM(I806:I812)</f>
        <v>0</v>
      </c>
      <c r="J805" s="543">
        <f t="shared" si="118"/>
        <v>92853</v>
      </c>
      <c r="K805" s="334"/>
      <c r="L805" s="544"/>
      <c r="M805" s="544"/>
      <c r="N805" s="544"/>
      <c r="O805" s="334"/>
      <c r="P805" s="545">
        <f t="shared" si="120"/>
        <v>92853</v>
      </c>
      <c r="Q805" s="545">
        <f t="shared" si="121"/>
        <v>0</v>
      </c>
      <c r="R805" s="545">
        <f t="shared" si="119"/>
        <v>92853</v>
      </c>
    </row>
    <row r="806" spans="2:18" x14ac:dyDescent="0.2">
      <c r="B806" s="172">
        <f t="shared" si="114"/>
        <v>307</v>
      </c>
      <c r="C806" s="129"/>
      <c r="D806" s="130"/>
      <c r="E806" s="166"/>
      <c r="F806" s="130" t="s">
        <v>213</v>
      </c>
      <c r="G806" s="194" t="s">
        <v>255</v>
      </c>
      <c r="H806" s="425">
        <v>150</v>
      </c>
      <c r="I806" s="425"/>
      <c r="J806" s="425">
        <f t="shared" si="118"/>
        <v>150</v>
      </c>
      <c r="K806" s="334"/>
      <c r="L806" s="544"/>
      <c r="M806" s="544"/>
      <c r="N806" s="544"/>
      <c r="O806" s="334"/>
      <c r="P806" s="169">
        <f t="shared" si="120"/>
        <v>150</v>
      </c>
      <c r="Q806" s="169">
        <f t="shared" si="121"/>
        <v>0</v>
      </c>
      <c r="R806" s="169">
        <f t="shared" si="119"/>
        <v>150</v>
      </c>
    </row>
    <row r="807" spans="2:18" x14ac:dyDescent="0.2">
      <c r="B807" s="172">
        <f t="shared" si="114"/>
        <v>308</v>
      </c>
      <c r="C807" s="129"/>
      <c r="D807" s="130"/>
      <c r="E807" s="166"/>
      <c r="F807" s="130" t="s">
        <v>199</v>
      </c>
      <c r="G807" s="194" t="s">
        <v>319</v>
      </c>
      <c r="H807" s="425">
        <v>76985</v>
      </c>
      <c r="I807" s="425">
        <v>-12000</v>
      </c>
      <c r="J807" s="425">
        <f t="shared" si="118"/>
        <v>64985</v>
      </c>
      <c r="K807" s="334"/>
      <c r="L807" s="544"/>
      <c r="M807" s="544"/>
      <c r="N807" s="544"/>
      <c r="O807" s="334"/>
      <c r="P807" s="169">
        <f t="shared" si="120"/>
        <v>76985</v>
      </c>
      <c r="Q807" s="169">
        <f t="shared" si="121"/>
        <v>-12000</v>
      </c>
      <c r="R807" s="169">
        <f t="shared" si="119"/>
        <v>64985</v>
      </c>
    </row>
    <row r="808" spans="2:18" x14ac:dyDescent="0.2">
      <c r="B808" s="172">
        <f t="shared" si="114"/>
        <v>309</v>
      </c>
      <c r="C808" s="129"/>
      <c r="D808" s="130"/>
      <c r="E808" s="166"/>
      <c r="F808" s="130" t="s">
        <v>200</v>
      </c>
      <c r="G808" s="194" t="s">
        <v>247</v>
      </c>
      <c r="H808" s="425">
        <f>4350+1200</f>
        <v>5550</v>
      </c>
      <c r="I808" s="425">
        <v>12000</v>
      </c>
      <c r="J808" s="425">
        <f t="shared" si="118"/>
        <v>17550</v>
      </c>
      <c r="K808" s="334"/>
      <c r="L808" s="544"/>
      <c r="M808" s="544"/>
      <c r="N808" s="544"/>
      <c r="O808" s="334"/>
      <c r="P808" s="169">
        <f t="shared" si="120"/>
        <v>5550</v>
      </c>
      <c r="Q808" s="169">
        <f t="shared" si="121"/>
        <v>12000</v>
      </c>
      <c r="R808" s="169">
        <f t="shared" si="119"/>
        <v>17550</v>
      </c>
    </row>
    <row r="809" spans="2:18" x14ac:dyDescent="0.2">
      <c r="B809" s="172">
        <f t="shared" si="114"/>
        <v>310</v>
      </c>
      <c r="C809" s="129"/>
      <c r="D809" s="130"/>
      <c r="E809" s="166"/>
      <c r="F809" s="130" t="s">
        <v>214</v>
      </c>
      <c r="G809" s="194" t="s">
        <v>261</v>
      </c>
      <c r="H809" s="425">
        <f>550+1300</f>
        <v>1850</v>
      </c>
      <c r="I809" s="425"/>
      <c r="J809" s="425">
        <f t="shared" si="118"/>
        <v>1850</v>
      </c>
      <c r="K809" s="334"/>
      <c r="L809" s="544"/>
      <c r="M809" s="544"/>
      <c r="N809" s="544"/>
      <c r="O809" s="334"/>
      <c r="P809" s="169">
        <f t="shared" si="120"/>
        <v>1850</v>
      </c>
      <c r="Q809" s="169">
        <f t="shared" si="121"/>
        <v>0</v>
      </c>
      <c r="R809" s="169">
        <f t="shared" si="119"/>
        <v>1850</v>
      </c>
    </row>
    <row r="810" spans="2:18" x14ac:dyDescent="0.2">
      <c r="B810" s="172">
        <f t="shared" si="114"/>
        <v>311</v>
      </c>
      <c r="C810" s="129"/>
      <c r="D810" s="130"/>
      <c r="E810" s="166"/>
      <c r="F810" s="130" t="s">
        <v>215</v>
      </c>
      <c r="G810" s="194" t="s">
        <v>635</v>
      </c>
      <c r="H810" s="425">
        <v>1650</v>
      </c>
      <c r="I810" s="425"/>
      <c r="J810" s="425">
        <f t="shared" si="118"/>
        <v>1650</v>
      </c>
      <c r="K810" s="334"/>
      <c r="L810" s="544"/>
      <c r="M810" s="544"/>
      <c r="N810" s="544"/>
      <c r="O810" s="334"/>
      <c r="P810" s="169">
        <f t="shared" si="120"/>
        <v>1650</v>
      </c>
      <c r="Q810" s="169">
        <f t="shared" si="121"/>
        <v>0</v>
      </c>
      <c r="R810" s="169">
        <f t="shared" si="119"/>
        <v>1650</v>
      </c>
    </row>
    <row r="811" spans="2:18" x14ac:dyDescent="0.2">
      <c r="B811" s="172">
        <f t="shared" si="114"/>
        <v>312</v>
      </c>
      <c r="C811" s="129"/>
      <c r="D811" s="130"/>
      <c r="E811" s="166"/>
      <c r="F811" s="130" t="s">
        <v>216</v>
      </c>
      <c r="G811" s="194" t="s">
        <v>248</v>
      </c>
      <c r="H811" s="425">
        <f>5360+897</f>
        <v>6257</v>
      </c>
      <c r="I811" s="425"/>
      <c r="J811" s="425">
        <f t="shared" si="118"/>
        <v>6257</v>
      </c>
      <c r="K811" s="334"/>
      <c r="L811" s="544"/>
      <c r="M811" s="544"/>
      <c r="N811" s="544"/>
      <c r="O811" s="334"/>
      <c r="P811" s="169">
        <f t="shared" si="120"/>
        <v>6257</v>
      </c>
      <c r="Q811" s="169">
        <f t="shared" si="121"/>
        <v>0</v>
      </c>
      <c r="R811" s="169">
        <f t="shared" si="119"/>
        <v>6257</v>
      </c>
    </row>
    <row r="812" spans="2:18" x14ac:dyDescent="0.2">
      <c r="B812" s="172">
        <f t="shared" si="114"/>
        <v>313</v>
      </c>
      <c r="C812" s="129"/>
      <c r="D812" s="130"/>
      <c r="E812" s="166"/>
      <c r="F812" s="130" t="s">
        <v>218</v>
      </c>
      <c r="G812" s="194" t="s">
        <v>794</v>
      </c>
      <c r="H812" s="425">
        <v>411</v>
      </c>
      <c r="I812" s="425"/>
      <c r="J812" s="425">
        <f t="shared" si="118"/>
        <v>411</v>
      </c>
      <c r="K812" s="334"/>
      <c r="L812" s="544"/>
      <c r="M812" s="544"/>
      <c r="N812" s="544"/>
      <c r="O812" s="334"/>
      <c r="P812" s="169">
        <f t="shared" si="120"/>
        <v>411</v>
      </c>
      <c r="Q812" s="169">
        <f t="shared" si="121"/>
        <v>0</v>
      </c>
      <c r="R812" s="169">
        <f t="shared" si="119"/>
        <v>411</v>
      </c>
    </row>
    <row r="813" spans="2:18" x14ac:dyDescent="0.2">
      <c r="B813" s="172">
        <f t="shared" si="114"/>
        <v>314</v>
      </c>
      <c r="C813" s="129"/>
      <c r="D813" s="130"/>
      <c r="E813" s="166"/>
      <c r="F813" s="282" t="s">
        <v>217</v>
      </c>
      <c r="G813" s="202" t="s">
        <v>372</v>
      </c>
      <c r="H813" s="474">
        <v>1700</v>
      </c>
      <c r="I813" s="474"/>
      <c r="J813" s="474">
        <f t="shared" si="118"/>
        <v>1700</v>
      </c>
      <c r="K813" s="334"/>
      <c r="L813" s="544"/>
      <c r="M813" s="544"/>
      <c r="N813" s="544"/>
      <c r="O813" s="334"/>
      <c r="P813" s="545">
        <f t="shared" si="120"/>
        <v>1700</v>
      </c>
      <c r="Q813" s="545">
        <f t="shared" si="121"/>
        <v>0</v>
      </c>
      <c r="R813" s="545">
        <f t="shared" si="119"/>
        <v>1700</v>
      </c>
    </row>
    <row r="814" spans="2:18" ht="15" x14ac:dyDescent="0.25">
      <c r="B814" s="172">
        <f t="shared" si="114"/>
        <v>315</v>
      </c>
      <c r="C814" s="129"/>
      <c r="D814" s="261" t="s">
        <v>348</v>
      </c>
      <c r="E814" s="149" t="s">
        <v>430</v>
      </c>
      <c r="F814" s="149" t="s">
        <v>421</v>
      </c>
      <c r="G814" s="239"/>
      <c r="H814" s="416">
        <f>H815+H825</f>
        <v>689984</v>
      </c>
      <c r="I814" s="416">
        <f>I815+I825</f>
        <v>0</v>
      </c>
      <c r="J814" s="416">
        <f t="shared" si="118"/>
        <v>689984</v>
      </c>
      <c r="K814" s="335"/>
      <c r="L814" s="422"/>
      <c r="M814" s="422"/>
      <c r="N814" s="422"/>
      <c r="O814" s="335"/>
      <c r="P814" s="328">
        <f t="shared" si="120"/>
        <v>689984</v>
      </c>
      <c r="Q814" s="328">
        <f t="shared" si="121"/>
        <v>0</v>
      </c>
      <c r="R814" s="328">
        <f t="shared" si="119"/>
        <v>689984</v>
      </c>
    </row>
    <row r="815" spans="2:18" ht="14.25" x14ac:dyDescent="0.2">
      <c r="B815" s="172">
        <f t="shared" si="114"/>
        <v>316</v>
      </c>
      <c r="C815" s="75"/>
      <c r="D815" s="528"/>
      <c r="E815" s="535" t="s">
        <v>429</v>
      </c>
      <c r="F815" s="532" t="s">
        <v>689</v>
      </c>
      <c r="G815" s="531"/>
      <c r="H815" s="533">
        <f>H816+H817+H818+H824</f>
        <v>315962</v>
      </c>
      <c r="I815" s="533">
        <f>I816+I817+I818+I824</f>
        <v>0</v>
      </c>
      <c r="J815" s="533">
        <f t="shared" si="118"/>
        <v>315962</v>
      </c>
      <c r="K815" s="335"/>
      <c r="L815" s="530"/>
      <c r="M815" s="530"/>
      <c r="N815" s="530"/>
      <c r="O815" s="335"/>
      <c r="P815" s="534">
        <f t="shared" si="120"/>
        <v>315962</v>
      </c>
      <c r="Q815" s="534">
        <f t="shared" si="121"/>
        <v>0</v>
      </c>
      <c r="R815" s="534">
        <f t="shared" si="119"/>
        <v>315962</v>
      </c>
    </row>
    <row r="816" spans="2:18" x14ac:dyDescent="0.2">
      <c r="B816" s="172">
        <f t="shared" si="114"/>
        <v>317</v>
      </c>
      <c r="C816" s="129"/>
      <c r="D816" s="130"/>
      <c r="E816" s="130"/>
      <c r="F816" s="145" t="s">
        <v>211</v>
      </c>
      <c r="G816" s="202" t="s">
        <v>506</v>
      </c>
      <c r="H816" s="543">
        <f>173418+15342</f>
        <v>188760</v>
      </c>
      <c r="I816" s="543"/>
      <c r="J816" s="543">
        <f t="shared" si="118"/>
        <v>188760</v>
      </c>
      <c r="K816" s="334"/>
      <c r="L816" s="430"/>
      <c r="M816" s="430"/>
      <c r="N816" s="430"/>
      <c r="O816" s="334"/>
      <c r="P816" s="167">
        <f t="shared" si="120"/>
        <v>188760</v>
      </c>
      <c r="Q816" s="167">
        <f t="shared" si="121"/>
        <v>0</v>
      </c>
      <c r="R816" s="167">
        <f t="shared" si="119"/>
        <v>188760</v>
      </c>
    </row>
    <row r="817" spans="2:18" x14ac:dyDescent="0.2">
      <c r="B817" s="172">
        <f t="shared" si="114"/>
        <v>318</v>
      </c>
      <c r="C817" s="129"/>
      <c r="D817" s="130"/>
      <c r="E817" s="130"/>
      <c r="F817" s="145" t="s">
        <v>212</v>
      </c>
      <c r="G817" s="202" t="s">
        <v>259</v>
      </c>
      <c r="H817" s="543">
        <f>58156+5361</f>
        <v>63517</v>
      </c>
      <c r="I817" s="543"/>
      <c r="J817" s="543">
        <f t="shared" si="118"/>
        <v>63517</v>
      </c>
      <c r="K817" s="334"/>
      <c r="L817" s="430"/>
      <c r="M817" s="430"/>
      <c r="N817" s="430"/>
      <c r="O817" s="334"/>
      <c r="P817" s="167">
        <f t="shared" si="120"/>
        <v>63517</v>
      </c>
      <c r="Q817" s="167">
        <f t="shared" si="121"/>
        <v>0</v>
      </c>
      <c r="R817" s="167">
        <f t="shared" si="119"/>
        <v>63517</v>
      </c>
    </row>
    <row r="818" spans="2:18" x14ac:dyDescent="0.2">
      <c r="B818" s="172">
        <f t="shared" si="114"/>
        <v>319</v>
      </c>
      <c r="C818" s="129"/>
      <c r="D818" s="130"/>
      <c r="E818" s="130"/>
      <c r="F818" s="145" t="s">
        <v>218</v>
      </c>
      <c r="G818" s="202" t="s">
        <v>341</v>
      </c>
      <c r="H818" s="543">
        <f>SUM(H819:H823)</f>
        <v>60872</v>
      </c>
      <c r="I818" s="543">
        <f>SUM(I819:I823)</f>
        <v>0</v>
      </c>
      <c r="J818" s="543">
        <f t="shared" si="118"/>
        <v>60872</v>
      </c>
      <c r="K818" s="334"/>
      <c r="L818" s="430"/>
      <c r="M818" s="430"/>
      <c r="N818" s="430"/>
      <c r="O818" s="334"/>
      <c r="P818" s="167">
        <f t="shared" si="120"/>
        <v>60872</v>
      </c>
      <c r="Q818" s="167">
        <f t="shared" si="121"/>
        <v>0</v>
      </c>
      <c r="R818" s="167">
        <f t="shared" si="119"/>
        <v>60872</v>
      </c>
    </row>
    <row r="819" spans="2:18" x14ac:dyDescent="0.2">
      <c r="B819" s="172">
        <f t="shared" si="114"/>
        <v>320</v>
      </c>
      <c r="C819" s="129"/>
      <c r="D819" s="130"/>
      <c r="E819" s="130"/>
      <c r="F819" s="130" t="s">
        <v>213</v>
      </c>
      <c r="G819" s="194" t="s">
        <v>255</v>
      </c>
      <c r="H819" s="389">
        <v>220</v>
      </c>
      <c r="I819" s="389"/>
      <c r="J819" s="389">
        <f t="shared" si="118"/>
        <v>220</v>
      </c>
      <c r="K819" s="334"/>
      <c r="L819" s="430"/>
      <c r="M819" s="430"/>
      <c r="N819" s="430"/>
      <c r="O819" s="334"/>
      <c r="P819" s="168">
        <f t="shared" si="120"/>
        <v>220</v>
      </c>
      <c r="Q819" s="168">
        <f t="shared" si="121"/>
        <v>0</v>
      </c>
      <c r="R819" s="168">
        <f t="shared" si="119"/>
        <v>220</v>
      </c>
    </row>
    <row r="820" spans="2:18" x14ac:dyDescent="0.2">
      <c r="B820" s="172">
        <f t="shared" si="114"/>
        <v>321</v>
      </c>
      <c r="C820" s="129"/>
      <c r="D820" s="130"/>
      <c r="E820" s="130"/>
      <c r="F820" s="130" t="s">
        <v>199</v>
      </c>
      <c r="G820" s="194" t="s">
        <v>319</v>
      </c>
      <c r="H820" s="389">
        <f>34320+1550</f>
        <v>35870</v>
      </c>
      <c r="I820" s="389"/>
      <c r="J820" s="389">
        <f t="shared" si="118"/>
        <v>35870</v>
      </c>
      <c r="K820" s="334"/>
      <c r="L820" s="430"/>
      <c r="M820" s="430"/>
      <c r="N820" s="430"/>
      <c r="O820" s="334"/>
      <c r="P820" s="168">
        <f t="shared" si="120"/>
        <v>35870</v>
      </c>
      <c r="Q820" s="168">
        <f t="shared" si="121"/>
        <v>0</v>
      </c>
      <c r="R820" s="168">
        <f t="shared" si="119"/>
        <v>35870</v>
      </c>
    </row>
    <row r="821" spans="2:18" x14ac:dyDescent="0.2">
      <c r="B821" s="172">
        <f t="shared" si="114"/>
        <v>322</v>
      </c>
      <c r="C821" s="129"/>
      <c r="D821" s="130"/>
      <c r="E821" s="130"/>
      <c r="F821" s="130" t="s">
        <v>200</v>
      </c>
      <c r="G821" s="194" t="s">
        <v>247</v>
      </c>
      <c r="H821" s="389">
        <v>9366</v>
      </c>
      <c r="I821" s="389"/>
      <c r="J821" s="389">
        <f t="shared" si="118"/>
        <v>9366</v>
      </c>
      <c r="K821" s="334"/>
      <c r="L821" s="430"/>
      <c r="M821" s="430"/>
      <c r="N821" s="430"/>
      <c r="O821" s="334"/>
      <c r="P821" s="168">
        <f t="shared" si="120"/>
        <v>9366</v>
      </c>
      <c r="Q821" s="168">
        <f t="shared" si="121"/>
        <v>0</v>
      </c>
      <c r="R821" s="168">
        <f t="shared" si="119"/>
        <v>9366</v>
      </c>
    </row>
    <row r="822" spans="2:18" x14ac:dyDescent="0.2">
      <c r="B822" s="172">
        <f t="shared" si="114"/>
        <v>323</v>
      </c>
      <c r="C822" s="129"/>
      <c r="D822" s="130"/>
      <c r="E822" s="130"/>
      <c r="F822" s="130" t="s">
        <v>214</v>
      </c>
      <c r="G822" s="194" t="s">
        <v>261</v>
      </c>
      <c r="H822" s="389">
        <f>2310+3178</f>
        <v>5488</v>
      </c>
      <c r="I822" s="389"/>
      <c r="J822" s="389">
        <f t="shared" si="118"/>
        <v>5488</v>
      </c>
      <c r="K822" s="334"/>
      <c r="L822" s="430"/>
      <c r="M822" s="430"/>
      <c r="N822" s="430"/>
      <c r="O822" s="334"/>
      <c r="P822" s="168">
        <f t="shared" si="120"/>
        <v>5488</v>
      </c>
      <c r="Q822" s="168">
        <f t="shared" si="121"/>
        <v>0</v>
      </c>
      <c r="R822" s="168">
        <f t="shared" si="119"/>
        <v>5488</v>
      </c>
    </row>
    <row r="823" spans="2:18" x14ac:dyDescent="0.2">
      <c r="B823" s="172">
        <f t="shared" si="114"/>
        <v>324</v>
      </c>
      <c r="C823" s="129"/>
      <c r="D823" s="130"/>
      <c r="E823" s="130"/>
      <c r="F823" s="130" t="s">
        <v>216</v>
      </c>
      <c r="G823" s="194" t="s">
        <v>248</v>
      </c>
      <c r="H823" s="389">
        <f>7403+2525</f>
        <v>9928</v>
      </c>
      <c r="I823" s="389"/>
      <c r="J823" s="389">
        <f t="shared" si="118"/>
        <v>9928</v>
      </c>
      <c r="K823" s="334"/>
      <c r="L823" s="430"/>
      <c r="M823" s="430"/>
      <c r="N823" s="430"/>
      <c r="O823" s="334"/>
      <c r="P823" s="168">
        <f t="shared" ref="P823:P856" si="122">H823+L823</f>
        <v>9928</v>
      </c>
      <c r="Q823" s="168">
        <f t="shared" si="121"/>
        <v>0</v>
      </c>
      <c r="R823" s="168">
        <f t="shared" si="119"/>
        <v>9928</v>
      </c>
    </row>
    <row r="824" spans="2:18" x14ac:dyDescent="0.2">
      <c r="B824" s="172">
        <f t="shared" si="114"/>
        <v>325</v>
      </c>
      <c r="C824" s="129"/>
      <c r="D824" s="130"/>
      <c r="E824" s="130"/>
      <c r="F824" s="145" t="s">
        <v>217</v>
      </c>
      <c r="G824" s="202" t="s">
        <v>372</v>
      </c>
      <c r="H824" s="543">
        <v>2813</v>
      </c>
      <c r="I824" s="543"/>
      <c r="J824" s="543">
        <f t="shared" si="118"/>
        <v>2813</v>
      </c>
      <c r="K824" s="334"/>
      <c r="L824" s="430"/>
      <c r="M824" s="430"/>
      <c r="N824" s="430"/>
      <c r="O824" s="334"/>
      <c r="P824" s="167">
        <f t="shared" si="122"/>
        <v>2813</v>
      </c>
      <c r="Q824" s="167">
        <f t="shared" si="121"/>
        <v>0</v>
      </c>
      <c r="R824" s="167">
        <f t="shared" si="119"/>
        <v>2813</v>
      </c>
    </row>
    <row r="825" spans="2:18" ht="14.25" x14ac:dyDescent="0.2">
      <c r="B825" s="172">
        <f t="shared" ref="B825:B888" si="123">B824+1</f>
        <v>326</v>
      </c>
      <c r="C825" s="129"/>
      <c r="D825" s="130"/>
      <c r="E825" s="535" t="s">
        <v>687</v>
      </c>
      <c r="F825" s="532" t="s">
        <v>688</v>
      </c>
      <c r="G825" s="618"/>
      <c r="H825" s="536">
        <f>H826+H827+H828+H835</f>
        <v>374022</v>
      </c>
      <c r="I825" s="536">
        <f>I826+I827+I828+I835</f>
        <v>0</v>
      </c>
      <c r="J825" s="536">
        <f t="shared" si="118"/>
        <v>374022</v>
      </c>
      <c r="K825" s="334"/>
      <c r="L825" s="530"/>
      <c r="M825" s="530"/>
      <c r="N825" s="530"/>
      <c r="O825" s="334"/>
      <c r="P825" s="534">
        <f t="shared" si="122"/>
        <v>374022</v>
      </c>
      <c r="Q825" s="534">
        <f t="shared" si="121"/>
        <v>0</v>
      </c>
      <c r="R825" s="534">
        <f t="shared" si="119"/>
        <v>374022</v>
      </c>
    </row>
    <row r="826" spans="2:18" x14ac:dyDescent="0.2">
      <c r="B826" s="172">
        <f t="shared" si="123"/>
        <v>327</v>
      </c>
      <c r="C826" s="129"/>
      <c r="D826" s="130"/>
      <c r="E826" s="166"/>
      <c r="F826" s="145" t="s">
        <v>211</v>
      </c>
      <c r="G826" s="202" t="s">
        <v>506</v>
      </c>
      <c r="H826" s="474">
        <f>215502+18744</f>
        <v>234246</v>
      </c>
      <c r="I826" s="474"/>
      <c r="J826" s="474">
        <f t="shared" si="118"/>
        <v>234246</v>
      </c>
      <c r="K826" s="334"/>
      <c r="L826" s="544"/>
      <c r="M826" s="544"/>
      <c r="N826" s="544"/>
      <c r="O826" s="334"/>
      <c r="P826" s="545">
        <f t="shared" si="122"/>
        <v>234246</v>
      </c>
      <c r="Q826" s="545">
        <f t="shared" si="121"/>
        <v>0</v>
      </c>
      <c r="R826" s="545">
        <f t="shared" si="119"/>
        <v>234246</v>
      </c>
    </row>
    <row r="827" spans="2:18" x14ac:dyDescent="0.2">
      <c r="B827" s="172">
        <f t="shared" si="123"/>
        <v>328</v>
      </c>
      <c r="C827" s="129"/>
      <c r="D827" s="130"/>
      <c r="E827" s="166"/>
      <c r="F827" s="145" t="s">
        <v>212</v>
      </c>
      <c r="G827" s="202" t="s">
        <v>259</v>
      </c>
      <c r="H827" s="474">
        <f>72329+6553</f>
        <v>78882</v>
      </c>
      <c r="I827" s="474"/>
      <c r="J827" s="474">
        <f t="shared" si="118"/>
        <v>78882</v>
      </c>
      <c r="K827" s="334"/>
      <c r="L827" s="544"/>
      <c r="M827" s="544"/>
      <c r="N827" s="544"/>
      <c r="O827" s="334"/>
      <c r="P827" s="545">
        <f t="shared" si="122"/>
        <v>78882</v>
      </c>
      <c r="Q827" s="545">
        <f t="shared" si="121"/>
        <v>0</v>
      </c>
      <c r="R827" s="545">
        <f t="shared" si="119"/>
        <v>78882</v>
      </c>
    </row>
    <row r="828" spans="2:18" x14ac:dyDescent="0.2">
      <c r="B828" s="172">
        <f t="shared" si="123"/>
        <v>329</v>
      </c>
      <c r="C828" s="129"/>
      <c r="D828" s="130"/>
      <c r="E828" s="166"/>
      <c r="F828" s="145" t="s">
        <v>218</v>
      </c>
      <c r="G828" s="202" t="s">
        <v>341</v>
      </c>
      <c r="H828" s="543">
        <f>SUM(H829:H834)</f>
        <v>57457</v>
      </c>
      <c r="I828" s="543">
        <f>SUM(I829:I834)</f>
        <v>0</v>
      </c>
      <c r="J828" s="543">
        <f t="shared" si="118"/>
        <v>57457</v>
      </c>
      <c r="K828" s="334"/>
      <c r="L828" s="544"/>
      <c r="M828" s="544"/>
      <c r="N828" s="544"/>
      <c r="O828" s="334"/>
      <c r="P828" s="545">
        <f t="shared" si="122"/>
        <v>57457</v>
      </c>
      <c r="Q828" s="545">
        <f t="shared" si="121"/>
        <v>0</v>
      </c>
      <c r="R828" s="545">
        <f t="shared" si="119"/>
        <v>57457</v>
      </c>
    </row>
    <row r="829" spans="2:18" x14ac:dyDescent="0.2">
      <c r="B829" s="172">
        <f t="shared" si="123"/>
        <v>330</v>
      </c>
      <c r="C829" s="129"/>
      <c r="D829" s="130"/>
      <c r="E829" s="166"/>
      <c r="F829" s="130" t="s">
        <v>213</v>
      </c>
      <c r="G829" s="194" t="s">
        <v>255</v>
      </c>
      <c r="H829" s="425">
        <v>180</v>
      </c>
      <c r="I829" s="425"/>
      <c r="J829" s="425">
        <f t="shared" si="118"/>
        <v>180</v>
      </c>
      <c r="K829" s="334"/>
      <c r="L829" s="544"/>
      <c r="M829" s="544"/>
      <c r="N829" s="544"/>
      <c r="O829" s="334"/>
      <c r="P829" s="169">
        <f t="shared" si="122"/>
        <v>180</v>
      </c>
      <c r="Q829" s="169">
        <f t="shared" si="121"/>
        <v>0</v>
      </c>
      <c r="R829" s="169">
        <f t="shared" si="119"/>
        <v>180</v>
      </c>
    </row>
    <row r="830" spans="2:18" x14ac:dyDescent="0.2">
      <c r="B830" s="172">
        <f t="shared" si="123"/>
        <v>331</v>
      </c>
      <c r="C830" s="129"/>
      <c r="D830" s="130"/>
      <c r="E830" s="166"/>
      <c r="F830" s="130" t="s">
        <v>199</v>
      </c>
      <c r="G830" s="194" t="s">
        <v>319</v>
      </c>
      <c r="H830" s="425">
        <f>28080+2177</f>
        <v>30257</v>
      </c>
      <c r="I830" s="425"/>
      <c r="J830" s="425">
        <f t="shared" si="118"/>
        <v>30257</v>
      </c>
      <c r="K830" s="334"/>
      <c r="L830" s="544"/>
      <c r="M830" s="544"/>
      <c r="N830" s="544"/>
      <c r="O830" s="334"/>
      <c r="P830" s="169">
        <f t="shared" si="122"/>
        <v>30257</v>
      </c>
      <c r="Q830" s="169">
        <f t="shared" si="121"/>
        <v>0</v>
      </c>
      <c r="R830" s="169">
        <f t="shared" si="119"/>
        <v>30257</v>
      </c>
    </row>
    <row r="831" spans="2:18" x14ac:dyDescent="0.2">
      <c r="B831" s="172">
        <f t="shared" si="123"/>
        <v>332</v>
      </c>
      <c r="C831" s="129"/>
      <c r="D831" s="130"/>
      <c r="E831" s="166"/>
      <c r="F831" s="130" t="s">
        <v>200</v>
      </c>
      <c r="G831" s="194" t="s">
        <v>247</v>
      </c>
      <c r="H831" s="425">
        <v>7664</v>
      </c>
      <c r="I831" s="425"/>
      <c r="J831" s="425">
        <f t="shared" si="118"/>
        <v>7664</v>
      </c>
      <c r="K831" s="334"/>
      <c r="L831" s="544"/>
      <c r="M831" s="544"/>
      <c r="N831" s="544"/>
      <c r="O831" s="334"/>
      <c r="P831" s="169">
        <f t="shared" si="122"/>
        <v>7664</v>
      </c>
      <c r="Q831" s="169">
        <f t="shared" si="121"/>
        <v>0</v>
      </c>
      <c r="R831" s="169">
        <f t="shared" si="119"/>
        <v>7664</v>
      </c>
    </row>
    <row r="832" spans="2:18" x14ac:dyDescent="0.2">
      <c r="B832" s="172">
        <f t="shared" si="123"/>
        <v>333</v>
      </c>
      <c r="C832" s="129"/>
      <c r="D832" s="130"/>
      <c r="E832" s="166"/>
      <c r="F832" s="130" t="s">
        <v>214</v>
      </c>
      <c r="G832" s="194" t="s">
        <v>261</v>
      </c>
      <c r="H832" s="425">
        <f>2490+1822</f>
        <v>4312</v>
      </c>
      <c r="I832" s="425"/>
      <c r="J832" s="425">
        <f t="shared" si="118"/>
        <v>4312</v>
      </c>
      <c r="K832" s="334"/>
      <c r="L832" s="544"/>
      <c r="M832" s="544"/>
      <c r="N832" s="544"/>
      <c r="O832" s="334"/>
      <c r="P832" s="169">
        <f t="shared" si="122"/>
        <v>4312</v>
      </c>
      <c r="Q832" s="169">
        <f t="shared" si="121"/>
        <v>0</v>
      </c>
      <c r="R832" s="169">
        <f t="shared" si="119"/>
        <v>4312</v>
      </c>
    </row>
    <row r="833" spans="2:18" x14ac:dyDescent="0.2">
      <c r="B833" s="172">
        <f t="shared" si="123"/>
        <v>334</v>
      </c>
      <c r="C833" s="129"/>
      <c r="D833" s="130"/>
      <c r="E833" s="166"/>
      <c r="F833" s="130" t="s">
        <v>216</v>
      </c>
      <c r="G833" s="194" t="s">
        <v>248</v>
      </c>
      <c r="H833" s="425">
        <f>7552+1937</f>
        <v>9489</v>
      </c>
      <c r="I833" s="425"/>
      <c r="J833" s="425">
        <f t="shared" si="118"/>
        <v>9489</v>
      </c>
      <c r="K833" s="334"/>
      <c r="L833" s="544"/>
      <c r="M833" s="544"/>
      <c r="N833" s="544"/>
      <c r="O833" s="334"/>
      <c r="P833" s="169">
        <f t="shared" si="122"/>
        <v>9489</v>
      </c>
      <c r="Q833" s="169">
        <f t="shared" si="121"/>
        <v>0</v>
      </c>
      <c r="R833" s="169">
        <f t="shared" si="119"/>
        <v>9489</v>
      </c>
    </row>
    <row r="834" spans="2:18" x14ac:dyDescent="0.2">
      <c r="B834" s="172">
        <f t="shared" si="123"/>
        <v>335</v>
      </c>
      <c r="C834" s="129"/>
      <c r="D834" s="130"/>
      <c r="E834" s="166"/>
      <c r="F834" s="130" t="s">
        <v>218</v>
      </c>
      <c r="G834" s="194" t="s">
        <v>794</v>
      </c>
      <c r="H834" s="425">
        <v>5555</v>
      </c>
      <c r="I834" s="425"/>
      <c r="J834" s="425">
        <f t="shared" si="118"/>
        <v>5555</v>
      </c>
      <c r="K834" s="334"/>
      <c r="L834" s="544"/>
      <c r="M834" s="544"/>
      <c r="N834" s="544"/>
      <c r="O834" s="334"/>
      <c r="P834" s="169">
        <f t="shared" si="122"/>
        <v>5555</v>
      </c>
      <c r="Q834" s="169">
        <f t="shared" si="121"/>
        <v>0</v>
      </c>
      <c r="R834" s="169">
        <f t="shared" si="119"/>
        <v>5555</v>
      </c>
    </row>
    <row r="835" spans="2:18" x14ac:dyDescent="0.2">
      <c r="B835" s="172">
        <f t="shared" si="123"/>
        <v>336</v>
      </c>
      <c r="C835" s="129"/>
      <c r="D835" s="130"/>
      <c r="E835" s="166"/>
      <c r="F835" s="282" t="s">
        <v>217</v>
      </c>
      <c r="G835" s="202" t="s">
        <v>372</v>
      </c>
      <c r="H835" s="474">
        <v>3437</v>
      </c>
      <c r="I835" s="474"/>
      <c r="J835" s="474">
        <f t="shared" si="118"/>
        <v>3437</v>
      </c>
      <c r="K835" s="334"/>
      <c r="L835" s="544"/>
      <c r="M835" s="544"/>
      <c r="N835" s="544"/>
      <c r="O835" s="334"/>
      <c r="P835" s="545">
        <f t="shared" si="122"/>
        <v>3437</v>
      </c>
      <c r="Q835" s="545">
        <f t="shared" si="121"/>
        <v>0</v>
      </c>
      <c r="R835" s="545">
        <f t="shared" si="119"/>
        <v>3437</v>
      </c>
    </row>
    <row r="836" spans="2:18" ht="15" x14ac:dyDescent="0.25">
      <c r="B836" s="172">
        <f t="shared" si="123"/>
        <v>337</v>
      </c>
      <c r="C836" s="129"/>
      <c r="D836" s="261" t="s">
        <v>350</v>
      </c>
      <c r="E836" s="149" t="s">
        <v>430</v>
      </c>
      <c r="F836" s="149" t="s">
        <v>375</v>
      </c>
      <c r="G836" s="239"/>
      <c r="H836" s="416">
        <f>H837+H847</f>
        <v>373354</v>
      </c>
      <c r="I836" s="416">
        <f>I837+I847</f>
        <v>54</v>
      </c>
      <c r="J836" s="416">
        <f t="shared" si="118"/>
        <v>373408</v>
      </c>
      <c r="K836" s="335"/>
      <c r="L836" s="421"/>
      <c r="M836" s="421"/>
      <c r="N836" s="421"/>
      <c r="O836" s="335"/>
      <c r="P836" s="328">
        <f t="shared" si="122"/>
        <v>373354</v>
      </c>
      <c r="Q836" s="328">
        <f t="shared" si="121"/>
        <v>54</v>
      </c>
      <c r="R836" s="328">
        <f t="shared" si="119"/>
        <v>373408</v>
      </c>
    </row>
    <row r="837" spans="2:18" ht="14.25" x14ac:dyDescent="0.2">
      <c r="B837" s="172">
        <f t="shared" si="123"/>
        <v>338</v>
      </c>
      <c r="C837" s="75"/>
      <c r="D837" s="528"/>
      <c r="E837" s="535" t="s">
        <v>429</v>
      </c>
      <c r="F837" s="532" t="s">
        <v>689</v>
      </c>
      <c r="G837" s="531"/>
      <c r="H837" s="533">
        <f>H838+H839+H840+H846</f>
        <v>141048</v>
      </c>
      <c r="I837" s="533">
        <f>I838+I839+I840+I846</f>
        <v>0</v>
      </c>
      <c r="J837" s="533">
        <f t="shared" si="118"/>
        <v>141048</v>
      </c>
      <c r="K837" s="335"/>
      <c r="L837" s="530"/>
      <c r="M837" s="530"/>
      <c r="N837" s="530"/>
      <c r="O837" s="335"/>
      <c r="P837" s="534">
        <f t="shared" si="122"/>
        <v>141048</v>
      </c>
      <c r="Q837" s="534">
        <f t="shared" si="121"/>
        <v>0</v>
      </c>
      <c r="R837" s="534">
        <f t="shared" si="119"/>
        <v>141048</v>
      </c>
    </row>
    <row r="838" spans="2:18" x14ac:dyDescent="0.2">
      <c r="B838" s="172">
        <f t="shared" si="123"/>
        <v>339</v>
      </c>
      <c r="C838" s="129"/>
      <c r="D838" s="130"/>
      <c r="E838" s="130"/>
      <c r="F838" s="145" t="s">
        <v>211</v>
      </c>
      <c r="G838" s="202" t="s">
        <v>506</v>
      </c>
      <c r="H838" s="543">
        <f>83784+713</f>
        <v>84497</v>
      </c>
      <c r="I838" s="543"/>
      <c r="J838" s="543">
        <f t="shared" si="118"/>
        <v>84497</v>
      </c>
      <c r="K838" s="334"/>
      <c r="L838" s="430"/>
      <c r="M838" s="430"/>
      <c r="N838" s="430"/>
      <c r="O838" s="334"/>
      <c r="P838" s="167">
        <f t="shared" si="122"/>
        <v>84497</v>
      </c>
      <c r="Q838" s="167">
        <f t="shared" si="121"/>
        <v>0</v>
      </c>
      <c r="R838" s="167">
        <f t="shared" si="119"/>
        <v>84497</v>
      </c>
    </row>
    <row r="839" spans="2:18" x14ac:dyDescent="0.2">
      <c r="B839" s="172">
        <f t="shared" si="123"/>
        <v>340</v>
      </c>
      <c r="C839" s="129"/>
      <c r="D839" s="130"/>
      <c r="E839" s="130"/>
      <c r="F839" s="145" t="s">
        <v>212</v>
      </c>
      <c r="G839" s="202" t="s">
        <v>259</v>
      </c>
      <c r="H839" s="543">
        <f>29278+248</f>
        <v>29526</v>
      </c>
      <c r="I839" s="543"/>
      <c r="J839" s="543">
        <f t="shared" si="118"/>
        <v>29526</v>
      </c>
      <c r="K839" s="334"/>
      <c r="L839" s="430"/>
      <c r="M839" s="430"/>
      <c r="N839" s="430"/>
      <c r="O839" s="334"/>
      <c r="P839" s="167">
        <f t="shared" si="122"/>
        <v>29526</v>
      </c>
      <c r="Q839" s="167">
        <f t="shared" si="121"/>
        <v>0</v>
      </c>
      <c r="R839" s="167">
        <f t="shared" si="119"/>
        <v>29526</v>
      </c>
    </row>
    <row r="840" spans="2:18" x14ac:dyDescent="0.2">
      <c r="B840" s="172">
        <f t="shared" si="123"/>
        <v>341</v>
      </c>
      <c r="C840" s="129"/>
      <c r="D840" s="130"/>
      <c r="E840" s="130"/>
      <c r="F840" s="145" t="s">
        <v>218</v>
      </c>
      <c r="G840" s="202" t="s">
        <v>341</v>
      </c>
      <c r="H840" s="543">
        <f>SUM(H841:H845)</f>
        <v>26865</v>
      </c>
      <c r="I840" s="543">
        <f>SUM(I841:I845)</f>
        <v>0</v>
      </c>
      <c r="J840" s="543">
        <f t="shared" si="118"/>
        <v>26865</v>
      </c>
      <c r="K840" s="334"/>
      <c r="L840" s="430"/>
      <c r="M840" s="430"/>
      <c r="N840" s="430"/>
      <c r="O840" s="334"/>
      <c r="P840" s="167">
        <f t="shared" si="122"/>
        <v>26865</v>
      </c>
      <c r="Q840" s="167">
        <f t="shared" si="121"/>
        <v>0</v>
      </c>
      <c r="R840" s="167">
        <f t="shared" si="119"/>
        <v>26865</v>
      </c>
    </row>
    <row r="841" spans="2:18" x14ac:dyDescent="0.2">
      <c r="B841" s="172">
        <f t="shared" si="123"/>
        <v>342</v>
      </c>
      <c r="C841" s="129"/>
      <c r="D841" s="130"/>
      <c r="E841" s="130"/>
      <c r="F841" s="130" t="s">
        <v>213</v>
      </c>
      <c r="G841" s="194" t="s">
        <v>255</v>
      </c>
      <c r="H841" s="389">
        <v>15</v>
      </c>
      <c r="I841" s="389"/>
      <c r="J841" s="389">
        <f t="shared" si="118"/>
        <v>15</v>
      </c>
      <c r="K841" s="334"/>
      <c r="L841" s="430"/>
      <c r="M841" s="430"/>
      <c r="N841" s="430"/>
      <c r="O841" s="334"/>
      <c r="P841" s="168">
        <f t="shared" si="122"/>
        <v>15</v>
      </c>
      <c r="Q841" s="168">
        <f t="shared" si="121"/>
        <v>0</v>
      </c>
      <c r="R841" s="168">
        <f t="shared" si="119"/>
        <v>15</v>
      </c>
    </row>
    <row r="842" spans="2:18" x14ac:dyDescent="0.2">
      <c r="B842" s="172">
        <f t="shared" si="123"/>
        <v>343</v>
      </c>
      <c r="C842" s="129"/>
      <c r="D842" s="130"/>
      <c r="E842" s="130"/>
      <c r="F842" s="130" t="s">
        <v>199</v>
      </c>
      <c r="G842" s="194" t="s">
        <v>319</v>
      </c>
      <c r="H842" s="389">
        <f>22480-2876</f>
        <v>19604</v>
      </c>
      <c r="I842" s="389"/>
      <c r="J842" s="389">
        <f t="shared" si="118"/>
        <v>19604</v>
      </c>
      <c r="K842" s="334"/>
      <c r="L842" s="430"/>
      <c r="M842" s="430"/>
      <c r="N842" s="430"/>
      <c r="O842" s="334"/>
      <c r="P842" s="168">
        <f t="shared" si="122"/>
        <v>19604</v>
      </c>
      <c r="Q842" s="168">
        <f t="shared" si="121"/>
        <v>0</v>
      </c>
      <c r="R842" s="168">
        <f t="shared" si="119"/>
        <v>19604</v>
      </c>
    </row>
    <row r="843" spans="2:18" x14ac:dyDescent="0.2">
      <c r="B843" s="172">
        <f t="shared" si="123"/>
        <v>344</v>
      </c>
      <c r="C843" s="129"/>
      <c r="D843" s="130"/>
      <c r="E843" s="130"/>
      <c r="F843" s="130" t="s">
        <v>200</v>
      </c>
      <c r="G843" s="194" t="s">
        <v>247</v>
      </c>
      <c r="H843" s="389">
        <f>2130</f>
        <v>2130</v>
      </c>
      <c r="I843" s="389"/>
      <c r="J843" s="389">
        <f t="shared" si="118"/>
        <v>2130</v>
      </c>
      <c r="K843" s="334"/>
      <c r="L843" s="430"/>
      <c r="M843" s="430"/>
      <c r="N843" s="430"/>
      <c r="O843" s="334"/>
      <c r="P843" s="168">
        <f t="shared" si="122"/>
        <v>2130</v>
      </c>
      <c r="Q843" s="168">
        <f t="shared" si="121"/>
        <v>0</v>
      </c>
      <c r="R843" s="168">
        <f t="shared" si="119"/>
        <v>2130</v>
      </c>
    </row>
    <row r="844" spans="2:18" x14ac:dyDescent="0.2">
      <c r="B844" s="172">
        <f t="shared" si="123"/>
        <v>345</v>
      </c>
      <c r="C844" s="129"/>
      <c r="D844" s="130"/>
      <c r="E844" s="130"/>
      <c r="F844" s="130" t="s">
        <v>214</v>
      </c>
      <c r="G844" s="194" t="s">
        <v>261</v>
      </c>
      <c r="H844" s="425">
        <v>555</v>
      </c>
      <c r="I844" s="425"/>
      <c r="J844" s="425">
        <f t="shared" si="118"/>
        <v>555</v>
      </c>
      <c r="K844" s="334"/>
      <c r="L844" s="430"/>
      <c r="M844" s="430"/>
      <c r="N844" s="430"/>
      <c r="O844" s="334"/>
      <c r="P844" s="168">
        <f t="shared" si="122"/>
        <v>555</v>
      </c>
      <c r="Q844" s="168">
        <f t="shared" si="121"/>
        <v>0</v>
      </c>
      <c r="R844" s="168">
        <f t="shared" si="119"/>
        <v>555</v>
      </c>
    </row>
    <row r="845" spans="2:18" x14ac:dyDescent="0.2">
      <c r="B845" s="172">
        <f t="shared" si="123"/>
        <v>346</v>
      </c>
      <c r="C845" s="129"/>
      <c r="D845" s="130"/>
      <c r="E845" s="130"/>
      <c r="F845" s="130" t="s">
        <v>216</v>
      </c>
      <c r="G845" s="194" t="s">
        <v>248</v>
      </c>
      <c r="H845" s="389">
        <v>4561</v>
      </c>
      <c r="I845" s="389"/>
      <c r="J845" s="389">
        <f t="shared" si="118"/>
        <v>4561</v>
      </c>
      <c r="K845" s="334"/>
      <c r="L845" s="430"/>
      <c r="M845" s="430"/>
      <c r="N845" s="430"/>
      <c r="O845" s="334"/>
      <c r="P845" s="168">
        <f t="shared" si="122"/>
        <v>4561</v>
      </c>
      <c r="Q845" s="168">
        <f t="shared" si="121"/>
        <v>0</v>
      </c>
      <c r="R845" s="168">
        <f t="shared" si="119"/>
        <v>4561</v>
      </c>
    </row>
    <row r="846" spans="2:18" x14ac:dyDescent="0.2">
      <c r="B846" s="172">
        <f t="shared" si="123"/>
        <v>347</v>
      </c>
      <c r="C846" s="134"/>
      <c r="D846" s="134"/>
      <c r="E846" s="288"/>
      <c r="F846" s="282" t="s">
        <v>217</v>
      </c>
      <c r="G846" s="202" t="s">
        <v>372</v>
      </c>
      <c r="H846" s="543">
        <f>40+120</f>
        <v>160</v>
      </c>
      <c r="I846" s="543"/>
      <c r="J846" s="543">
        <f t="shared" si="118"/>
        <v>160</v>
      </c>
      <c r="K846" s="334"/>
      <c r="L846" s="544"/>
      <c r="M846" s="544"/>
      <c r="N846" s="544"/>
      <c r="O846" s="334"/>
      <c r="P846" s="545">
        <f t="shared" si="122"/>
        <v>160</v>
      </c>
      <c r="Q846" s="545">
        <f t="shared" si="121"/>
        <v>0</v>
      </c>
      <c r="R846" s="545">
        <f t="shared" si="119"/>
        <v>160</v>
      </c>
    </row>
    <row r="847" spans="2:18" ht="14.25" x14ac:dyDescent="0.2">
      <c r="B847" s="172">
        <f t="shared" si="123"/>
        <v>348</v>
      </c>
      <c r="C847" s="129"/>
      <c r="D847" s="130"/>
      <c r="E847" s="535" t="s">
        <v>687</v>
      </c>
      <c r="F847" s="532" t="s">
        <v>688</v>
      </c>
      <c r="G847" s="618"/>
      <c r="H847" s="536">
        <f>H848+H849+H850+H856</f>
        <v>232306</v>
      </c>
      <c r="I847" s="536">
        <f>I848+I849+I850+I856</f>
        <v>54</v>
      </c>
      <c r="J847" s="536">
        <f t="shared" si="118"/>
        <v>232360</v>
      </c>
      <c r="K847" s="334"/>
      <c r="L847" s="530"/>
      <c r="M847" s="530"/>
      <c r="N847" s="530"/>
      <c r="O847" s="334"/>
      <c r="P847" s="534">
        <f t="shared" si="122"/>
        <v>232306</v>
      </c>
      <c r="Q847" s="534">
        <f t="shared" si="121"/>
        <v>54</v>
      </c>
      <c r="R847" s="534">
        <f t="shared" si="119"/>
        <v>232360</v>
      </c>
    </row>
    <row r="848" spans="2:18" x14ac:dyDescent="0.2">
      <c r="B848" s="172">
        <f t="shared" si="123"/>
        <v>349</v>
      </c>
      <c r="C848" s="129"/>
      <c r="D848" s="130"/>
      <c r="E848" s="166"/>
      <c r="F848" s="145" t="s">
        <v>211</v>
      </c>
      <c r="G848" s="202" t="s">
        <v>506</v>
      </c>
      <c r="H848" s="474">
        <f>124326+4445+1425</f>
        <v>130196</v>
      </c>
      <c r="I848" s="474"/>
      <c r="J848" s="474">
        <f t="shared" si="118"/>
        <v>130196</v>
      </c>
      <c r="K848" s="334"/>
      <c r="L848" s="544"/>
      <c r="M848" s="544"/>
      <c r="N848" s="544"/>
      <c r="O848" s="334"/>
      <c r="P848" s="545">
        <f t="shared" si="122"/>
        <v>130196</v>
      </c>
      <c r="Q848" s="545">
        <f t="shared" si="121"/>
        <v>0</v>
      </c>
      <c r="R848" s="545">
        <f t="shared" si="119"/>
        <v>130196</v>
      </c>
    </row>
    <row r="849" spans="2:18" x14ac:dyDescent="0.2">
      <c r="B849" s="172">
        <f t="shared" si="123"/>
        <v>350</v>
      </c>
      <c r="C849" s="129"/>
      <c r="D849" s="130"/>
      <c r="E849" s="166"/>
      <c r="F849" s="145" t="s">
        <v>212</v>
      </c>
      <c r="G849" s="202" t="s">
        <v>259</v>
      </c>
      <c r="H849" s="474">
        <f>43457+1555+498</f>
        <v>45510</v>
      </c>
      <c r="I849" s="474"/>
      <c r="J849" s="474">
        <f t="shared" si="118"/>
        <v>45510</v>
      </c>
      <c r="K849" s="334"/>
      <c r="L849" s="544"/>
      <c r="M849" s="544"/>
      <c r="N849" s="544"/>
      <c r="O849" s="334"/>
      <c r="P849" s="545">
        <f t="shared" si="122"/>
        <v>45510</v>
      </c>
      <c r="Q849" s="545">
        <f t="shared" si="121"/>
        <v>0</v>
      </c>
      <c r="R849" s="545">
        <f t="shared" si="119"/>
        <v>45510</v>
      </c>
    </row>
    <row r="850" spans="2:18" x14ac:dyDescent="0.2">
      <c r="B850" s="172">
        <f t="shared" si="123"/>
        <v>351</v>
      </c>
      <c r="C850" s="129"/>
      <c r="D850" s="130"/>
      <c r="E850" s="166"/>
      <c r="F850" s="145" t="s">
        <v>218</v>
      </c>
      <c r="G850" s="202" t="s">
        <v>341</v>
      </c>
      <c r="H850" s="543">
        <f>SUM(H851:H855)</f>
        <v>56360</v>
      </c>
      <c r="I850" s="543">
        <f>SUM(I851:I855)</f>
        <v>54</v>
      </c>
      <c r="J850" s="543">
        <f t="shared" si="118"/>
        <v>56414</v>
      </c>
      <c r="K850" s="334"/>
      <c r="L850" s="544"/>
      <c r="M850" s="544"/>
      <c r="N850" s="544"/>
      <c r="O850" s="334"/>
      <c r="P850" s="545">
        <f t="shared" si="122"/>
        <v>56360</v>
      </c>
      <c r="Q850" s="545">
        <f t="shared" si="121"/>
        <v>54</v>
      </c>
      <c r="R850" s="545">
        <f t="shared" si="119"/>
        <v>56414</v>
      </c>
    </row>
    <row r="851" spans="2:18" x14ac:dyDescent="0.2">
      <c r="B851" s="172">
        <f t="shared" si="123"/>
        <v>352</v>
      </c>
      <c r="C851" s="129"/>
      <c r="D851" s="130"/>
      <c r="E851" s="166"/>
      <c r="F851" s="130" t="s">
        <v>213</v>
      </c>
      <c r="G851" s="194" t="s">
        <v>255</v>
      </c>
      <c r="H851" s="425">
        <v>15</v>
      </c>
      <c r="I851" s="425"/>
      <c r="J851" s="425">
        <f t="shared" si="118"/>
        <v>15</v>
      </c>
      <c r="K851" s="334"/>
      <c r="L851" s="544"/>
      <c r="M851" s="544"/>
      <c r="N851" s="544"/>
      <c r="O851" s="334"/>
      <c r="P851" s="169">
        <f t="shared" si="122"/>
        <v>15</v>
      </c>
      <c r="Q851" s="169">
        <f t="shared" si="121"/>
        <v>0</v>
      </c>
      <c r="R851" s="169">
        <f t="shared" si="119"/>
        <v>15</v>
      </c>
    </row>
    <row r="852" spans="2:18" x14ac:dyDescent="0.2">
      <c r="B852" s="172">
        <f t="shared" si="123"/>
        <v>353</v>
      </c>
      <c r="C852" s="129"/>
      <c r="D852" s="130"/>
      <c r="E852" s="166"/>
      <c r="F852" s="130" t="s">
        <v>199</v>
      </c>
      <c r="G852" s="194" t="s">
        <v>319</v>
      </c>
      <c r="H852" s="425">
        <f>29000-4314</f>
        <v>24686</v>
      </c>
      <c r="I852" s="425"/>
      <c r="J852" s="425">
        <f t="shared" si="118"/>
        <v>24686</v>
      </c>
      <c r="K852" s="334"/>
      <c r="L852" s="544"/>
      <c r="M852" s="544"/>
      <c r="N852" s="544"/>
      <c r="O852" s="334"/>
      <c r="P852" s="169">
        <f t="shared" si="122"/>
        <v>24686</v>
      </c>
      <c r="Q852" s="169">
        <f t="shared" si="121"/>
        <v>0</v>
      </c>
      <c r="R852" s="169">
        <f t="shared" si="119"/>
        <v>24686</v>
      </c>
    </row>
    <row r="853" spans="2:18" x14ac:dyDescent="0.2">
      <c r="B853" s="172">
        <f t="shared" si="123"/>
        <v>354</v>
      </c>
      <c r="C853" s="129"/>
      <c r="D853" s="130"/>
      <c r="E853" s="166"/>
      <c r="F853" s="130" t="s">
        <v>200</v>
      </c>
      <c r="G853" s="194" t="s">
        <v>247</v>
      </c>
      <c r="H853" s="425">
        <f>1780+85</f>
        <v>1865</v>
      </c>
      <c r="I853" s="425">
        <v>54</v>
      </c>
      <c r="J853" s="425">
        <f t="shared" si="118"/>
        <v>1919</v>
      </c>
      <c r="K853" s="334"/>
      <c r="L853" s="544"/>
      <c r="M853" s="544"/>
      <c r="N853" s="544"/>
      <c r="O853" s="334"/>
      <c r="P853" s="169">
        <f t="shared" si="122"/>
        <v>1865</v>
      </c>
      <c r="Q853" s="169">
        <f t="shared" si="121"/>
        <v>54</v>
      </c>
      <c r="R853" s="169">
        <f t="shared" si="119"/>
        <v>1919</v>
      </c>
    </row>
    <row r="854" spans="2:18" x14ac:dyDescent="0.2">
      <c r="B854" s="172">
        <f t="shared" si="123"/>
        <v>355</v>
      </c>
      <c r="C854" s="129"/>
      <c r="D854" s="130"/>
      <c r="E854" s="166"/>
      <c r="F854" s="130" t="s">
        <v>214</v>
      </c>
      <c r="G854" s="194" t="s">
        <v>261</v>
      </c>
      <c r="H854" s="425">
        <v>23755</v>
      </c>
      <c r="I854" s="425"/>
      <c r="J854" s="425">
        <f t="shared" ref="J854:J856" si="124">I854+H854</f>
        <v>23755</v>
      </c>
      <c r="K854" s="334"/>
      <c r="L854" s="544"/>
      <c r="M854" s="544"/>
      <c r="N854" s="544"/>
      <c r="O854" s="334"/>
      <c r="P854" s="169">
        <f t="shared" si="122"/>
        <v>23755</v>
      </c>
      <c r="Q854" s="169">
        <f t="shared" si="121"/>
        <v>0</v>
      </c>
      <c r="R854" s="169">
        <f t="shared" ref="R854:R856" si="125">Q854+P854</f>
        <v>23755</v>
      </c>
    </row>
    <row r="855" spans="2:18" x14ac:dyDescent="0.2">
      <c r="B855" s="172">
        <f t="shared" si="123"/>
        <v>356</v>
      </c>
      <c r="C855" s="129"/>
      <c r="D855" s="130"/>
      <c r="E855" s="166"/>
      <c r="F855" s="130" t="s">
        <v>216</v>
      </c>
      <c r="G855" s="194" t="s">
        <v>248</v>
      </c>
      <c r="H855" s="425">
        <v>6039</v>
      </c>
      <c r="I855" s="425"/>
      <c r="J855" s="425">
        <f t="shared" si="124"/>
        <v>6039</v>
      </c>
      <c r="K855" s="334"/>
      <c r="L855" s="544"/>
      <c r="M855" s="544"/>
      <c r="N855" s="544"/>
      <c r="O855" s="334"/>
      <c r="P855" s="169">
        <f t="shared" si="122"/>
        <v>6039</v>
      </c>
      <c r="Q855" s="169">
        <f t="shared" ref="Q855:Q856" si="126">I855+M855</f>
        <v>0</v>
      </c>
      <c r="R855" s="169">
        <f t="shared" si="125"/>
        <v>6039</v>
      </c>
    </row>
    <row r="856" spans="2:18" x14ac:dyDescent="0.2">
      <c r="B856" s="172">
        <f t="shared" si="123"/>
        <v>357</v>
      </c>
      <c r="C856" s="129"/>
      <c r="D856" s="130"/>
      <c r="E856" s="166"/>
      <c r="F856" s="282" t="s">
        <v>217</v>
      </c>
      <c r="G856" s="202" t="s">
        <v>372</v>
      </c>
      <c r="H856" s="474">
        <f>60+180</f>
        <v>240</v>
      </c>
      <c r="I856" s="474"/>
      <c r="J856" s="474">
        <f t="shared" si="124"/>
        <v>240</v>
      </c>
      <c r="K856" s="334"/>
      <c r="L856" s="544"/>
      <c r="M856" s="544"/>
      <c r="N856" s="544"/>
      <c r="O856" s="334"/>
      <c r="P856" s="545">
        <f t="shared" si="122"/>
        <v>240</v>
      </c>
      <c r="Q856" s="545">
        <f t="shared" si="126"/>
        <v>0</v>
      </c>
      <c r="R856" s="545">
        <f t="shared" si="125"/>
        <v>240</v>
      </c>
    </row>
    <row r="857" spans="2:18" x14ac:dyDescent="0.2">
      <c r="B857" s="172">
        <f t="shared" si="123"/>
        <v>358</v>
      </c>
      <c r="C857" s="129"/>
      <c r="D857" s="129"/>
      <c r="E857" s="148"/>
      <c r="F857" s="130"/>
      <c r="G857" s="194"/>
      <c r="H857" s="433"/>
      <c r="I857" s="433"/>
      <c r="J857" s="433"/>
      <c r="K857" s="131"/>
      <c r="L857" s="160"/>
      <c r="M857" s="160"/>
      <c r="N857" s="160"/>
      <c r="O857" s="131"/>
      <c r="P857" s="216"/>
      <c r="Q857" s="216"/>
      <c r="R857" s="216"/>
    </row>
    <row r="858" spans="2:18" ht="15.75" x14ac:dyDescent="0.25">
      <c r="B858" s="172">
        <f t="shared" si="123"/>
        <v>359</v>
      </c>
      <c r="C858" s="22">
        <v>3</v>
      </c>
      <c r="D858" s="126" t="s">
        <v>142</v>
      </c>
      <c r="E858" s="23"/>
      <c r="F858" s="23"/>
      <c r="G858" s="193"/>
      <c r="H858" s="404">
        <f>H859+H866+H874+H882+H890+H898+H905+H913+H921+H930+H931+H932+H933+H935+H946+H957+H958</f>
        <v>1815245</v>
      </c>
      <c r="I858" s="404">
        <f>I859+I866+I874+I882+I890+I898+I905+I913+I921+I930+I931+I932+I933+I935+I946+I957+I958</f>
        <v>4699</v>
      </c>
      <c r="J858" s="404">
        <f t="shared" ref="J858:J921" si="127">I858+H858</f>
        <v>1819944</v>
      </c>
      <c r="K858" s="784"/>
      <c r="L858" s="198">
        <v>0</v>
      </c>
      <c r="M858" s="198">
        <v>0</v>
      </c>
      <c r="N858" s="198"/>
      <c r="O858" s="784"/>
      <c r="P858" s="360">
        <f t="shared" ref="P858:P889" si="128">H858+L858</f>
        <v>1815245</v>
      </c>
      <c r="Q858" s="360">
        <f t="shared" ref="Q858:Q921" si="129">I858+M858</f>
        <v>4699</v>
      </c>
      <c r="R858" s="360">
        <f t="shared" ref="R858:R921" si="130">Q858+P858</f>
        <v>1819944</v>
      </c>
    </row>
    <row r="859" spans="2:18" ht="15" x14ac:dyDescent="0.25">
      <c r="B859" s="172">
        <f t="shared" si="123"/>
        <v>360</v>
      </c>
      <c r="C859" s="144"/>
      <c r="D859" s="153" t="s">
        <v>4</v>
      </c>
      <c r="E859" s="176" t="s">
        <v>428</v>
      </c>
      <c r="F859" s="149" t="s">
        <v>250</v>
      </c>
      <c r="G859" s="239"/>
      <c r="H859" s="416">
        <f>SUM(H860:H862)</f>
        <v>10739</v>
      </c>
      <c r="I859" s="416">
        <f>SUM(I860:I862)</f>
        <v>370</v>
      </c>
      <c r="J859" s="416">
        <f t="shared" si="127"/>
        <v>11109</v>
      </c>
      <c r="K859" s="330"/>
      <c r="L859" s="420"/>
      <c r="M859" s="420"/>
      <c r="N859" s="420"/>
      <c r="O859" s="330"/>
      <c r="P859" s="329">
        <f t="shared" si="128"/>
        <v>10739</v>
      </c>
      <c r="Q859" s="329">
        <f t="shared" si="129"/>
        <v>370</v>
      </c>
      <c r="R859" s="329">
        <f t="shared" si="130"/>
        <v>11109</v>
      </c>
    </row>
    <row r="860" spans="2:18" x14ac:dyDescent="0.2">
      <c r="B860" s="172">
        <f t="shared" si="123"/>
        <v>361</v>
      </c>
      <c r="C860" s="144"/>
      <c r="D860" s="145"/>
      <c r="E860" s="145"/>
      <c r="F860" s="145" t="s">
        <v>211</v>
      </c>
      <c r="G860" s="202" t="s">
        <v>506</v>
      </c>
      <c r="H860" s="543">
        <f>6800+340</f>
        <v>7140</v>
      </c>
      <c r="I860" s="543">
        <v>300</v>
      </c>
      <c r="J860" s="543">
        <f t="shared" si="127"/>
        <v>7440</v>
      </c>
      <c r="K860" s="332"/>
      <c r="L860" s="390"/>
      <c r="M860" s="390"/>
      <c r="N860" s="390"/>
      <c r="O860" s="332"/>
      <c r="P860" s="167">
        <f t="shared" si="128"/>
        <v>7140</v>
      </c>
      <c r="Q860" s="167">
        <f t="shared" si="129"/>
        <v>300</v>
      </c>
      <c r="R860" s="167">
        <f t="shared" si="130"/>
        <v>7440</v>
      </c>
    </row>
    <row r="861" spans="2:18" x14ac:dyDescent="0.2">
      <c r="B861" s="172">
        <f t="shared" si="123"/>
        <v>362</v>
      </c>
      <c r="C861" s="144"/>
      <c r="D861" s="145"/>
      <c r="E861" s="145"/>
      <c r="F861" s="145" t="s">
        <v>212</v>
      </c>
      <c r="G861" s="202" t="s">
        <v>259</v>
      </c>
      <c r="H861" s="543">
        <f>2380+119</f>
        <v>2499</v>
      </c>
      <c r="I861" s="543">
        <v>70</v>
      </c>
      <c r="J861" s="543">
        <f t="shared" si="127"/>
        <v>2569</v>
      </c>
      <c r="K861" s="332"/>
      <c r="L861" s="390"/>
      <c r="M861" s="390"/>
      <c r="N861" s="390"/>
      <c r="O861" s="332"/>
      <c r="P861" s="167">
        <f t="shared" si="128"/>
        <v>2499</v>
      </c>
      <c r="Q861" s="167">
        <f t="shared" si="129"/>
        <v>70</v>
      </c>
      <c r="R861" s="167">
        <f t="shared" si="130"/>
        <v>2569</v>
      </c>
    </row>
    <row r="862" spans="2:18" x14ac:dyDescent="0.2">
      <c r="B862" s="172">
        <f t="shared" si="123"/>
        <v>363</v>
      </c>
      <c r="C862" s="144"/>
      <c r="D862" s="145"/>
      <c r="E862" s="145"/>
      <c r="F862" s="145" t="s">
        <v>218</v>
      </c>
      <c r="G862" s="202" t="s">
        <v>341</v>
      </c>
      <c r="H862" s="543">
        <f>SUM(H863:H865)</f>
        <v>1100</v>
      </c>
      <c r="I862" s="543">
        <f>SUM(I863:I865)</f>
        <v>0</v>
      </c>
      <c r="J862" s="543">
        <f t="shared" si="127"/>
        <v>1100</v>
      </c>
      <c r="K862" s="332"/>
      <c r="L862" s="390"/>
      <c r="M862" s="390"/>
      <c r="N862" s="390"/>
      <c r="O862" s="332"/>
      <c r="P862" s="167">
        <f t="shared" si="128"/>
        <v>1100</v>
      </c>
      <c r="Q862" s="167">
        <f t="shared" si="129"/>
        <v>0</v>
      </c>
      <c r="R862" s="167">
        <f t="shared" si="130"/>
        <v>1100</v>
      </c>
    </row>
    <row r="863" spans="2:18" x14ac:dyDescent="0.2">
      <c r="B863" s="172">
        <f t="shared" si="123"/>
        <v>364</v>
      </c>
      <c r="C863" s="144"/>
      <c r="D863" s="145"/>
      <c r="E863" s="145"/>
      <c r="F863" s="130" t="s">
        <v>199</v>
      </c>
      <c r="G863" s="194" t="s">
        <v>246</v>
      </c>
      <c r="H863" s="389">
        <v>550</v>
      </c>
      <c r="I863" s="389"/>
      <c r="J863" s="389">
        <f t="shared" si="127"/>
        <v>550</v>
      </c>
      <c r="K863" s="332"/>
      <c r="L863" s="390"/>
      <c r="M863" s="390"/>
      <c r="N863" s="390"/>
      <c r="O863" s="332"/>
      <c r="P863" s="168">
        <f t="shared" si="128"/>
        <v>550</v>
      </c>
      <c r="Q863" s="168">
        <f t="shared" si="129"/>
        <v>0</v>
      </c>
      <c r="R863" s="168">
        <f t="shared" si="130"/>
        <v>550</v>
      </c>
    </row>
    <row r="864" spans="2:18" x14ac:dyDescent="0.2">
      <c r="B864" s="172">
        <f t="shared" si="123"/>
        <v>365</v>
      </c>
      <c r="C864" s="144"/>
      <c r="D864" s="145"/>
      <c r="E864" s="145"/>
      <c r="F864" s="130" t="s">
        <v>200</v>
      </c>
      <c r="G864" s="194" t="s">
        <v>247</v>
      </c>
      <c r="H864" s="389">
        <v>400</v>
      </c>
      <c r="I864" s="389"/>
      <c r="J864" s="389">
        <f t="shared" si="127"/>
        <v>400</v>
      </c>
      <c r="K864" s="332"/>
      <c r="L864" s="390"/>
      <c r="M864" s="390"/>
      <c r="N864" s="390"/>
      <c r="O864" s="332"/>
      <c r="P864" s="168">
        <f t="shared" si="128"/>
        <v>400</v>
      </c>
      <c r="Q864" s="168">
        <f t="shared" si="129"/>
        <v>0</v>
      </c>
      <c r="R864" s="168">
        <f t="shared" si="130"/>
        <v>400</v>
      </c>
    </row>
    <row r="865" spans="2:18" x14ac:dyDescent="0.2">
      <c r="B865" s="172">
        <f t="shared" si="123"/>
        <v>366</v>
      </c>
      <c r="C865" s="144"/>
      <c r="D865" s="145"/>
      <c r="E865" s="145"/>
      <c r="F865" s="130" t="s">
        <v>216</v>
      </c>
      <c r="G865" s="194" t="s">
        <v>248</v>
      </c>
      <c r="H865" s="389">
        <v>150</v>
      </c>
      <c r="I865" s="389"/>
      <c r="J865" s="389">
        <f t="shared" si="127"/>
        <v>150</v>
      </c>
      <c r="K865" s="332"/>
      <c r="L865" s="390"/>
      <c r="M865" s="390"/>
      <c r="N865" s="390"/>
      <c r="O865" s="332"/>
      <c r="P865" s="168">
        <f t="shared" si="128"/>
        <v>150</v>
      </c>
      <c r="Q865" s="168">
        <f t="shared" si="129"/>
        <v>0</v>
      </c>
      <c r="R865" s="168">
        <f t="shared" si="130"/>
        <v>150</v>
      </c>
    </row>
    <row r="866" spans="2:18" ht="15" x14ac:dyDescent="0.25">
      <c r="B866" s="172">
        <f t="shared" si="123"/>
        <v>367</v>
      </c>
      <c r="C866" s="129"/>
      <c r="D866" s="262">
        <v>2</v>
      </c>
      <c r="E866" s="176" t="s">
        <v>428</v>
      </c>
      <c r="F866" s="149" t="s">
        <v>384</v>
      </c>
      <c r="G866" s="239"/>
      <c r="H866" s="416">
        <f>H867+H868+H869+H873</f>
        <v>95943</v>
      </c>
      <c r="I866" s="416">
        <f>I867+I868+I869+I873</f>
        <v>0</v>
      </c>
      <c r="J866" s="416">
        <f t="shared" si="127"/>
        <v>95943</v>
      </c>
      <c r="K866" s="335"/>
      <c r="L866" s="426"/>
      <c r="M866" s="426"/>
      <c r="N866" s="426"/>
      <c r="O866" s="335"/>
      <c r="P866" s="336">
        <f t="shared" si="128"/>
        <v>95943</v>
      </c>
      <c r="Q866" s="336">
        <f t="shared" si="129"/>
        <v>0</v>
      </c>
      <c r="R866" s="336">
        <f t="shared" si="130"/>
        <v>95943</v>
      </c>
    </row>
    <row r="867" spans="2:18" x14ac:dyDescent="0.2">
      <c r="B867" s="172">
        <f t="shared" si="123"/>
        <v>368</v>
      </c>
      <c r="C867" s="129"/>
      <c r="D867" s="129"/>
      <c r="E867" s="133"/>
      <c r="F867" s="145" t="s">
        <v>211</v>
      </c>
      <c r="G867" s="202" t="s">
        <v>506</v>
      </c>
      <c r="H867" s="543">
        <f>57000+2850+2382</f>
        <v>62232</v>
      </c>
      <c r="I867" s="543"/>
      <c r="J867" s="543">
        <f t="shared" si="127"/>
        <v>62232</v>
      </c>
      <c r="K867" s="334"/>
      <c r="L867" s="544"/>
      <c r="M867" s="544"/>
      <c r="N867" s="544"/>
      <c r="O867" s="334"/>
      <c r="P867" s="545">
        <f t="shared" si="128"/>
        <v>62232</v>
      </c>
      <c r="Q867" s="545">
        <f t="shared" si="129"/>
        <v>0</v>
      </c>
      <c r="R867" s="545">
        <f t="shared" si="130"/>
        <v>62232</v>
      </c>
    </row>
    <row r="868" spans="2:18" x14ac:dyDescent="0.2">
      <c r="B868" s="172">
        <f t="shared" si="123"/>
        <v>369</v>
      </c>
      <c r="C868" s="129"/>
      <c r="D868" s="129"/>
      <c r="E868" s="133"/>
      <c r="F868" s="145" t="s">
        <v>212</v>
      </c>
      <c r="G868" s="202" t="s">
        <v>259</v>
      </c>
      <c r="H868" s="543">
        <f>19930+997+834</f>
        <v>21761</v>
      </c>
      <c r="I868" s="543"/>
      <c r="J868" s="543">
        <f t="shared" si="127"/>
        <v>21761</v>
      </c>
      <c r="K868" s="334"/>
      <c r="L868" s="544"/>
      <c r="M868" s="544"/>
      <c r="N868" s="544"/>
      <c r="O868" s="334"/>
      <c r="P868" s="545">
        <f t="shared" si="128"/>
        <v>21761</v>
      </c>
      <c r="Q868" s="545">
        <f t="shared" si="129"/>
        <v>0</v>
      </c>
      <c r="R868" s="545">
        <f t="shared" si="130"/>
        <v>21761</v>
      </c>
    </row>
    <row r="869" spans="2:18" x14ac:dyDescent="0.2">
      <c r="B869" s="172">
        <f t="shared" si="123"/>
        <v>370</v>
      </c>
      <c r="C869" s="129"/>
      <c r="D869" s="129"/>
      <c r="E869" s="133"/>
      <c r="F869" s="145" t="s">
        <v>218</v>
      </c>
      <c r="G869" s="202" t="s">
        <v>341</v>
      </c>
      <c r="H869" s="543">
        <f>SUM(H870:H872)</f>
        <v>10300</v>
      </c>
      <c r="I869" s="543">
        <f>SUM(I870:I872)</f>
        <v>0</v>
      </c>
      <c r="J869" s="543">
        <f t="shared" si="127"/>
        <v>10300</v>
      </c>
      <c r="K869" s="334"/>
      <c r="L869" s="544"/>
      <c r="M869" s="544"/>
      <c r="N869" s="544"/>
      <c r="O869" s="334"/>
      <c r="P869" s="545">
        <f t="shared" si="128"/>
        <v>10300</v>
      </c>
      <c r="Q869" s="545">
        <f t="shared" si="129"/>
        <v>0</v>
      </c>
      <c r="R869" s="545">
        <f t="shared" si="130"/>
        <v>10300</v>
      </c>
    </row>
    <row r="870" spans="2:18" x14ac:dyDescent="0.2">
      <c r="B870" s="172">
        <f t="shared" si="123"/>
        <v>371</v>
      </c>
      <c r="C870" s="129"/>
      <c r="D870" s="129"/>
      <c r="E870" s="133"/>
      <c r="F870" s="130" t="s">
        <v>199</v>
      </c>
      <c r="G870" s="194" t="s">
        <v>319</v>
      </c>
      <c r="H870" s="389">
        <v>3560</v>
      </c>
      <c r="I870" s="389"/>
      <c r="J870" s="389">
        <f t="shared" si="127"/>
        <v>3560</v>
      </c>
      <c r="K870" s="334"/>
      <c r="L870" s="544"/>
      <c r="M870" s="544"/>
      <c r="N870" s="544"/>
      <c r="O870" s="334"/>
      <c r="P870" s="169">
        <f t="shared" si="128"/>
        <v>3560</v>
      </c>
      <c r="Q870" s="169">
        <f t="shared" si="129"/>
        <v>0</v>
      </c>
      <c r="R870" s="169">
        <f t="shared" si="130"/>
        <v>3560</v>
      </c>
    </row>
    <row r="871" spans="2:18" x14ac:dyDescent="0.2">
      <c r="B871" s="172">
        <f t="shared" si="123"/>
        <v>372</v>
      </c>
      <c r="C871" s="129"/>
      <c r="D871" s="129"/>
      <c r="E871" s="133"/>
      <c r="F871" s="130" t="s">
        <v>200</v>
      </c>
      <c r="G871" s="194" t="s">
        <v>247</v>
      </c>
      <c r="H871" s="389">
        <v>3900</v>
      </c>
      <c r="I871" s="389"/>
      <c r="J871" s="389">
        <f t="shared" si="127"/>
        <v>3900</v>
      </c>
      <c r="K871" s="334"/>
      <c r="L871" s="544"/>
      <c r="M871" s="544"/>
      <c r="N871" s="544"/>
      <c r="O871" s="334"/>
      <c r="P871" s="169">
        <f t="shared" si="128"/>
        <v>3900</v>
      </c>
      <c r="Q871" s="169">
        <f t="shared" si="129"/>
        <v>0</v>
      </c>
      <c r="R871" s="169">
        <f t="shared" si="130"/>
        <v>3900</v>
      </c>
    </row>
    <row r="872" spans="2:18" x14ac:dyDescent="0.2">
      <c r="B872" s="172">
        <f t="shared" si="123"/>
        <v>373</v>
      </c>
      <c r="C872" s="129"/>
      <c r="D872" s="129"/>
      <c r="E872" s="133"/>
      <c r="F872" s="130" t="s">
        <v>216</v>
      </c>
      <c r="G872" s="194" t="s">
        <v>248</v>
      </c>
      <c r="H872" s="389">
        <v>2840</v>
      </c>
      <c r="I872" s="389"/>
      <c r="J872" s="389">
        <f t="shared" si="127"/>
        <v>2840</v>
      </c>
      <c r="K872" s="334"/>
      <c r="L872" s="544"/>
      <c r="M872" s="544"/>
      <c r="N872" s="544"/>
      <c r="O872" s="334"/>
      <c r="P872" s="169">
        <f t="shared" si="128"/>
        <v>2840</v>
      </c>
      <c r="Q872" s="169">
        <f t="shared" si="129"/>
        <v>0</v>
      </c>
      <c r="R872" s="169">
        <f t="shared" si="130"/>
        <v>2840</v>
      </c>
    </row>
    <row r="873" spans="2:18" x14ac:dyDescent="0.2">
      <c r="B873" s="172">
        <f t="shared" si="123"/>
        <v>374</v>
      </c>
      <c r="C873" s="129"/>
      <c r="D873" s="129"/>
      <c r="E873" s="133"/>
      <c r="F873" s="145" t="s">
        <v>217</v>
      </c>
      <c r="G873" s="202" t="s">
        <v>505</v>
      </c>
      <c r="H873" s="543">
        <v>1650</v>
      </c>
      <c r="I873" s="543"/>
      <c r="J873" s="543">
        <f t="shared" si="127"/>
        <v>1650</v>
      </c>
      <c r="K873" s="334"/>
      <c r="L873" s="544"/>
      <c r="M873" s="544"/>
      <c r="N873" s="544"/>
      <c r="O873" s="334"/>
      <c r="P873" s="545">
        <f t="shared" si="128"/>
        <v>1650</v>
      </c>
      <c r="Q873" s="545">
        <f t="shared" si="129"/>
        <v>0</v>
      </c>
      <c r="R873" s="545">
        <f t="shared" si="130"/>
        <v>1650</v>
      </c>
    </row>
    <row r="874" spans="2:18" ht="15" x14ac:dyDescent="0.25">
      <c r="B874" s="172">
        <f t="shared" si="123"/>
        <v>375</v>
      </c>
      <c r="C874" s="129"/>
      <c r="D874" s="262">
        <v>3</v>
      </c>
      <c r="E874" s="176" t="s">
        <v>428</v>
      </c>
      <c r="F874" s="149" t="s">
        <v>386</v>
      </c>
      <c r="G874" s="239"/>
      <c r="H874" s="416">
        <f>H875+H876+H877+H881</f>
        <v>145431</v>
      </c>
      <c r="I874" s="416">
        <f>I875+I876+I877+I881</f>
        <v>0</v>
      </c>
      <c r="J874" s="416">
        <f t="shared" si="127"/>
        <v>145431</v>
      </c>
      <c r="K874" s="335"/>
      <c r="L874" s="426"/>
      <c r="M874" s="426"/>
      <c r="N874" s="426"/>
      <c r="O874" s="335"/>
      <c r="P874" s="336">
        <f t="shared" si="128"/>
        <v>145431</v>
      </c>
      <c r="Q874" s="336">
        <f t="shared" si="129"/>
        <v>0</v>
      </c>
      <c r="R874" s="336">
        <f t="shared" si="130"/>
        <v>145431</v>
      </c>
    </row>
    <row r="875" spans="2:18" x14ac:dyDescent="0.2">
      <c r="B875" s="172">
        <f t="shared" si="123"/>
        <v>376</v>
      </c>
      <c r="C875" s="129"/>
      <c r="D875" s="129"/>
      <c r="E875" s="133"/>
      <c r="F875" s="145" t="s">
        <v>211</v>
      </c>
      <c r="G875" s="202" t="s">
        <v>506</v>
      </c>
      <c r="H875" s="543">
        <f>94600+4730</f>
        <v>99330</v>
      </c>
      <c r="I875" s="543"/>
      <c r="J875" s="543">
        <f t="shared" si="127"/>
        <v>99330</v>
      </c>
      <c r="K875" s="334"/>
      <c r="L875" s="544"/>
      <c r="M875" s="544"/>
      <c r="N875" s="544"/>
      <c r="O875" s="334"/>
      <c r="P875" s="545">
        <f t="shared" si="128"/>
        <v>99330</v>
      </c>
      <c r="Q875" s="545">
        <f t="shared" si="129"/>
        <v>0</v>
      </c>
      <c r="R875" s="545">
        <f t="shared" si="130"/>
        <v>99330</v>
      </c>
    </row>
    <row r="876" spans="2:18" x14ac:dyDescent="0.2">
      <c r="B876" s="172">
        <f t="shared" si="123"/>
        <v>377</v>
      </c>
      <c r="C876" s="129"/>
      <c r="D876" s="129"/>
      <c r="E876" s="133"/>
      <c r="F876" s="145" t="s">
        <v>212</v>
      </c>
      <c r="G876" s="202" t="s">
        <v>259</v>
      </c>
      <c r="H876" s="543">
        <f>33310+1666</f>
        <v>34976</v>
      </c>
      <c r="I876" s="543"/>
      <c r="J876" s="543">
        <f t="shared" si="127"/>
        <v>34976</v>
      </c>
      <c r="K876" s="334"/>
      <c r="L876" s="544"/>
      <c r="M876" s="544"/>
      <c r="N876" s="544"/>
      <c r="O876" s="334"/>
      <c r="P876" s="545">
        <f t="shared" si="128"/>
        <v>34976</v>
      </c>
      <c r="Q876" s="545">
        <f t="shared" si="129"/>
        <v>0</v>
      </c>
      <c r="R876" s="545">
        <f t="shared" si="130"/>
        <v>34976</v>
      </c>
    </row>
    <row r="877" spans="2:18" x14ac:dyDescent="0.2">
      <c r="B877" s="172">
        <f t="shared" si="123"/>
        <v>378</v>
      </c>
      <c r="C877" s="129"/>
      <c r="D877" s="129"/>
      <c r="E877" s="133"/>
      <c r="F877" s="145" t="s">
        <v>218</v>
      </c>
      <c r="G877" s="202" t="s">
        <v>341</v>
      </c>
      <c r="H877" s="543">
        <f>SUM(H878:H880)</f>
        <v>10325</v>
      </c>
      <c r="I877" s="543">
        <f>SUM(I878:I880)</f>
        <v>0</v>
      </c>
      <c r="J877" s="543">
        <f t="shared" si="127"/>
        <v>10325</v>
      </c>
      <c r="K877" s="334"/>
      <c r="L877" s="544"/>
      <c r="M877" s="544"/>
      <c r="N877" s="544"/>
      <c r="O877" s="334"/>
      <c r="P877" s="545">
        <f t="shared" si="128"/>
        <v>10325</v>
      </c>
      <c r="Q877" s="545">
        <f t="shared" si="129"/>
        <v>0</v>
      </c>
      <c r="R877" s="545">
        <f t="shared" si="130"/>
        <v>10325</v>
      </c>
    </row>
    <row r="878" spans="2:18" x14ac:dyDescent="0.2">
      <c r="B878" s="172">
        <f t="shared" si="123"/>
        <v>379</v>
      </c>
      <c r="C878" s="129"/>
      <c r="D878" s="129"/>
      <c r="E878" s="133"/>
      <c r="F878" s="130" t="s">
        <v>199</v>
      </c>
      <c r="G878" s="194" t="s">
        <v>319</v>
      </c>
      <c r="H878" s="389">
        <v>6500</v>
      </c>
      <c r="I878" s="389"/>
      <c r="J878" s="389">
        <f t="shared" si="127"/>
        <v>6500</v>
      </c>
      <c r="K878" s="334"/>
      <c r="L878" s="544"/>
      <c r="M878" s="544"/>
      <c r="N878" s="544"/>
      <c r="O878" s="334"/>
      <c r="P878" s="169">
        <f t="shared" si="128"/>
        <v>6500</v>
      </c>
      <c r="Q878" s="169">
        <f t="shared" si="129"/>
        <v>0</v>
      </c>
      <c r="R878" s="169">
        <f t="shared" si="130"/>
        <v>6500</v>
      </c>
    </row>
    <row r="879" spans="2:18" x14ac:dyDescent="0.2">
      <c r="B879" s="172">
        <f t="shared" si="123"/>
        <v>380</v>
      </c>
      <c r="C879" s="129"/>
      <c r="D879" s="129"/>
      <c r="E879" s="133"/>
      <c r="F879" s="130" t="s">
        <v>200</v>
      </c>
      <c r="G879" s="194" t="s">
        <v>247</v>
      </c>
      <c r="H879" s="389">
        <v>400</v>
      </c>
      <c r="I879" s="389"/>
      <c r="J879" s="389">
        <f t="shared" si="127"/>
        <v>400</v>
      </c>
      <c r="K879" s="334"/>
      <c r="L879" s="544"/>
      <c r="M879" s="544"/>
      <c r="N879" s="544"/>
      <c r="O879" s="334"/>
      <c r="P879" s="169">
        <f t="shared" si="128"/>
        <v>400</v>
      </c>
      <c r="Q879" s="169">
        <f t="shared" si="129"/>
        <v>0</v>
      </c>
      <c r="R879" s="169">
        <f t="shared" si="130"/>
        <v>400</v>
      </c>
    </row>
    <row r="880" spans="2:18" x14ac:dyDescent="0.2">
      <c r="B880" s="172">
        <f t="shared" si="123"/>
        <v>381</v>
      </c>
      <c r="C880" s="129"/>
      <c r="D880" s="129"/>
      <c r="E880" s="133"/>
      <c r="F880" s="130" t="s">
        <v>216</v>
      </c>
      <c r="G880" s="194" t="s">
        <v>248</v>
      </c>
      <c r="H880" s="389">
        <v>3425</v>
      </c>
      <c r="I880" s="389"/>
      <c r="J880" s="389">
        <f t="shared" si="127"/>
        <v>3425</v>
      </c>
      <c r="K880" s="334"/>
      <c r="L880" s="544"/>
      <c r="M880" s="544"/>
      <c r="N880" s="544"/>
      <c r="O880" s="334"/>
      <c r="P880" s="169">
        <f t="shared" si="128"/>
        <v>3425</v>
      </c>
      <c r="Q880" s="169">
        <f t="shared" si="129"/>
        <v>0</v>
      </c>
      <c r="R880" s="169">
        <f t="shared" si="130"/>
        <v>3425</v>
      </c>
    </row>
    <row r="881" spans="2:18" x14ac:dyDescent="0.2">
      <c r="B881" s="172">
        <f t="shared" si="123"/>
        <v>382</v>
      </c>
      <c r="C881" s="129"/>
      <c r="D881" s="129"/>
      <c r="E881" s="133"/>
      <c r="F881" s="145" t="s">
        <v>217</v>
      </c>
      <c r="G881" s="202" t="s">
        <v>505</v>
      </c>
      <c r="H881" s="543">
        <v>800</v>
      </c>
      <c r="I881" s="543"/>
      <c r="J881" s="543">
        <f t="shared" si="127"/>
        <v>800</v>
      </c>
      <c r="K881" s="334"/>
      <c r="L881" s="544"/>
      <c r="M881" s="544"/>
      <c r="N881" s="544"/>
      <c r="O881" s="334"/>
      <c r="P881" s="545">
        <f t="shared" si="128"/>
        <v>800</v>
      </c>
      <c r="Q881" s="545">
        <f t="shared" si="129"/>
        <v>0</v>
      </c>
      <c r="R881" s="545">
        <f t="shared" si="130"/>
        <v>800</v>
      </c>
    </row>
    <row r="882" spans="2:18" ht="15" x14ac:dyDescent="0.25">
      <c r="B882" s="172">
        <f t="shared" si="123"/>
        <v>383</v>
      </c>
      <c r="C882" s="129"/>
      <c r="D882" s="262">
        <v>4</v>
      </c>
      <c r="E882" s="176" t="s">
        <v>428</v>
      </c>
      <c r="F882" s="265" t="s">
        <v>387</v>
      </c>
      <c r="G882" s="266"/>
      <c r="H882" s="418">
        <f>H883+H884+H889+H885</f>
        <v>94831</v>
      </c>
      <c r="I882" s="418">
        <f>I883+I884+I889+I885</f>
        <v>0</v>
      </c>
      <c r="J882" s="418">
        <f t="shared" si="127"/>
        <v>94831</v>
      </c>
      <c r="K882" s="335"/>
      <c r="L882" s="438"/>
      <c r="M882" s="438"/>
      <c r="N882" s="438"/>
      <c r="O882" s="335"/>
      <c r="P882" s="337">
        <f t="shared" si="128"/>
        <v>94831</v>
      </c>
      <c r="Q882" s="337">
        <f t="shared" si="129"/>
        <v>0</v>
      </c>
      <c r="R882" s="337">
        <f t="shared" si="130"/>
        <v>94831</v>
      </c>
    </row>
    <row r="883" spans="2:18" x14ac:dyDescent="0.2">
      <c r="B883" s="172">
        <f t="shared" si="123"/>
        <v>384</v>
      </c>
      <c r="C883" s="129"/>
      <c r="D883" s="129"/>
      <c r="E883" s="133"/>
      <c r="F883" s="145" t="s">
        <v>211</v>
      </c>
      <c r="G883" s="202" t="s">
        <v>506</v>
      </c>
      <c r="H883" s="543">
        <f>61330+3067</f>
        <v>64397</v>
      </c>
      <c r="I883" s="543"/>
      <c r="J883" s="543">
        <f t="shared" si="127"/>
        <v>64397</v>
      </c>
      <c r="K883" s="334"/>
      <c r="L883" s="544"/>
      <c r="M883" s="544"/>
      <c r="N883" s="544"/>
      <c r="O883" s="334"/>
      <c r="P883" s="545">
        <f t="shared" si="128"/>
        <v>64397</v>
      </c>
      <c r="Q883" s="545">
        <f t="shared" si="129"/>
        <v>0</v>
      </c>
      <c r="R883" s="545">
        <f t="shared" si="130"/>
        <v>64397</v>
      </c>
    </row>
    <row r="884" spans="2:18" x14ac:dyDescent="0.2">
      <c r="B884" s="172">
        <f t="shared" si="123"/>
        <v>385</v>
      </c>
      <c r="C884" s="129"/>
      <c r="D884" s="129"/>
      <c r="E884" s="133"/>
      <c r="F884" s="145" t="s">
        <v>212</v>
      </c>
      <c r="G884" s="202" t="s">
        <v>259</v>
      </c>
      <c r="H884" s="543">
        <f>21585+1079</f>
        <v>22664</v>
      </c>
      <c r="I884" s="543"/>
      <c r="J884" s="543">
        <f t="shared" si="127"/>
        <v>22664</v>
      </c>
      <c r="K884" s="334"/>
      <c r="L884" s="544"/>
      <c r="M884" s="544"/>
      <c r="N884" s="544"/>
      <c r="O884" s="334"/>
      <c r="P884" s="545">
        <f t="shared" si="128"/>
        <v>22664</v>
      </c>
      <c r="Q884" s="545">
        <f t="shared" si="129"/>
        <v>0</v>
      </c>
      <c r="R884" s="545">
        <f t="shared" si="130"/>
        <v>22664</v>
      </c>
    </row>
    <row r="885" spans="2:18" x14ac:dyDescent="0.2">
      <c r="B885" s="172">
        <f t="shared" si="123"/>
        <v>386</v>
      </c>
      <c r="C885" s="129"/>
      <c r="D885" s="129"/>
      <c r="E885" s="133"/>
      <c r="F885" s="145" t="s">
        <v>218</v>
      </c>
      <c r="G885" s="202" t="s">
        <v>341</v>
      </c>
      <c r="H885" s="543">
        <f>SUM(H886:H888)</f>
        <v>5500</v>
      </c>
      <c r="I885" s="543">
        <f>SUM(I886:I888)</f>
        <v>0</v>
      </c>
      <c r="J885" s="543">
        <f t="shared" si="127"/>
        <v>5500</v>
      </c>
      <c r="K885" s="334"/>
      <c r="L885" s="544"/>
      <c r="M885" s="544"/>
      <c r="N885" s="544"/>
      <c r="O885" s="334"/>
      <c r="P885" s="545">
        <f t="shared" si="128"/>
        <v>5500</v>
      </c>
      <c r="Q885" s="545">
        <f t="shared" si="129"/>
        <v>0</v>
      </c>
      <c r="R885" s="545">
        <f t="shared" si="130"/>
        <v>5500</v>
      </c>
    </row>
    <row r="886" spans="2:18" x14ac:dyDescent="0.2">
      <c r="B886" s="172">
        <f t="shared" si="123"/>
        <v>387</v>
      </c>
      <c r="C886" s="129"/>
      <c r="D886" s="129"/>
      <c r="E886" s="133"/>
      <c r="F886" s="130" t="s">
        <v>199</v>
      </c>
      <c r="G886" s="194" t="s">
        <v>319</v>
      </c>
      <c r="H886" s="389">
        <v>1000</v>
      </c>
      <c r="I886" s="389"/>
      <c r="J886" s="389">
        <f t="shared" si="127"/>
        <v>1000</v>
      </c>
      <c r="K886" s="334"/>
      <c r="L886" s="544"/>
      <c r="M886" s="544"/>
      <c r="N886" s="544"/>
      <c r="O886" s="334"/>
      <c r="P886" s="169">
        <f t="shared" si="128"/>
        <v>1000</v>
      </c>
      <c r="Q886" s="169">
        <f t="shared" si="129"/>
        <v>0</v>
      </c>
      <c r="R886" s="169">
        <f t="shared" si="130"/>
        <v>1000</v>
      </c>
    </row>
    <row r="887" spans="2:18" x14ac:dyDescent="0.2">
      <c r="B887" s="172">
        <f t="shared" si="123"/>
        <v>388</v>
      </c>
      <c r="C887" s="129"/>
      <c r="D887" s="129"/>
      <c r="E887" s="133"/>
      <c r="F887" s="130" t="s">
        <v>200</v>
      </c>
      <c r="G887" s="194" t="s">
        <v>247</v>
      </c>
      <c r="H887" s="389">
        <v>2000</v>
      </c>
      <c r="I887" s="389"/>
      <c r="J887" s="389">
        <f t="shared" si="127"/>
        <v>2000</v>
      </c>
      <c r="K887" s="334"/>
      <c r="L887" s="544"/>
      <c r="M887" s="544"/>
      <c r="N887" s="544"/>
      <c r="O887" s="334"/>
      <c r="P887" s="169">
        <f t="shared" si="128"/>
        <v>2000</v>
      </c>
      <c r="Q887" s="169">
        <f t="shared" si="129"/>
        <v>0</v>
      </c>
      <c r="R887" s="169">
        <f t="shared" si="130"/>
        <v>2000</v>
      </c>
    </row>
    <row r="888" spans="2:18" x14ac:dyDescent="0.2">
      <c r="B888" s="172">
        <f t="shared" si="123"/>
        <v>389</v>
      </c>
      <c r="C888" s="129"/>
      <c r="D888" s="129"/>
      <c r="E888" s="133"/>
      <c r="F888" s="130" t="s">
        <v>216</v>
      </c>
      <c r="G888" s="194" t="s">
        <v>248</v>
      </c>
      <c r="H888" s="389">
        <v>2500</v>
      </c>
      <c r="I888" s="389"/>
      <c r="J888" s="389">
        <f t="shared" si="127"/>
        <v>2500</v>
      </c>
      <c r="K888" s="334"/>
      <c r="L888" s="544"/>
      <c r="M888" s="544"/>
      <c r="N888" s="544"/>
      <c r="O888" s="334"/>
      <c r="P888" s="169">
        <f t="shared" si="128"/>
        <v>2500</v>
      </c>
      <c r="Q888" s="169">
        <f t="shared" si="129"/>
        <v>0</v>
      </c>
      <c r="R888" s="169">
        <f t="shared" si="130"/>
        <v>2500</v>
      </c>
    </row>
    <row r="889" spans="2:18" x14ac:dyDescent="0.2">
      <c r="B889" s="172">
        <f t="shared" ref="B889:B952" si="131">B888+1</f>
        <v>390</v>
      </c>
      <c r="C889" s="129"/>
      <c r="D889" s="129"/>
      <c r="E889" s="133"/>
      <c r="F889" s="145" t="s">
        <v>217</v>
      </c>
      <c r="G889" s="202" t="s">
        <v>505</v>
      </c>
      <c r="H889" s="543">
        <v>2270</v>
      </c>
      <c r="I889" s="543"/>
      <c r="J889" s="543">
        <f t="shared" si="127"/>
        <v>2270</v>
      </c>
      <c r="K889" s="334"/>
      <c r="L889" s="544"/>
      <c r="M889" s="544"/>
      <c r="N889" s="544"/>
      <c r="O889" s="334"/>
      <c r="P889" s="545">
        <f t="shared" si="128"/>
        <v>2270</v>
      </c>
      <c r="Q889" s="545">
        <f t="shared" si="129"/>
        <v>0</v>
      </c>
      <c r="R889" s="545">
        <f t="shared" si="130"/>
        <v>2270</v>
      </c>
    </row>
    <row r="890" spans="2:18" ht="15" x14ac:dyDescent="0.25">
      <c r="B890" s="172">
        <f t="shared" si="131"/>
        <v>391</v>
      </c>
      <c r="C890" s="129"/>
      <c r="D890" s="262">
        <v>5</v>
      </c>
      <c r="E890" s="176" t="s">
        <v>428</v>
      </c>
      <c r="F890" s="149" t="s">
        <v>388</v>
      </c>
      <c r="G890" s="239"/>
      <c r="H890" s="416">
        <f>H891+H892+H893+H897</f>
        <v>64376</v>
      </c>
      <c r="I890" s="416">
        <f>I891+I892+I893+I897</f>
        <v>0</v>
      </c>
      <c r="J890" s="416">
        <f t="shared" si="127"/>
        <v>64376</v>
      </c>
      <c r="K890" s="335"/>
      <c r="L890" s="426"/>
      <c r="M890" s="426"/>
      <c r="N890" s="426"/>
      <c r="O890" s="335"/>
      <c r="P890" s="336">
        <f t="shared" ref="P890:P921" si="132">H890+L890</f>
        <v>64376</v>
      </c>
      <c r="Q890" s="336">
        <f t="shared" si="129"/>
        <v>0</v>
      </c>
      <c r="R890" s="336">
        <f t="shared" si="130"/>
        <v>64376</v>
      </c>
    </row>
    <row r="891" spans="2:18" x14ac:dyDescent="0.2">
      <c r="B891" s="172">
        <f t="shared" si="131"/>
        <v>392</v>
      </c>
      <c r="C891" s="129"/>
      <c r="D891" s="129"/>
      <c r="E891" s="133"/>
      <c r="F891" s="145" t="s">
        <v>211</v>
      </c>
      <c r="G891" s="202" t="s">
        <v>506</v>
      </c>
      <c r="H891" s="543">
        <f>40530+2027+2382</f>
        <v>44939</v>
      </c>
      <c r="I891" s="543"/>
      <c r="J891" s="543">
        <f t="shared" si="127"/>
        <v>44939</v>
      </c>
      <c r="K891" s="334"/>
      <c r="L891" s="544"/>
      <c r="M891" s="544"/>
      <c r="N891" s="544"/>
      <c r="O891" s="334"/>
      <c r="P891" s="545">
        <f t="shared" si="132"/>
        <v>44939</v>
      </c>
      <c r="Q891" s="545">
        <f t="shared" si="129"/>
        <v>0</v>
      </c>
      <c r="R891" s="545">
        <f t="shared" si="130"/>
        <v>44939</v>
      </c>
    </row>
    <row r="892" spans="2:18" x14ac:dyDescent="0.2">
      <c r="B892" s="172">
        <f t="shared" si="131"/>
        <v>393</v>
      </c>
      <c r="C892" s="129"/>
      <c r="D892" s="129"/>
      <c r="E892" s="133"/>
      <c r="F892" s="145" t="s">
        <v>212</v>
      </c>
      <c r="G892" s="202" t="s">
        <v>259</v>
      </c>
      <c r="H892" s="543">
        <f>12955+648+834</f>
        <v>14437</v>
      </c>
      <c r="I892" s="543"/>
      <c r="J892" s="543">
        <f t="shared" si="127"/>
        <v>14437</v>
      </c>
      <c r="K892" s="334"/>
      <c r="L892" s="544"/>
      <c r="M892" s="544"/>
      <c r="N892" s="544"/>
      <c r="O892" s="334"/>
      <c r="P892" s="545">
        <f t="shared" si="132"/>
        <v>14437</v>
      </c>
      <c r="Q892" s="545">
        <f t="shared" si="129"/>
        <v>0</v>
      </c>
      <c r="R892" s="545">
        <f t="shared" si="130"/>
        <v>14437</v>
      </c>
    </row>
    <row r="893" spans="2:18" x14ac:dyDescent="0.2">
      <c r="B893" s="172">
        <f t="shared" si="131"/>
        <v>394</v>
      </c>
      <c r="C893" s="129"/>
      <c r="D893" s="129"/>
      <c r="E893" s="133"/>
      <c r="F893" s="145" t="s">
        <v>218</v>
      </c>
      <c r="G893" s="202" t="s">
        <v>341</v>
      </c>
      <c r="H893" s="543">
        <f>SUM(H894:H896)</f>
        <v>2000</v>
      </c>
      <c r="I893" s="543">
        <f>SUM(I894:I896)</f>
        <v>0</v>
      </c>
      <c r="J893" s="543">
        <f t="shared" si="127"/>
        <v>2000</v>
      </c>
      <c r="K893" s="334"/>
      <c r="L893" s="544"/>
      <c r="M893" s="544"/>
      <c r="N893" s="544"/>
      <c r="O893" s="334"/>
      <c r="P893" s="545">
        <f t="shared" si="132"/>
        <v>2000</v>
      </c>
      <c r="Q893" s="545">
        <f t="shared" si="129"/>
        <v>0</v>
      </c>
      <c r="R893" s="545">
        <f t="shared" si="130"/>
        <v>2000</v>
      </c>
    </row>
    <row r="894" spans="2:18" x14ac:dyDescent="0.2">
      <c r="B894" s="172">
        <f t="shared" si="131"/>
        <v>395</v>
      </c>
      <c r="C894" s="129"/>
      <c r="D894" s="129"/>
      <c r="E894" s="133"/>
      <c r="F894" s="130" t="s">
        <v>199</v>
      </c>
      <c r="G894" s="194" t="s">
        <v>319</v>
      </c>
      <c r="H894" s="389">
        <v>300</v>
      </c>
      <c r="I894" s="389"/>
      <c r="J894" s="389">
        <f t="shared" si="127"/>
        <v>300</v>
      </c>
      <c r="K894" s="334"/>
      <c r="L894" s="544"/>
      <c r="M894" s="544"/>
      <c r="N894" s="544"/>
      <c r="O894" s="334"/>
      <c r="P894" s="169">
        <f t="shared" si="132"/>
        <v>300</v>
      </c>
      <c r="Q894" s="169">
        <f t="shared" si="129"/>
        <v>0</v>
      </c>
      <c r="R894" s="169">
        <f t="shared" si="130"/>
        <v>300</v>
      </c>
    </row>
    <row r="895" spans="2:18" x14ac:dyDescent="0.2">
      <c r="B895" s="172">
        <f t="shared" si="131"/>
        <v>396</v>
      </c>
      <c r="C895" s="129"/>
      <c r="D895" s="129"/>
      <c r="E895" s="133"/>
      <c r="F895" s="130" t="s">
        <v>200</v>
      </c>
      <c r="G895" s="194" t="s">
        <v>247</v>
      </c>
      <c r="H895" s="389">
        <v>1200</v>
      </c>
      <c r="I895" s="389"/>
      <c r="J895" s="389">
        <f t="shared" si="127"/>
        <v>1200</v>
      </c>
      <c r="K895" s="334"/>
      <c r="L895" s="544"/>
      <c r="M895" s="544"/>
      <c r="N895" s="544"/>
      <c r="O895" s="334"/>
      <c r="P895" s="169">
        <f t="shared" si="132"/>
        <v>1200</v>
      </c>
      <c r="Q895" s="169">
        <f t="shared" si="129"/>
        <v>0</v>
      </c>
      <c r="R895" s="169">
        <f t="shared" si="130"/>
        <v>1200</v>
      </c>
    </row>
    <row r="896" spans="2:18" x14ac:dyDescent="0.2">
      <c r="B896" s="172">
        <f t="shared" si="131"/>
        <v>397</v>
      </c>
      <c r="C896" s="129"/>
      <c r="D896" s="129"/>
      <c r="E896" s="133"/>
      <c r="F896" s="130" t="s">
        <v>216</v>
      </c>
      <c r="G896" s="194" t="s">
        <v>248</v>
      </c>
      <c r="H896" s="389">
        <v>500</v>
      </c>
      <c r="I896" s="389"/>
      <c r="J896" s="389">
        <f t="shared" si="127"/>
        <v>500</v>
      </c>
      <c r="K896" s="334"/>
      <c r="L896" s="544"/>
      <c r="M896" s="544"/>
      <c r="N896" s="544"/>
      <c r="O896" s="334"/>
      <c r="P896" s="169">
        <f t="shared" si="132"/>
        <v>500</v>
      </c>
      <c r="Q896" s="169">
        <f t="shared" si="129"/>
        <v>0</v>
      </c>
      <c r="R896" s="169">
        <f t="shared" si="130"/>
        <v>500</v>
      </c>
    </row>
    <row r="897" spans="2:18" x14ac:dyDescent="0.2">
      <c r="B897" s="172">
        <f t="shared" si="131"/>
        <v>398</v>
      </c>
      <c r="C897" s="129"/>
      <c r="D897" s="129"/>
      <c r="E897" s="133"/>
      <c r="F897" s="145" t="s">
        <v>217</v>
      </c>
      <c r="G897" s="202" t="s">
        <v>505</v>
      </c>
      <c r="H897" s="543">
        <v>3000</v>
      </c>
      <c r="I897" s="543"/>
      <c r="J897" s="543">
        <f t="shared" si="127"/>
        <v>3000</v>
      </c>
      <c r="K897" s="334"/>
      <c r="L897" s="544"/>
      <c r="M897" s="544"/>
      <c r="N897" s="544"/>
      <c r="O897" s="334"/>
      <c r="P897" s="545">
        <f t="shared" si="132"/>
        <v>3000</v>
      </c>
      <c r="Q897" s="545">
        <f t="shared" si="129"/>
        <v>0</v>
      </c>
      <c r="R897" s="545">
        <f t="shared" si="130"/>
        <v>3000</v>
      </c>
    </row>
    <row r="898" spans="2:18" ht="15" x14ac:dyDescent="0.25">
      <c r="B898" s="172">
        <f t="shared" si="131"/>
        <v>399</v>
      </c>
      <c r="C898" s="129"/>
      <c r="D898" s="262">
        <v>6</v>
      </c>
      <c r="E898" s="176" t="s">
        <v>428</v>
      </c>
      <c r="F898" s="149" t="s">
        <v>389</v>
      </c>
      <c r="G898" s="239"/>
      <c r="H898" s="416">
        <f>H899+H900+H901</f>
        <v>46296</v>
      </c>
      <c r="I898" s="416">
        <f>I899+I900+I901</f>
        <v>0</v>
      </c>
      <c r="J898" s="416">
        <f t="shared" si="127"/>
        <v>46296</v>
      </c>
      <c r="K898" s="335"/>
      <c r="L898" s="426"/>
      <c r="M898" s="426"/>
      <c r="N898" s="426"/>
      <c r="O898" s="335"/>
      <c r="P898" s="336">
        <f t="shared" si="132"/>
        <v>46296</v>
      </c>
      <c r="Q898" s="336">
        <f t="shared" si="129"/>
        <v>0</v>
      </c>
      <c r="R898" s="336">
        <f t="shared" si="130"/>
        <v>46296</v>
      </c>
    </row>
    <row r="899" spans="2:18" x14ac:dyDescent="0.2">
      <c r="B899" s="172">
        <f t="shared" si="131"/>
        <v>400</v>
      </c>
      <c r="C899" s="129"/>
      <c r="D899" s="129"/>
      <c r="E899" s="133"/>
      <c r="F899" s="145" t="s">
        <v>211</v>
      </c>
      <c r="G899" s="202" t="s">
        <v>506</v>
      </c>
      <c r="H899" s="543">
        <f>30845+1542</f>
        <v>32387</v>
      </c>
      <c r="I899" s="543"/>
      <c r="J899" s="543">
        <f t="shared" si="127"/>
        <v>32387</v>
      </c>
      <c r="K899" s="334"/>
      <c r="L899" s="544"/>
      <c r="M899" s="544"/>
      <c r="N899" s="544"/>
      <c r="O899" s="334"/>
      <c r="P899" s="545">
        <f t="shared" si="132"/>
        <v>32387</v>
      </c>
      <c r="Q899" s="545">
        <f t="shared" si="129"/>
        <v>0</v>
      </c>
      <c r="R899" s="545">
        <f t="shared" si="130"/>
        <v>32387</v>
      </c>
    </row>
    <row r="900" spans="2:18" x14ac:dyDescent="0.2">
      <c r="B900" s="172">
        <f t="shared" si="131"/>
        <v>401</v>
      </c>
      <c r="C900" s="129"/>
      <c r="D900" s="129"/>
      <c r="E900" s="133"/>
      <c r="F900" s="145" t="s">
        <v>212</v>
      </c>
      <c r="G900" s="202" t="s">
        <v>259</v>
      </c>
      <c r="H900" s="543">
        <f>10780+539</f>
        <v>11319</v>
      </c>
      <c r="I900" s="543"/>
      <c r="J900" s="543">
        <f t="shared" si="127"/>
        <v>11319</v>
      </c>
      <c r="K900" s="334"/>
      <c r="L900" s="544"/>
      <c r="M900" s="544"/>
      <c r="N900" s="544"/>
      <c r="O900" s="334"/>
      <c r="P900" s="545">
        <f t="shared" si="132"/>
        <v>11319</v>
      </c>
      <c r="Q900" s="545">
        <f t="shared" si="129"/>
        <v>0</v>
      </c>
      <c r="R900" s="545">
        <f t="shared" si="130"/>
        <v>11319</v>
      </c>
    </row>
    <row r="901" spans="2:18" x14ac:dyDescent="0.2">
      <c r="B901" s="172">
        <f t="shared" si="131"/>
        <v>402</v>
      </c>
      <c r="C901" s="129"/>
      <c r="D901" s="129"/>
      <c r="E901" s="133"/>
      <c r="F901" s="145" t="s">
        <v>218</v>
      </c>
      <c r="G901" s="202" t="s">
        <v>341</v>
      </c>
      <c r="H901" s="543">
        <f>SUM(H902:H904)</f>
        <v>2590</v>
      </c>
      <c r="I901" s="543">
        <f>SUM(I902:I904)</f>
        <v>0</v>
      </c>
      <c r="J901" s="543">
        <f t="shared" si="127"/>
        <v>2590</v>
      </c>
      <c r="K901" s="334"/>
      <c r="L901" s="544"/>
      <c r="M901" s="544"/>
      <c r="N901" s="544"/>
      <c r="O901" s="334"/>
      <c r="P901" s="545">
        <f t="shared" si="132"/>
        <v>2590</v>
      </c>
      <c r="Q901" s="545">
        <f t="shared" si="129"/>
        <v>0</v>
      </c>
      <c r="R901" s="545">
        <f t="shared" si="130"/>
        <v>2590</v>
      </c>
    </row>
    <row r="902" spans="2:18" x14ac:dyDescent="0.2">
      <c r="B902" s="172">
        <f t="shared" si="131"/>
        <v>403</v>
      </c>
      <c r="C902" s="129"/>
      <c r="D902" s="129"/>
      <c r="E902" s="133"/>
      <c r="F902" s="130" t="s">
        <v>199</v>
      </c>
      <c r="G902" s="194" t="s">
        <v>319</v>
      </c>
      <c r="H902" s="389">
        <v>1700</v>
      </c>
      <c r="I902" s="389">
        <v>-500</v>
      </c>
      <c r="J902" s="389">
        <f t="shared" si="127"/>
        <v>1200</v>
      </c>
      <c r="K902" s="334"/>
      <c r="L902" s="544"/>
      <c r="M902" s="544"/>
      <c r="N902" s="544"/>
      <c r="O902" s="334"/>
      <c r="P902" s="169">
        <f t="shared" si="132"/>
        <v>1700</v>
      </c>
      <c r="Q902" s="169">
        <f t="shared" si="129"/>
        <v>-500</v>
      </c>
      <c r="R902" s="169">
        <f t="shared" si="130"/>
        <v>1200</v>
      </c>
    </row>
    <row r="903" spans="2:18" x14ac:dyDescent="0.2">
      <c r="B903" s="172">
        <f t="shared" si="131"/>
        <v>404</v>
      </c>
      <c r="C903" s="129"/>
      <c r="D903" s="129"/>
      <c r="E903" s="133"/>
      <c r="F903" s="130" t="s">
        <v>200</v>
      </c>
      <c r="G903" s="194" t="s">
        <v>247</v>
      </c>
      <c r="H903" s="389">
        <v>100</v>
      </c>
      <c r="I903" s="389">
        <v>500</v>
      </c>
      <c r="J903" s="389">
        <f t="shared" si="127"/>
        <v>600</v>
      </c>
      <c r="K903" s="334"/>
      <c r="L903" s="544"/>
      <c r="M903" s="544"/>
      <c r="N903" s="544"/>
      <c r="O903" s="334"/>
      <c r="P903" s="169">
        <f t="shared" si="132"/>
        <v>100</v>
      </c>
      <c r="Q903" s="169">
        <f t="shared" si="129"/>
        <v>500</v>
      </c>
      <c r="R903" s="169">
        <f t="shared" si="130"/>
        <v>600</v>
      </c>
    </row>
    <row r="904" spans="2:18" x14ac:dyDescent="0.2">
      <c r="B904" s="172">
        <f t="shared" si="131"/>
        <v>405</v>
      </c>
      <c r="C904" s="129"/>
      <c r="D904" s="129"/>
      <c r="E904" s="133"/>
      <c r="F904" s="130" t="s">
        <v>216</v>
      </c>
      <c r="G904" s="194" t="s">
        <v>248</v>
      </c>
      <c r="H904" s="389">
        <v>790</v>
      </c>
      <c r="I904" s="389"/>
      <c r="J904" s="389">
        <f t="shared" si="127"/>
        <v>790</v>
      </c>
      <c r="K904" s="334"/>
      <c r="L904" s="544"/>
      <c r="M904" s="544"/>
      <c r="N904" s="544"/>
      <c r="O904" s="334"/>
      <c r="P904" s="169">
        <f t="shared" si="132"/>
        <v>790</v>
      </c>
      <c r="Q904" s="169">
        <f t="shared" si="129"/>
        <v>0</v>
      </c>
      <c r="R904" s="169">
        <f t="shared" si="130"/>
        <v>790</v>
      </c>
    </row>
    <row r="905" spans="2:18" ht="15" x14ac:dyDescent="0.25">
      <c r="B905" s="172">
        <f t="shared" si="131"/>
        <v>406</v>
      </c>
      <c r="C905" s="129"/>
      <c r="D905" s="262">
        <v>7</v>
      </c>
      <c r="E905" s="176" t="s">
        <v>428</v>
      </c>
      <c r="F905" s="149" t="s">
        <v>390</v>
      </c>
      <c r="G905" s="239"/>
      <c r="H905" s="416">
        <f>H906+H907+H908+H912</f>
        <v>36058</v>
      </c>
      <c r="I905" s="416">
        <f>I906+I907+I908+I912</f>
        <v>0</v>
      </c>
      <c r="J905" s="416">
        <f t="shared" si="127"/>
        <v>36058</v>
      </c>
      <c r="K905" s="335"/>
      <c r="L905" s="426"/>
      <c r="M905" s="426"/>
      <c r="N905" s="426"/>
      <c r="O905" s="335"/>
      <c r="P905" s="336">
        <f t="shared" si="132"/>
        <v>36058</v>
      </c>
      <c r="Q905" s="336">
        <f t="shared" si="129"/>
        <v>0</v>
      </c>
      <c r="R905" s="336">
        <f t="shared" si="130"/>
        <v>36058</v>
      </c>
    </row>
    <row r="906" spans="2:18" x14ac:dyDescent="0.2">
      <c r="B906" s="172">
        <f t="shared" si="131"/>
        <v>407</v>
      </c>
      <c r="C906" s="129"/>
      <c r="D906" s="129"/>
      <c r="E906" s="133"/>
      <c r="F906" s="145" t="s">
        <v>211</v>
      </c>
      <c r="G906" s="202" t="s">
        <v>506</v>
      </c>
      <c r="H906" s="543">
        <f>22570+1129</f>
        <v>23699</v>
      </c>
      <c r="I906" s="543"/>
      <c r="J906" s="543">
        <f t="shared" si="127"/>
        <v>23699</v>
      </c>
      <c r="K906" s="334"/>
      <c r="L906" s="544"/>
      <c r="M906" s="544"/>
      <c r="N906" s="544"/>
      <c r="O906" s="334"/>
      <c r="P906" s="545">
        <f t="shared" si="132"/>
        <v>23699</v>
      </c>
      <c r="Q906" s="545">
        <f t="shared" si="129"/>
        <v>0</v>
      </c>
      <c r="R906" s="545">
        <f t="shared" si="130"/>
        <v>23699</v>
      </c>
    </row>
    <row r="907" spans="2:18" x14ac:dyDescent="0.2">
      <c r="B907" s="172">
        <f t="shared" si="131"/>
        <v>408</v>
      </c>
      <c r="C907" s="129"/>
      <c r="D907" s="129"/>
      <c r="E907" s="133"/>
      <c r="F907" s="145" t="s">
        <v>212</v>
      </c>
      <c r="G907" s="202" t="s">
        <v>259</v>
      </c>
      <c r="H907" s="543">
        <f>7885+394</f>
        <v>8279</v>
      </c>
      <c r="I907" s="543"/>
      <c r="J907" s="543">
        <f t="shared" si="127"/>
        <v>8279</v>
      </c>
      <c r="K907" s="334"/>
      <c r="L907" s="544"/>
      <c r="M907" s="544"/>
      <c r="N907" s="544"/>
      <c r="O907" s="334"/>
      <c r="P907" s="545">
        <f t="shared" si="132"/>
        <v>8279</v>
      </c>
      <c r="Q907" s="545">
        <f t="shared" si="129"/>
        <v>0</v>
      </c>
      <c r="R907" s="545">
        <f t="shared" si="130"/>
        <v>8279</v>
      </c>
    </row>
    <row r="908" spans="2:18" x14ac:dyDescent="0.2">
      <c r="B908" s="172">
        <f t="shared" si="131"/>
        <v>409</v>
      </c>
      <c r="C908" s="129"/>
      <c r="D908" s="129"/>
      <c r="E908" s="133"/>
      <c r="F908" s="145" t="s">
        <v>218</v>
      </c>
      <c r="G908" s="202" t="s">
        <v>341</v>
      </c>
      <c r="H908" s="543">
        <f>SUM(H909:H911)</f>
        <v>3930</v>
      </c>
      <c r="I908" s="543">
        <f>SUM(I909:I911)</f>
        <v>0</v>
      </c>
      <c r="J908" s="543">
        <f t="shared" si="127"/>
        <v>3930</v>
      </c>
      <c r="K908" s="334"/>
      <c r="L908" s="544"/>
      <c r="M908" s="544"/>
      <c r="N908" s="544"/>
      <c r="O908" s="334"/>
      <c r="P908" s="545">
        <f t="shared" si="132"/>
        <v>3930</v>
      </c>
      <c r="Q908" s="545">
        <f t="shared" si="129"/>
        <v>0</v>
      </c>
      <c r="R908" s="545">
        <f t="shared" si="130"/>
        <v>3930</v>
      </c>
    </row>
    <row r="909" spans="2:18" x14ac:dyDescent="0.2">
      <c r="B909" s="172">
        <f t="shared" si="131"/>
        <v>410</v>
      </c>
      <c r="C909" s="129"/>
      <c r="D909" s="129"/>
      <c r="E909" s="133"/>
      <c r="F909" s="130" t="s">
        <v>199</v>
      </c>
      <c r="G909" s="194" t="s">
        <v>319</v>
      </c>
      <c r="H909" s="389">
        <v>1560</v>
      </c>
      <c r="I909" s="389"/>
      <c r="J909" s="389">
        <f t="shared" si="127"/>
        <v>1560</v>
      </c>
      <c r="K909" s="334"/>
      <c r="L909" s="544"/>
      <c r="M909" s="544"/>
      <c r="N909" s="544"/>
      <c r="O909" s="334"/>
      <c r="P909" s="169">
        <f t="shared" si="132"/>
        <v>1560</v>
      </c>
      <c r="Q909" s="169">
        <f t="shared" si="129"/>
        <v>0</v>
      </c>
      <c r="R909" s="169">
        <f t="shared" si="130"/>
        <v>1560</v>
      </c>
    </row>
    <row r="910" spans="2:18" x14ac:dyDescent="0.2">
      <c r="B910" s="172">
        <f t="shared" si="131"/>
        <v>411</v>
      </c>
      <c r="C910" s="129"/>
      <c r="D910" s="129"/>
      <c r="E910" s="133"/>
      <c r="F910" s="130" t="s">
        <v>200</v>
      </c>
      <c r="G910" s="194" t="s">
        <v>247</v>
      </c>
      <c r="H910" s="389">
        <v>680</v>
      </c>
      <c r="I910" s="389"/>
      <c r="J910" s="389">
        <f t="shared" si="127"/>
        <v>680</v>
      </c>
      <c r="K910" s="334"/>
      <c r="L910" s="544"/>
      <c r="M910" s="544"/>
      <c r="N910" s="544"/>
      <c r="O910" s="334"/>
      <c r="P910" s="169">
        <f t="shared" si="132"/>
        <v>680</v>
      </c>
      <c r="Q910" s="169">
        <f t="shared" si="129"/>
        <v>0</v>
      </c>
      <c r="R910" s="169">
        <f t="shared" si="130"/>
        <v>680</v>
      </c>
    </row>
    <row r="911" spans="2:18" x14ac:dyDescent="0.2">
      <c r="B911" s="172">
        <f t="shared" si="131"/>
        <v>412</v>
      </c>
      <c r="C911" s="129"/>
      <c r="D911" s="129"/>
      <c r="E911" s="133"/>
      <c r="F911" s="130" t="s">
        <v>216</v>
      </c>
      <c r="G911" s="194" t="s">
        <v>248</v>
      </c>
      <c r="H911" s="389">
        <v>1690</v>
      </c>
      <c r="I911" s="389"/>
      <c r="J911" s="389">
        <f t="shared" si="127"/>
        <v>1690</v>
      </c>
      <c r="K911" s="334"/>
      <c r="L911" s="544"/>
      <c r="M911" s="544"/>
      <c r="N911" s="544"/>
      <c r="O911" s="334"/>
      <c r="P911" s="169">
        <f t="shared" si="132"/>
        <v>1690</v>
      </c>
      <c r="Q911" s="169">
        <f t="shared" si="129"/>
        <v>0</v>
      </c>
      <c r="R911" s="169">
        <f t="shared" si="130"/>
        <v>1690</v>
      </c>
    </row>
    <row r="912" spans="2:18" x14ac:dyDescent="0.2">
      <c r="B912" s="172">
        <f t="shared" si="131"/>
        <v>413</v>
      </c>
      <c r="C912" s="129"/>
      <c r="D912" s="129"/>
      <c r="E912" s="133"/>
      <c r="F912" s="145" t="s">
        <v>217</v>
      </c>
      <c r="G912" s="202" t="s">
        <v>505</v>
      </c>
      <c r="H912" s="543">
        <v>150</v>
      </c>
      <c r="I912" s="543"/>
      <c r="J912" s="543">
        <f t="shared" si="127"/>
        <v>150</v>
      </c>
      <c r="K912" s="332"/>
      <c r="L912" s="428"/>
      <c r="M912" s="428"/>
      <c r="N912" s="428"/>
      <c r="O912" s="332"/>
      <c r="P912" s="545">
        <f t="shared" si="132"/>
        <v>150</v>
      </c>
      <c r="Q912" s="545">
        <f t="shared" si="129"/>
        <v>0</v>
      </c>
      <c r="R912" s="545">
        <f t="shared" si="130"/>
        <v>150</v>
      </c>
    </row>
    <row r="913" spans="2:18" ht="15" x14ac:dyDescent="0.25">
      <c r="B913" s="172">
        <f t="shared" si="131"/>
        <v>414</v>
      </c>
      <c r="C913" s="129"/>
      <c r="D913" s="262">
        <v>8</v>
      </c>
      <c r="E913" s="176" t="s">
        <v>428</v>
      </c>
      <c r="F913" s="149" t="s">
        <v>391</v>
      </c>
      <c r="G913" s="239"/>
      <c r="H913" s="416">
        <f>H914+H915+H916+H920</f>
        <v>74520</v>
      </c>
      <c r="I913" s="416">
        <f>I914+I915+I916+I920</f>
        <v>0</v>
      </c>
      <c r="J913" s="416">
        <f t="shared" si="127"/>
        <v>74520</v>
      </c>
      <c r="K913" s="335"/>
      <c r="L913" s="426"/>
      <c r="M913" s="426"/>
      <c r="N913" s="426"/>
      <c r="O913" s="335"/>
      <c r="P913" s="336">
        <f t="shared" si="132"/>
        <v>74520</v>
      </c>
      <c r="Q913" s="336">
        <f t="shared" si="129"/>
        <v>0</v>
      </c>
      <c r="R913" s="336">
        <f t="shared" si="130"/>
        <v>74520</v>
      </c>
    </row>
    <row r="914" spans="2:18" x14ac:dyDescent="0.2">
      <c r="B914" s="172">
        <f t="shared" si="131"/>
        <v>415</v>
      </c>
      <c r="C914" s="129"/>
      <c r="D914" s="129"/>
      <c r="E914" s="133"/>
      <c r="F914" s="145" t="s">
        <v>211</v>
      </c>
      <c r="G914" s="202" t="s">
        <v>506</v>
      </c>
      <c r="H914" s="543">
        <f>45790+2290</f>
        <v>48080</v>
      </c>
      <c r="I914" s="543">
        <v>1500</v>
      </c>
      <c r="J914" s="543">
        <f t="shared" si="127"/>
        <v>49580</v>
      </c>
      <c r="K914" s="334"/>
      <c r="L914" s="544"/>
      <c r="M914" s="544"/>
      <c r="N914" s="544"/>
      <c r="O914" s="334"/>
      <c r="P914" s="545">
        <f t="shared" si="132"/>
        <v>48080</v>
      </c>
      <c r="Q914" s="545">
        <f t="shared" si="129"/>
        <v>1500</v>
      </c>
      <c r="R914" s="545">
        <f t="shared" si="130"/>
        <v>49580</v>
      </c>
    </row>
    <row r="915" spans="2:18" x14ac:dyDescent="0.2">
      <c r="B915" s="172">
        <f t="shared" si="131"/>
        <v>416</v>
      </c>
      <c r="C915" s="129"/>
      <c r="D915" s="129"/>
      <c r="E915" s="133"/>
      <c r="F915" s="145" t="s">
        <v>212</v>
      </c>
      <c r="G915" s="202" t="s">
        <v>259</v>
      </c>
      <c r="H915" s="543">
        <f>16990+850</f>
        <v>17840</v>
      </c>
      <c r="I915" s="543"/>
      <c r="J915" s="543">
        <f t="shared" si="127"/>
        <v>17840</v>
      </c>
      <c r="K915" s="334"/>
      <c r="L915" s="544"/>
      <c r="M915" s="544"/>
      <c r="N915" s="544"/>
      <c r="O915" s="334"/>
      <c r="P915" s="545">
        <f t="shared" si="132"/>
        <v>17840</v>
      </c>
      <c r="Q915" s="545">
        <f t="shared" si="129"/>
        <v>0</v>
      </c>
      <c r="R915" s="545">
        <f t="shared" si="130"/>
        <v>17840</v>
      </c>
    </row>
    <row r="916" spans="2:18" x14ac:dyDescent="0.2">
      <c r="B916" s="172">
        <f t="shared" si="131"/>
        <v>417</v>
      </c>
      <c r="C916" s="129"/>
      <c r="D916" s="129"/>
      <c r="E916" s="133"/>
      <c r="F916" s="145" t="s">
        <v>218</v>
      </c>
      <c r="G916" s="202" t="s">
        <v>341</v>
      </c>
      <c r="H916" s="543">
        <f>SUM(H917:H919)</f>
        <v>8300</v>
      </c>
      <c r="I916" s="543">
        <f>SUM(I917:I919)</f>
        <v>-1500</v>
      </c>
      <c r="J916" s="543">
        <f t="shared" si="127"/>
        <v>6800</v>
      </c>
      <c r="K916" s="334"/>
      <c r="L916" s="544"/>
      <c r="M916" s="544"/>
      <c r="N916" s="544"/>
      <c r="O916" s="334"/>
      <c r="P916" s="545">
        <f t="shared" si="132"/>
        <v>8300</v>
      </c>
      <c r="Q916" s="545">
        <f t="shared" si="129"/>
        <v>-1500</v>
      </c>
      <c r="R916" s="545">
        <f t="shared" si="130"/>
        <v>6800</v>
      </c>
    </row>
    <row r="917" spans="2:18" x14ac:dyDescent="0.2">
      <c r="B917" s="172">
        <f t="shared" si="131"/>
        <v>418</v>
      </c>
      <c r="C917" s="129"/>
      <c r="D917" s="129"/>
      <c r="E917" s="133"/>
      <c r="F917" s="130" t="s">
        <v>199</v>
      </c>
      <c r="G917" s="194" t="s">
        <v>319</v>
      </c>
      <c r="H917" s="389">
        <v>6200</v>
      </c>
      <c r="I917" s="389">
        <v>-2200</v>
      </c>
      <c r="J917" s="389">
        <f t="shared" si="127"/>
        <v>4000</v>
      </c>
      <c r="K917" s="334"/>
      <c r="L917" s="544"/>
      <c r="M917" s="544"/>
      <c r="N917" s="544"/>
      <c r="O917" s="334"/>
      <c r="P917" s="169">
        <f t="shared" si="132"/>
        <v>6200</v>
      </c>
      <c r="Q917" s="169">
        <f t="shared" si="129"/>
        <v>-2200</v>
      </c>
      <c r="R917" s="169">
        <f t="shared" si="130"/>
        <v>4000</v>
      </c>
    </row>
    <row r="918" spans="2:18" x14ac:dyDescent="0.2">
      <c r="B918" s="172">
        <f t="shared" si="131"/>
        <v>419</v>
      </c>
      <c r="C918" s="129"/>
      <c r="D918" s="129"/>
      <c r="E918" s="133"/>
      <c r="F918" s="130" t="s">
        <v>200</v>
      </c>
      <c r="G918" s="194" t="s">
        <v>247</v>
      </c>
      <c r="H918" s="389">
        <v>950</v>
      </c>
      <c r="I918" s="389"/>
      <c r="J918" s="389">
        <f t="shared" si="127"/>
        <v>950</v>
      </c>
      <c r="K918" s="334"/>
      <c r="L918" s="544"/>
      <c r="M918" s="544"/>
      <c r="N918" s="544"/>
      <c r="O918" s="334"/>
      <c r="P918" s="169">
        <f t="shared" si="132"/>
        <v>950</v>
      </c>
      <c r="Q918" s="169">
        <f t="shared" si="129"/>
        <v>0</v>
      </c>
      <c r="R918" s="169">
        <f t="shared" si="130"/>
        <v>950</v>
      </c>
    </row>
    <row r="919" spans="2:18" x14ac:dyDescent="0.2">
      <c r="B919" s="172">
        <f t="shared" si="131"/>
        <v>420</v>
      </c>
      <c r="C919" s="129"/>
      <c r="D919" s="129"/>
      <c r="E919" s="133"/>
      <c r="F919" s="130" t="s">
        <v>216</v>
      </c>
      <c r="G919" s="194" t="s">
        <v>248</v>
      </c>
      <c r="H919" s="389">
        <v>1150</v>
      </c>
      <c r="I919" s="389">
        <v>700</v>
      </c>
      <c r="J919" s="389">
        <f t="shared" si="127"/>
        <v>1850</v>
      </c>
      <c r="K919" s="334"/>
      <c r="L919" s="544"/>
      <c r="M919" s="544"/>
      <c r="N919" s="544"/>
      <c r="O919" s="334"/>
      <c r="P919" s="169">
        <f t="shared" si="132"/>
        <v>1150</v>
      </c>
      <c r="Q919" s="169">
        <f t="shared" si="129"/>
        <v>700</v>
      </c>
      <c r="R919" s="169">
        <f t="shared" si="130"/>
        <v>1850</v>
      </c>
    </row>
    <row r="920" spans="2:18" x14ac:dyDescent="0.2">
      <c r="B920" s="172">
        <f t="shared" si="131"/>
        <v>421</v>
      </c>
      <c r="C920" s="129"/>
      <c r="D920" s="129"/>
      <c r="E920" s="133"/>
      <c r="F920" s="145" t="s">
        <v>217</v>
      </c>
      <c r="G920" s="202" t="s">
        <v>505</v>
      </c>
      <c r="H920" s="543">
        <v>300</v>
      </c>
      <c r="I920" s="543"/>
      <c r="J920" s="543">
        <f t="shared" si="127"/>
        <v>300</v>
      </c>
      <c r="K920" s="334"/>
      <c r="L920" s="544"/>
      <c r="M920" s="544"/>
      <c r="N920" s="544"/>
      <c r="O920" s="334"/>
      <c r="P920" s="545">
        <f t="shared" si="132"/>
        <v>300</v>
      </c>
      <c r="Q920" s="545">
        <f t="shared" si="129"/>
        <v>0</v>
      </c>
      <c r="R920" s="545">
        <f t="shared" si="130"/>
        <v>300</v>
      </c>
    </row>
    <row r="921" spans="2:18" ht="15" x14ac:dyDescent="0.25">
      <c r="B921" s="172">
        <f t="shared" si="131"/>
        <v>422</v>
      </c>
      <c r="C921" s="129"/>
      <c r="D921" s="262">
        <v>9</v>
      </c>
      <c r="E921" s="176" t="s">
        <v>428</v>
      </c>
      <c r="F921" s="265" t="s">
        <v>392</v>
      </c>
      <c r="G921" s="266"/>
      <c r="H921" s="418">
        <f>H922+H923+H924+H928</f>
        <v>35650</v>
      </c>
      <c r="I921" s="418">
        <f>I922+I923+I924+I928</f>
        <v>0</v>
      </c>
      <c r="J921" s="418">
        <f t="shared" si="127"/>
        <v>35650</v>
      </c>
      <c r="K921" s="335"/>
      <c r="L921" s="439"/>
      <c r="M921" s="439"/>
      <c r="N921" s="439"/>
      <c r="O921" s="335"/>
      <c r="P921" s="337">
        <f t="shared" si="132"/>
        <v>35650</v>
      </c>
      <c r="Q921" s="337">
        <f t="shared" si="129"/>
        <v>0</v>
      </c>
      <c r="R921" s="337">
        <f t="shared" si="130"/>
        <v>35650</v>
      </c>
    </row>
    <row r="922" spans="2:18" x14ac:dyDescent="0.2">
      <c r="B922" s="172">
        <f t="shared" si="131"/>
        <v>423</v>
      </c>
      <c r="C922" s="129"/>
      <c r="D922" s="129"/>
      <c r="E922" s="133"/>
      <c r="F922" s="145" t="s">
        <v>211</v>
      </c>
      <c r="G922" s="202" t="s">
        <v>506</v>
      </c>
      <c r="H922" s="543">
        <f>21255+1063</f>
        <v>22318</v>
      </c>
      <c r="I922" s="543"/>
      <c r="J922" s="543">
        <f t="shared" ref="J922:J928" si="133">I922+H922</f>
        <v>22318</v>
      </c>
      <c r="K922" s="334"/>
      <c r="L922" s="544"/>
      <c r="M922" s="544"/>
      <c r="N922" s="544"/>
      <c r="O922" s="334"/>
      <c r="P922" s="545">
        <f t="shared" ref="P922:P928" si="134">H922+L922</f>
        <v>22318</v>
      </c>
      <c r="Q922" s="545">
        <f t="shared" ref="Q922:Q928" si="135">I922+M922</f>
        <v>0</v>
      </c>
      <c r="R922" s="545">
        <f t="shared" ref="R922:R928" si="136">Q922+P922</f>
        <v>22318</v>
      </c>
    </row>
    <row r="923" spans="2:18" x14ac:dyDescent="0.2">
      <c r="B923" s="172">
        <f t="shared" si="131"/>
        <v>424</v>
      </c>
      <c r="C923" s="129"/>
      <c r="D923" s="129"/>
      <c r="E923" s="133"/>
      <c r="F923" s="145" t="s">
        <v>212</v>
      </c>
      <c r="G923" s="202" t="s">
        <v>259</v>
      </c>
      <c r="H923" s="543">
        <f>7430+372</f>
        <v>7802</v>
      </c>
      <c r="I923" s="543"/>
      <c r="J923" s="543">
        <f t="shared" si="133"/>
        <v>7802</v>
      </c>
      <c r="K923" s="334"/>
      <c r="L923" s="544"/>
      <c r="M923" s="544"/>
      <c r="N923" s="544"/>
      <c r="O923" s="334"/>
      <c r="P923" s="545">
        <f t="shared" si="134"/>
        <v>7802</v>
      </c>
      <c r="Q923" s="545">
        <f t="shared" si="135"/>
        <v>0</v>
      </c>
      <c r="R923" s="545">
        <f t="shared" si="136"/>
        <v>7802</v>
      </c>
    </row>
    <row r="924" spans="2:18" x14ac:dyDescent="0.2">
      <c r="B924" s="172">
        <f t="shared" si="131"/>
        <v>425</v>
      </c>
      <c r="C924" s="129"/>
      <c r="D924" s="129"/>
      <c r="E924" s="133"/>
      <c r="F924" s="145" t="s">
        <v>218</v>
      </c>
      <c r="G924" s="202" t="s">
        <v>341</v>
      </c>
      <c r="H924" s="543">
        <f>SUM(H925:H927)</f>
        <v>5480</v>
      </c>
      <c r="I924" s="543">
        <f>SUM(I925:I927)</f>
        <v>0</v>
      </c>
      <c r="J924" s="543">
        <f t="shared" si="133"/>
        <v>5480</v>
      </c>
      <c r="K924" s="334"/>
      <c r="L924" s="544"/>
      <c r="M924" s="544"/>
      <c r="N924" s="544"/>
      <c r="O924" s="334"/>
      <c r="P924" s="545">
        <f t="shared" si="134"/>
        <v>5480</v>
      </c>
      <c r="Q924" s="545">
        <f t="shared" si="135"/>
        <v>0</v>
      </c>
      <c r="R924" s="545">
        <f t="shared" si="136"/>
        <v>5480</v>
      </c>
    </row>
    <row r="925" spans="2:18" x14ac:dyDescent="0.2">
      <c r="B925" s="172">
        <f t="shared" si="131"/>
        <v>426</v>
      </c>
      <c r="C925" s="129"/>
      <c r="D925" s="129"/>
      <c r="E925" s="133"/>
      <c r="F925" s="130" t="s">
        <v>199</v>
      </c>
      <c r="G925" s="194" t="s">
        <v>319</v>
      </c>
      <c r="H925" s="389">
        <v>4770</v>
      </c>
      <c r="I925" s="389"/>
      <c r="J925" s="389">
        <f t="shared" si="133"/>
        <v>4770</v>
      </c>
      <c r="K925" s="334"/>
      <c r="L925" s="544"/>
      <c r="M925" s="544"/>
      <c r="N925" s="544"/>
      <c r="O925" s="334"/>
      <c r="P925" s="169">
        <f t="shared" si="134"/>
        <v>4770</v>
      </c>
      <c r="Q925" s="169">
        <f t="shared" si="135"/>
        <v>0</v>
      </c>
      <c r="R925" s="169">
        <f t="shared" si="136"/>
        <v>4770</v>
      </c>
    </row>
    <row r="926" spans="2:18" x14ac:dyDescent="0.2">
      <c r="B926" s="172">
        <f t="shared" si="131"/>
        <v>427</v>
      </c>
      <c r="C926" s="129"/>
      <c r="D926" s="129"/>
      <c r="E926" s="133"/>
      <c r="F926" s="130" t="s">
        <v>200</v>
      </c>
      <c r="G926" s="194" t="s">
        <v>247</v>
      </c>
      <c r="H926" s="389">
        <v>120</v>
      </c>
      <c r="I926" s="389"/>
      <c r="J926" s="389">
        <f t="shared" si="133"/>
        <v>120</v>
      </c>
      <c r="K926" s="334"/>
      <c r="L926" s="544"/>
      <c r="M926" s="544"/>
      <c r="N926" s="544"/>
      <c r="O926" s="334"/>
      <c r="P926" s="169">
        <f t="shared" si="134"/>
        <v>120</v>
      </c>
      <c r="Q926" s="169">
        <f t="shared" si="135"/>
        <v>0</v>
      </c>
      <c r="R926" s="169">
        <f t="shared" si="136"/>
        <v>120</v>
      </c>
    </row>
    <row r="927" spans="2:18" x14ac:dyDescent="0.2">
      <c r="B927" s="172">
        <f t="shared" si="131"/>
        <v>428</v>
      </c>
      <c r="C927" s="129"/>
      <c r="D927" s="129"/>
      <c r="E927" s="133"/>
      <c r="F927" s="130" t="s">
        <v>216</v>
      </c>
      <c r="G927" s="194" t="s">
        <v>248</v>
      </c>
      <c r="H927" s="389">
        <v>590</v>
      </c>
      <c r="I927" s="389"/>
      <c r="J927" s="389">
        <f t="shared" si="133"/>
        <v>590</v>
      </c>
      <c r="K927" s="334"/>
      <c r="L927" s="544"/>
      <c r="M927" s="544"/>
      <c r="N927" s="544"/>
      <c r="O927" s="334"/>
      <c r="P927" s="169">
        <f t="shared" si="134"/>
        <v>590</v>
      </c>
      <c r="Q927" s="169">
        <f t="shared" si="135"/>
        <v>0</v>
      </c>
      <c r="R927" s="169">
        <f t="shared" si="136"/>
        <v>590</v>
      </c>
    </row>
    <row r="928" spans="2:18" x14ac:dyDescent="0.2">
      <c r="B928" s="172">
        <f t="shared" si="131"/>
        <v>429</v>
      </c>
      <c r="C928" s="129"/>
      <c r="D928" s="129"/>
      <c r="E928" s="133"/>
      <c r="F928" s="145" t="s">
        <v>217</v>
      </c>
      <c r="G928" s="202" t="s">
        <v>505</v>
      </c>
      <c r="H928" s="543">
        <v>50</v>
      </c>
      <c r="I928" s="543"/>
      <c r="J928" s="543">
        <f t="shared" si="133"/>
        <v>50</v>
      </c>
      <c r="K928" s="334"/>
      <c r="L928" s="544"/>
      <c r="M928" s="544"/>
      <c r="N928" s="544"/>
      <c r="O928" s="334"/>
      <c r="P928" s="545">
        <f t="shared" si="134"/>
        <v>50</v>
      </c>
      <c r="Q928" s="545">
        <f t="shared" si="135"/>
        <v>0</v>
      </c>
      <c r="R928" s="545">
        <f t="shared" si="136"/>
        <v>50</v>
      </c>
    </row>
    <row r="929" spans="2:18" x14ac:dyDescent="0.2">
      <c r="B929" s="172">
        <f t="shared" si="131"/>
        <v>430</v>
      </c>
      <c r="C929" s="129"/>
      <c r="D929" s="129"/>
      <c r="E929" s="133"/>
      <c r="F929" s="133"/>
      <c r="G929" s="202"/>
      <c r="H929" s="540"/>
      <c r="I929" s="540"/>
      <c r="J929" s="540"/>
      <c r="K929" s="131"/>
      <c r="L929" s="141"/>
      <c r="M929" s="141"/>
      <c r="N929" s="141"/>
      <c r="O929" s="131"/>
      <c r="P929" s="169"/>
      <c r="Q929" s="169"/>
      <c r="R929" s="169"/>
    </row>
    <row r="930" spans="2:18" x14ac:dyDescent="0.2">
      <c r="B930" s="172">
        <f t="shared" si="131"/>
        <v>431</v>
      </c>
      <c r="C930" s="129"/>
      <c r="D930" s="129"/>
      <c r="E930" s="133"/>
      <c r="F930" s="519">
        <v>640</v>
      </c>
      <c r="G930" s="284" t="s">
        <v>393</v>
      </c>
      <c r="H930" s="423">
        <v>14787</v>
      </c>
      <c r="I930" s="423"/>
      <c r="J930" s="423">
        <f>I930+H930</f>
        <v>14787</v>
      </c>
      <c r="K930" s="131"/>
      <c r="L930" s="427"/>
      <c r="M930" s="427"/>
      <c r="N930" s="427"/>
      <c r="O930" s="131"/>
      <c r="P930" s="285">
        <f>H930+L930</f>
        <v>14787</v>
      </c>
      <c r="Q930" s="285">
        <f t="shared" ref="Q930:Q933" si="137">I930+M930</f>
        <v>0</v>
      </c>
      <c r="R930" s="285">
        <f>Q930+P930</f>
        <v>14787</v>
      </c>
    </row>
    <row r="931" spans="2:18" x14ac:dyDescent="0.2">
      <c r="B931" s="172">
        <f t="shared" si="131"/>
        <v>432</v>
      </c>
      <c r="C931" s="129"/>
      <c r="D931" s="129"/>
      <c r="E931" s="133"/>
      <c r="F931" s="519">
        <v>640</v>
      </c>
      <c r="G931" s="284" t="s">
        <v>394</v>
      </c>
      <c r="H931" s="423">
        <v>9438</v>
      </c>
      <c r="I931" s="423"/>
      <c r="J931" s="423">
        <f>I931+H931</f>
        <v>9438</v>
      </c>
      <c r="K931" s="131"/>
      <c r="L931" s="427"/>
      <c r="M931" s="427"/>
      <c r="N931" s="427"/>
      <c r="O931" s="131"/>
      <c r="P931" s="285">
        <f>H931+L931</f>
        <v>9438</v>
      </c>
      <c r="Q931" s="285">
        <f t="shared" si="137"/>
        <v>0</v>
      </c>
      <c r="R931" s="285">
        <f>Q931+P931</f>
        <v>9438</v>
      </c>
    </row>
    <row r="932" spans="2:18" x14ac:dyDescent="0.2">
      <c r="B932" s="172">
        <f t="shared" si="131"/>
        <v>433</v>
      </c>
      <c r="C932" s="129"/>
      <c r="D932" s="129"/>
      <c r="E932" s="133"/>
      <c r="F932" s="519">
        <v>640</v>
      </c>
      <c r="G932" s="284" t="s">
        <v>572</v>
      </c>
      <c r="H932" s="423">
        <v>13026</v>
      </c>
      <c r="I932" s="423"/>
      <c r="J932" s="423">
        <f>I932+H932</f>
        <v>13026</v>
      </c>
      <c r="K932" s="131"/>
      <c r="L932" s="427"/>
      <c r="M932" s="427"/>
      <c r="N932" s="427"/>
      <c r="O932" s="131"/>
      <c r="P932" s="285">
        <f>H932+L932</f>
        <v>13026</v>
      </c>
      <c r="Q932" s="285">
        <f t="shared" si="137"/>
        <v>0</v>
      </c>
      <c r="R932" s="285">
        <f>Q932+P932</f>
        <v>13026</v>
      </c>
    </row>
    <row r="933" spans="2:18" x14ac:dyDescent="0.2">
      <c r="B933" s="172">
        <f t="shared" si="131"/>
        <v>434</v>
      </c>
      <c r="C933" s="129"/>
      <c r="D933" s="129"/>
      <c r="E933" s="133"/>
      <c r="F933" s="519">
        <v>640</v>
      </c>
      <c r="G933" s="284" t="s">
        <v>573</v>
      </c>
      <c r="H933" s="423">
        <v>15865</v>
      </c>
      <c r="I933" s="423"/>
      <c r="J933" s="423">
        <f>I933+H933</f>
        <v>15865</v>
      </c>
      <c r="K933" s="131"/>
      <c r="L933" s="427"/>
      <c r="M933" s="427"/>
      <c r="N933" s="427"/>
      <c r="O933" s="131"/>
      <c r="P933" s="285">
        <f>H933+L933</f>
        <v>15865</v>
      </c>
      <c r="Q933" s="285">
        <f t="shared" si="137"/>
        <v>0</v>
      </c>
      <c r="R933" s="285">
        <f>Q933+P933</f>
        <v>15865</v>
      </c>
    </row>
    <row r="934" spans="2:18" x14ac:dyDescent="0.2">
      <c r="B934" s="172">
        <f t="shared" si="131"/>
        <v>435</v>
      </c>
      <c r="C934" s="129"/>
      <c r="D934" s="133"/>
      <c r="E934" s="148"/>
      <c r="F934" s="130"/>
      <c r="G934" s="194"/>
      <c r="H934" s="433"/>
      <c r="I934" s="433"/>
      <c r="J934" s="433"/>
      <c r="K934" s="131"/>
      <c r="L934" s="160"/>
      <c r="M934" s="160"/>
      <c r="N934" s="160"/>
      <c r="O934" s="131"/>
      <c r="P934" s="216"/>
      <c r="Q934" s="216"/>
      <c r="R934" s="216"/>
    </row>
    <row r="935" spans="2:18" ht="15" x14ac:dyDescent="0.25">
      <c r="B935" s="172">
        <f t="shared" si="131"/>
        <v>436</v>
      </c>
      <c r="C935" s="129"/>
      <c r="D935" s="262">
        <v>10</v>
      </c>
      <c r="E935" s="268" t="s">
        <v>428</v>
      </c>
      <c r="F935" s="265" t="s">
        <v>395</v>
      </c>
      <c r="G935" s="266"/>
      <c r="H935" s="418">
        <f>H936+H937+H938+H945</f>
        <v>784035</v>
      </c>
      <c r="I935" s="418">
        <f>I936+I937+I938+I945</f>
        <v>199</v>
      </c>
      <c r="J935" s="418">
        <f t="shared" ref="J935:J955" si="138">I935+H935</f>
        <v>784234</v>
      </c>
      <c r="K935" s="335"/>
      <c r="L935" s="438"/>
      <c r="M935" s="438"/>
      <c r="N935" s="438"/>
      <c r="O935" s="335"/>
      <c r="P935" s="337">
        <f t="shared" ref="P935:P955" si="139">H935+L935</f>
        <v>784035</v>
      </c>
      <c r="Q935" s="337">
        <f t="shared" ref="Q935:Q955" si="140">I935+M935</f>
        <v>199</v>
      </c>
      <c r="R935" s="337">
        <f t="shared" ref="R935:R955" si="141">Q935+P935</f>
        <v>784234</v>
      </c>
    </row>
    <row r="936" spans="2:18" x14ac:dyDescent="0.2">
      <c r="B936" s="172">
        <f t="shared" si="131"/>
        <v>437</v>
      </c>
      <c r="C936" s="129"/>
      <c r="D936" s="129"/>
      <c r="E936" s="133"/>
      <c r="F936" s="145" t="s">
        <v>211</v>
      </c>
      <c r="G936" s="202" t="s">
        <v>506</v>
      </c>
      <c r="H936" s="543">
        <f>487600+24380</f>
        <v>511980</v>
      </c>
      <c r="I936" s="543"/>
      <c r="J936" s="543">
        <f t="shared" si="138"/>
        <v>511980</v>
      </c>
      <c r="K936" s="334"/>
      <c r="L936" s="544"/>
      <c r="M936" s="544"/>
      <c r="N936" s="544"/>
      <c r="O936" s="334"/>
      <c r="P936" s="545">
        <f t="shared" si="139"/>
        <v>511980</v>
      </c>
      <c r="Q936" s="545">
        <f t="shared" si="140"/>
        <v>0</v>
      </c>
      <c r="R936" s="545">
        <f t="shared" si="141"/>
        <v>511980</v>
      </c>
    </row>
    <row r="937" spans="2:18" x14ac:dyDescent="0.2">
      <c r="B937" s="172">
        <f t="shared" si="131"/>
        <v>438</v>
      </c>
      <c r="C937" s="129"/>
      <c r="D937" s="129"/>
      <c r="E937" s="133"/>
      <c r="F937" s="145" t="s">
        <v>212</v>
      </c>
      <c r="G937" s="202" t="s">
        <v>259</v>
      </c>
      <c r="H937" s="543">
        <f>170295+8515</f>
        <v>178810</v>
      </c>
      <c r="I937" s="543"/>
      <c r="J937" s="543">
        <f t="shared" si="138"/>
        <v>178810</v>
      </c>
      <c r="K937" s="334"/>
      <c r="L937" s="544"/>
      <c r="M937" s="544"/>
      <c r="N937" s="544"/>
      <c r="O937" s="334"/>
      <c r="P937" s="545">
        <f t="shared" si="139"/>
        <v>178810</v>
      </c>
      <c r="Q937" s="545">
        <f t="shared" si="140"/>
        <v>0</v>
      </c>
      <c r="R937" s="545">
        <f t="shared" si="141"/>
        <v>178810</v>
      </c>
    </row>
    <row r="938" spans="2:18" x14ac:dyDescent="0.2">
      <c r="B938" s="172">
        <f t="shared" si="131"/>
        <v>439</v>
      </c>
      <c r="C938" s="129"/>
      <c r="D938" s="129"/>
      <c r="E938" s="133"/>
      <c r="F938" s="145" t="s">
        <v>218</v>
      </c>
      <c r="G938" s="202" t="s">
        <v>341</v>
      </c>
      <c r="H938" s="543">
        <f>SUM(H939:H944)</f>
        <v>86745</v>
      </c>
      <c r="I938" s="543">
        <f>SUM(I939:I944)</f>
        <v>199</v>
      </c>
      <c r="J938" s="543">
        <f t="shared" si="138"/>
        <v>86944</v>
      </c>
      <c r="K938" s="334"/>
      <c r="L938" s="544"/>
      <c r="M938" s="544"/>
      <c r="N938" s="544"/>
      <c r="O938" s="334"/>
      <c r="P938" s="545">
        <f t="shared" si="139"/>
        <v>86745</v>
      </c>
      <c r="Q938" s="545">
        <f t="shared" si="140"/>
        <v>199</v>
      </c>
      <c r="R938" s="545">
        <f t="shared" si="141"/>
        <v>86944</v>
      </c>
    </row>
    <row r="939" spans="2:18" x14ac:dyDescent="0.2">
      <c r="B939" s="172">
        <f t="shared" si="131"/>
        <v>440</v>
      </c>
      <c r="C939" s="129"/>
      <c r="D939" s="129"/>
      <c r="E939" s="133"/>
      <c r="F939" s="130" t="s">
        <v>213</v>
      </c>
      <c r="G939" s="194" t="s">
        <v>307</v>
      </c>
      <c r="H939" s="389">
        <v>400</v>
      </c>
      <c r="I939" s="389"/>
      <c r="J939" s="389">
        <f t="shared" si="138"/>
        <v>400</v>
      </c>
      <c r="K939" s="334"/>
      <c r="L939" s="544"/>
      <c r="M939" s="544"/>
      <c r="N939" s="544"/>
      <c r="O939" s="334"/>
      <c r="P939" s="169">
        <f t="shared" si="139"/>
        <v>400</v>
      </c>
      <c r="Q939" s="169">
        <f t="shared" si="140"/>
        <v>0</v>
      </c>
      <c r="R939" s="169">
        <f t="shared" si="141"/>
        <v>400</v>
      </c>
    </row>
    <row r="940" spans="2:18" x14ac:dyDescent="0.2">
      <c r="B940" s="172">
        <f t="shared" si="131"/>
        <v>441</v>
      </c>
      <c r="C940" s="129"/>
      <c r="D940" s="129"/>
      <c r="E940" s="133"/>
      <c r="F940" s="130" t="s">
        <v>199</v>
      </c>
      <c r="G940" s="194" t="s">
        <v>319</v>
      </c>
      <c r="H940" s="389">
        <v>39280</v>
      </c>
      <c r="I940" s="389"/>
      <c r="J940" s="389">
        <f t="shared" si="138"/>
        <v>39280</v>
      </c>
      <c r="K940" s="334"/>
      <c r="L940" s="544"/>
      <c r="M940" s="544"/>
      <c r="N940" s="544"/>
      <c r="O940" s="334"/>
      <c r="P940" s="169">
        <f t="shared" si="139"/>
        <v>39280</v>
      </c>
      <c r="Q940" s="169">
        <f t="shared" si="140"/>
        <v>0</v>
      </c>
      <c r="R940" s="169">
        <f t="shared" si="141"/>
        <v>39280</v>
      </c>
    </row>
    <row r="941" spans="2:18" x14ac:dyDescent="0.2">
      <c r="B941" s="172">
        <f t="shared" si="131"/>
        <v>442</v>
      </c>
      <c r="C941" s="129"/>
      <c r="D941" s="129"/>
      <c r="E941" s="133"/>
      <c r="F941" s="130" t="s">
        <v>200</v>
      </c>
      <c r="G941" s="194" t="s">
        <v>247</v>
      </c>
      <c r="H941" s="389">
        <v>6505</v>
      </c>
      <c r="I941" s="389">
        <v>199</v>
      </c>
      <c r="J941" s="389">
        <f t="shared" si="138"/>
        <v>6704</v>
      </c>
      <c r="K941" s="334"/>
      <c r="L941" s="544"/>
      <c r="M941" s="544"/>
      <c r="N941" s="544"/>
      <c r="O941" s="334"/>
      <c r="P941" s="169">
        <f t="shared" si="139"/>
        <v>6505</v>
      </c>
      <c r="Q941" s="169">
        <f t="shared" si="140"/>
        <v>199</v>
      </c>
      <c r="R941" s="169">
        <f t="shared" si="141"/>
        <v>6704</v>
      </c>
    </row>
    <row r="942" spans="2:18" x14ac:dyDescent="0.2">
      <c r="B942" s="172">
        <f t="shared" si="131"/>
        <v>443</v>
      </c>
      <c r="C942" s="129"/>
      <c r="D942" s="129"/>
      <c r="E942" s="133"/>
      <c r="F942" s="133">
        <v>635</v>
      </c>
      <c r="G942" s="194" t="s">
        <v>261</v>
      </c>
      <c r="H942" s="389">
        <f>4640+500</f>
        <v>5140</v>
      </c>
      <c r="I942" s="389"/>
      <c r="J942" s="389">
        <f t="shared" si="138"/>
        <v>5140</v>
      </c>
      <c r="K942" s="334"/>
      <c r="L942" s="544"/>
      <c r="M942" s="544"/>
      <c r="N942" s="544"/>
      <c r="O942" s="334"/>
      <c r="P942" s="169">
        <f t="shared" si="139"/>
        <v>5140</v>
      </c>
      <c r="Q942" s="169">
        <f t="shared" si="140"/>
        <v>0</v>
      </c>
      <c r="R942" s="169">
        <f t="shared" si="141"/>
        <v>5140</v>
      </c>
    </row>
    <row r="943" spans="2:18" x14ac:dyDescent="0.2">
      <c r="B943" s="172">
        <f t="shared" si="131"/>
        <v>444</v>
      </c>
      <c r="C943" s="129"/>
      <c r="D943" s="129"/>
      <c r="E943" s="133"/>
      <c r="F943" s="133">
        <v>636</v>
      </c>
      <c r="G943" s="194" t="s">
        <v>262</v>
      </c>
      <c r="H943" s="389">
        <v>100</v>
      </c>
      <c r="I943" s="389"/>
      <c r="J943" s="389">
        <f t="shared" si="138"/>
        <v>100</v>
      </c>
      <c r="K943" s="334"/>
      <c r="L943" s="544"/>
      <c r="M943" s="544"/>
      <c r="N943" s="544"/>
      <c r="O943" s="334"/>
      <c r="P943" s="169">
        <f t="shared" si="139"/>
        <v>100</v>
      </c>
      <c r="Q943" s="169">
        <f t="shared" si="140"/>
        <v>0</v>
      </c>
      <c r="R943" s="169">
        <f t="shared" si="141"/>
        <v>100</v>
      </c>
    </row>
    <row r="944" spans="2:18" x14ac:dyDescent="0.2">
      <c r="B944" s="172">
        <f t="shared" si="131"/>
        <v>445</v>
      </c>
      <c r="C944" s="129"/>
      <c r="D944" s="129"/>
      <c r="E944" s="133"/>
      <c r="F944" s="130" t="s">
        <v>216</v>
      </c>
      <c r="G944" s="194" t="s">
        <v>248</v>
      </c>
      <c r="H944" s="389">
        <v>35320</v>
      </c>
      <c r="I944" s="389"/>
      <c r="J944" s="389">
        <f t="shared" si="138"/>
        <v>35320</v>
      </c>
      <c r="K944" s="334"/>
      <c r="L944" s="544"/>
      <c r="M944" s="544"/>
      <c r="N944" s="544"/>
      <c r="O944" s="334"/>
      <c r="P944" s="169">
        <f t="shared" si="139"/>
        <v>35320</v>
      </c>
      <c r="Q944" s="169">
        <f t="shared" si="140"/>
        <v>0</v>
      </c>
      <c r="R944" s="169">
        <f t="shared" si="141"/>
        <v>35320</v>
      </c>
    </row>
    <row r="945" spans="2:18" x14ac:dyDescent="0.2">
      <c r="B945" s="172">
        <f t="shared" si="131"/>
        <v>446</v>
      </c>
      <c r="C945" s="129"/>
      <c r="D945" s="129"/>
      <c r="E945" s="133"/>
      <c r="F945" s="145" t="s">
        <v>217</v>
      </c>
      <c r="G945" s="202" t="s">
        <v>505</v>
      </c>
      <c r="H945" s="543">
        <v>6500</v>
      </c>
      <c r="I945" s="543"/>
      <c r="J945" s="543">
        <f t="shared" si="138"/>
        <v>6500</v>
      </c>
      <c r="K945" s="334"/>
      <c r="L945" s="544"/>
      <c r="M945" s="544"/>
      <c r="N945" s="544"/>
      <c r="O945" s="334"/>
      <c r="P945" s="545">
        <f t="shared" si="139"/>
        <v>6500</v>
      </c>
      <c r="Q945" s="545">
        <f t="shared" si="140"/>
        <v>0</v>
      </c>
      <c r="R945" s="545">
        <f t="shared" si="141"/>
        <v>6500</v>
      </c>
    </row>
    <row r="946" spans="2:18" ht="15" x14ac:dyDescent="0.25">
      <c r="B946" s="172">
        <f t="shared" si="131"/>
        <v>447</v>
      </c>
      <c r="C946" s="129"/>
      <c r="D946" s="262">
        <v>11</v>
      </c>
      <c r="E946" s="176" t="s">
        <v>428</v>
      </c>
      <c r="F946" s="149" t="s">
        <v>396</v>
      </c>
      <c r="G946" s="239"/>
      <c r="H946" s="416">
        <f>H947+H948+H949+H955</f>
        <v>95926</v>
      </c>
      <c r="I946" s="416">
        <f>I947+I948+I949+I955</f>
        <v>4130</v>
      </c>
      <c r="J946" s="416">
        <f t="shared" si="138"/>
        <v>100056</v>
      </c>
      <c r="K946" s="335"/>
      <c r="L946" s="426"/>
      <c r="M946" s="426"/>
      <c r="N946" s="426"/>
      <c r="O946" s="335"/>
      <c r="P946" s="336">
        <f t="shared" si="139"/>
        <v>95926</v>
      </c>
      <c r="Q946" s="336">
        <f t="shared" si="140"/>
        <v>4130</v>
      </c>
      <c r="R946" s="336">
        <f t="shared" si="141"/>
        <v>100056</v>
      </c>
    </row>
    <row r="947" spans="2:18" x14ac:dyDescent="0.2">
      <c r="B947" s="172">
        <f t="shared" si="131"/>
        <v>448</v>
      </c>
      <c r="C947" s="129"/>
      <c r="D947" s="129"/>
      <c r="E947" s="133"/>
      <c r="F947" s="145" t="s">
        <v>211</v>
      </c>
      <c r="G947" s="202" t="s">
        <v>506</v>
      </c>
      <c r="H947" s="543">
        <f>53690+2685</f>
        <v>56375</v>
      </c>
      <c r="I947" s="543"/>
      <c r="J947" s="543">
        <f t="shared" si="138"/>
        <v>56375</v>
      </c>
      <c r="K947" s="334"/>
      <c r="L947" s="544"/>
      <c r="M947" s="544"/>
      <c r="N947" s="544"/>
      <c r="O947" s="334"/>
      <c r="P947" s="545">
        <f t="shared" si="139"/>
        <v>56375</v>
      </c>
      <c r="Q947" s="545">
        <f t="shared" si="140"/>
        <v>0</v>
      </c>
      <c r="R947" s="545">
        <f t="shared" si="141"/>
        <v>56375</v>
      </c>
    </row>
    <row r="948" spans="2:18" x14ac:dyDescent="0.2">
      <c r="B948" s="172">
        <f t="shared" si="131"/>
        <v>449</v>
      </c>
      <c r="C948" s="129"/>
      <c r="D948" s="129"/>
      <c r="E948" s="133"/>
      <c r="F948" s="145" t="s">
        <v>212</v>
      </c>
      <c r="G948" s="202" t="s">
        <v>259</v>
      </c>
      <c r="H948" s="543">
        <f>18645+932</f>
        <v>19577</v>
      </c>
      <c r="I948" s="543"/>
      <c r="J948" s="543">
        <f t="shared" si="138"/>
        <v>19577</v>
      </c>
      <c r="K948" s="334"/>
      <c r="L948" s="544"/>
      <c r="M948" s="544"/>
      <c r="N948" s="544"/>
      <c r="O948" s="334"/>
      <c r="P948" s="545">
        <f t="shared" si="139"/>
        <v>19577</v>
      </c>
      <c r="Q948" s="545">
        <f t="shared" si="140"/>
        <v>0</v>
      </c>
      <c r="R948" s="545">
        <f t="shared" si="141"/>
        <v>19577</v>
      </c>
    </row>
    <row r="949" spans="2:18" x14ac:dyDescent="0.2">
      <c r="B949" s="172">
        <f t="shared" si="131"/>
        <v>450</v>
      </c>
      <c r="C949" s="129"/>
      <c r="D949" s="129"/>
      <c r="E949" s="133"/>
      <c r="F949" s="145" t="s">
        <v>218</v>
      </c>
      <c r="G949" s="202" t="s">
        <v>341</v>
      </c>
      <c r="H949" s="543">
        <f>SUM(H950:H954)</f>
        <v>19574</v>
      </c>
      <c r="I949" s="543">
        <f>SUM(I950:I954)</f>
        <v>4130</v>
      </c>
      <c r="J949" s="543">
        <f t="shared" si="138"/>
        <v>23704</v>
      </c>
      <c r="K949" s="334"/>
      <c r="L949" s="544"/>
      <c r="M949" s="544"/>
      <c r="N949" s="544"/>
      <c r="O949" s="334"/>
      <c r="P949" s="545">
        <f t="shared" si="139"/>
        <v>19574</v>
      </c>
      <c r="Q949" s="545">
        <f t="shared" si="140"/>
        <v>4130</v>
      </c>
      <c r="R949" s="545">
        <f t="shared" si="141"/>
        <v>23704</v>
      </c>
    </row>
    <row r="950" spans="2:18" x14ac:dyDescent="0.2">
      <c r="B950" s="172">
        <f t="shared" si="131"/>
        <v>451</v>
      </c>
      <c r="C950" s="129"/>
      <c r="D950" s="129"/>
      <c r="E950" s="133"/>
      <c r="F950" s="130" t="s">
        <v>213</v>
      </c>
      <c r="G950" s="194" t="s">
        <v>307</v>
      </c>
      <c r="H950" s="389">
        <v>500</v>
      </c>
      <c r="I950" s="389"/>
      <c r="J950" s="389">
        <f t="shared" si="138"/>
        <v>500</v>
      </c>
      <c r="K950" s="334"/>
      <c r="L950" s="544"/>
      <c r="M950" s="544"/>
      <c r="N950" s="544"/>
      <c r="O950" s="334"/>
      <c r="P950" s="169">
        <f t="shared" si="139"/>
        <v>500</v>
      </c>
      <c r="Q950" s="169">
        <f t="shared" si="140"/>
        <v>0</v>
      </c>
      <c r="R950" s="169">
        <f t="shared" si="141"/>
        <v>500</v>
      </c>
    </row>
    <row r="951" spans="2:18" x14ac:dyDescent="0.2">
      <c r="B951" s="172">
        <f t="shared" si="131"/>
        <v>452</v>
      </c>
      <c r="C951" s="129"/>
      <c r="D951" s="129"/>
      <c r="E951" s="133"/>
      <c r="F951" s="130" t="s">
        <v>199</v>
      </c>
      <c r="G951" s="194" t="s">
        <v>319</v>
      </c>
      <c r="H951" s="389">
        <v>6300</v>
      </c>
      <c r="I951" s="389"/>
      <c r="J951" s="389">
        <f t="shared" si="138"/>
        <v>6300</v>
      </c>
      <c r="K951" s="334"/>
      <c r="L951" s="544"/>
      <c r="M951" s="544"/>
      <c r="N951" s="544"/>
      <c r="O951" s="334"/>
      <c r="P951" s="169">
        <f t="shared" si="139"/>
        <v>6300</v>
      </c>
      <c r="Q951" s="169">
        <f t="shared" si="140"/>
        <v>0</v>
      </c>
      <c r="R951" s="169">
        <f t="shared" si="141"/>
        <v>6300</v>
      </c>
    </row>
    <row r="952" spans="2:18" x14ac:dyDescent="0.2">
      <c r="B952" s="172">
        <f t="shared" si="131"/>
        <v>453</v>
      </c>
      <c r="C952" s="129"/>
      <c r="D952" s="129"/>
      <c r="E952" s="133"/>
      <c r="F952" s="130" t="s">
        <v>200</v>
      </c>
      <c r="G952" s="194" t="s">
        <v>247</v>
      </c>
      <c r="H952" s="389">
        <v>2060</v>
      </c>
      <c r="I952" s="389"/>
      <c r="J952" s="389">
        <f t="shared" si="138"/>
        <v>2060</v>
      </c>
      <c r="K952" s="334"/>
      <c r="L952" s="544"/>
      <c r="M952" s="544"/>
      <c r="N952" s="544"/>
      <c r="O952" s="334"/>
      <c r="P952" s="169">
        <f t="shared" si="139"/>
        <v>2060</v>
      </c>
      <c r="Q952" s="169">
        <f t="shared" si="140"/>
        <v>0</v>
      </c>
      <c r="R952" s="169">
        <f t="shared" si="141"/>
        <v>2060</v>
      </c>
    </row>
    <row r="953" spans="2:18" x14ac:dyDescent="0.2">
      <c r="B953" s="172">
        <f t="shared" ref="B953:B1016" si="142">B952+1</f>
        <v>454</v>
      </c>
      <c r="C953" s="129"/>
      <c r="D953" s="129"/>
      <c r="E953" s="133"/>
      <c r="F953" s="133">
        <v>635</v>
      </c>
      <c r="G953" s="194" t="s">
        <v>261</v>
      </c>
      <c r="H953" s="389">
        <v>435</v>
      </c>
      <c r="I953" s="389"/>
      <c r="J953" s="389">
        <f t="shared" si="138"/>
        <v>435</v>
      </c>
      <c r="K953" s="334"/>
      <c r="L953" s="544"/>
      <c r="M953" s="544"/>
      <c r="N953" s="544"/>
      <c r="O953" s="334"/>
      <c r="P953" s="169">
        <f t="shared" si="139"/>
        <v>435</v>
      </c>
      <c r="Q953" s="169">
        <f t="shared" si="140"/>
        <v>0</v>
      </c>
      <c r="R953" s="169">
        <f t="shared" si="141"/>
        <v>435</v>
      </c>
    </row>
    <row r="954" spans="2:18" x14ac:dyDescent="0.2">
      <c r="B954" s="172">
        <f t="shared" si="142"/>
        <v>455</v>
      </c>
      <c r="C954" s="129"/>
      <c r="D954" s="129"/>
      <c r="E954" s="133"/>
      <c r="F954" s="130" t="s">
        <v>216</v>
      </c>
      <c r="G954" s="194" t="s">
        <v>248</v>
      </c>
      <c r="H954" s="389">
        <f>7915+2364</f>
        <v>10279</v>
      </c>
      <c r="I954" s="389">
        <v>4130</v>
      </c>
      <c r="J954" s="389">
        <f t="shared" si="138"/>
        <v>14409</v>
      </c>
      <c r="K954" s="334"/>
      <c r="L954" s="544"/>
      <c r="M954" s="544"/>
      <c r="N954" s="544"/>
      <c r="O954" s="334"/>
      <c r="P954" s="169">
        <f t="shared" si="139"/>
        <v>10279</v>
      </c>
      <c r="Q954" s="169">
        <f t="shared" si="140"/>
        <v>4130</v>
      </c>
      <c r="R954" s="169">
        <f t="shared" si="141"/>
        <v>14409</v>
      </c>
    </row>
    <row r="955" spans="2:18" x14ac:dyDescent="0.2">
      <c r="B955" s="172">
        <f t="shared" si="142"/>
        <v>456</v>
      </c>
      <c r="C955" s="129"/>
      <c r="D955" s="129"/>
      <c r="E955" s="133"/>
      <c r="F955" s="145" t="s">
        <v>217</v>
      </c>
      <c r="G955" s="202" t="s">
        <v>505</v>
      </c>
      <c r="H955" s="543">
        <v>400</v>
      </c>
      <c r="I955" s="543"/>
      <c r="J955" s="543">
        <f t="shared" si="138"/>
        <v>400</v>
      </c>
      <c r="K955" s="332"/>
      <c r="L955" s="428"/>
      <c r="M955" s="428"/>
      <c r="N955" s="428"/>
      <c r="O955" s="332"/>
      <c r="P955" s="545">
        <f t="shared" si="139"/>
        <v>400</v>
      </c>
      <c r="Q955" s="545">
        <f t="shared" si="140"/>
        <v>0</v>
      </c>
      <c r="R955" s="545">
        <f t="shared" si="141"/>
        <v>400</v>
      </c>
    </row>
    <row r="956" spans="2:18" x14ac:dyDescent="0.2">
      <c r="B956" s="172">
        <f t="shared" si="142"/>
        <v>457</v>
      </c>
      <c r="C956" s="129"/>
      <c r="D956" s="129"/>
      <c r="E956" s="133"/>
      <c r="F956" s="133"/>
      <c r="G956" s="202"/>
      <c r="H956" s="540"/>
      <c r="I956" s="540"/>
      <c r="J956" s="540"/>
      <c r="K956" s="131"/>
      <c r="L956" s="141"/>
      <c r="M956" s="141"/>
      <c r="N956" s="141"/>
      <c r="O956" s="131"/>
      <c r="P956" s="169"/>
      <c r="Q956" s="169"/>
      <c r="R956" s="169"/>
    </row>
    <row r="957" spans="2:18" x14ac:dyDescent="0.2">
      <c r="B957" s="172">
        <f t="shared" si="142"/>
        <v>458</v>
      </c>
      <c r="C957" s="129"/>
      <c r="D957" s="129"/>
      <c r="E957" s="133"/>
      <c r="F957" s="283">
        <v>640</v>
      </c>
      <c r="G957" s="284" t="s">
        <v>397</v>
      </c>
      <c r="H957" s="436">
        <v>144129</v>
      </c>
      <c r="I957" s="436"/>
      <c r="J957" s="436">
        <f>I957+H957</f>
        <v>144129</v>
      </c>
      <c r="K957" s="131"/>
      <c r="L957" s="440"/>
      <c r="M957" s="440"/>
      <c r="N957" s="440"/>
      <c r="O957" s="131"/>
      <c r="P957" s="286">
        <f>H957+L957</f>
        <v>144129</v>
      </c>
      <c r="Q957" s="286">
        <f>I957+M957</f>
        <v>0</v>
      </c>
      <c r="R957" s="286">
        <f>Q957+P957</f>
        <v>144129</v>
      </c>
    </row>
    <row r="958" spans="2:18" x14ac:dyDescent="0.2">
      <c r="B958" s="172">
        <f t="shared" si="142"/>
        <v>459</v>
      </c>
      <c r="C958" s="129"/>
      <c r="D958" s="129"/>
      <c r="E958" s="133"/>
      <c r="F958" s="283">
        <v>640</v>
      </c>
      <c r="G958" s="284" t="s">
        <v>398</v>
      </c>
      <c r="H958" s="423">
        <v>134195</v>
      </c>
      <c r="I958" s="423"/>
      <c r="J958" s="423">
        <f>I958+H958</f>
        <v>134195</v>
      </c>
      <c r="K958" s="131"/>
      <c r="L958" s="427"/>
      <c r="M958" s="427"/>
      <c r="N958" s="427"/>
      <c r="O958" s="131"/>
      <c r="P958" s="285">
        <f>H958+L958</f>
        <v>134195</v>
      </c>
      <c r="Q958" s="285">
        <f>I958+M958</f>
        <v>0</v>
      </c>
      <c r="R958" s="285">
        <f>Q958+P958</f>
        <v>134195</v>
      </c>
    </row>
    <row r="959" spans="2:18" x14ac:dyDescent="0.2">
      <c r="B959" s="172">
        <f t="shared" si="142"/>
        <v>460</v>
      </c>
      <c r="C959" s="129"/>
      <c r="D959" s="129"/>
      <c r="E959" s="133"/>
      <c r="F959" s="133"/>
      <c r="G959" s="202"/>
      <c r="H959" s="375"/>
      <c r="I959" s="375"/>
      <c r="J959" s="375"/>
      <c r="K959" s="131"/>
      <c r="L959" s="141"/>
      <c r="M959" s="141"/>
      <c r="N959" s="141"/>
      <c r="O959" s="131"/>
      <c r="P959" s="169"/>
      <c r="Q959" s="169"/>
      <c r="R959" s="169"/>
    </row>
    <row r="960" spans="2:18" ht="15.75" x14ac:dyDescent="0.25">
      <c r="B960" s="172">
        <f t="shared" si="142"/>
        <v>461</v>
      </c>
      <c r="C960" s="22">
        <v>4</v>
      </c>
      <c r="D960" s="126" t="s">
        <v>108</v>
      </c>
      <c r="E960" s="23"/>
      <c r="F960" s="23"/>
      <c r="G960" s="193"/>
      <c r="H960" s="404">
        <f>H961+H1074+H1225+H1226+H1227+H1228</f>
        <v>1085042</v>
      </c>
      <c r="I960" s="404">
        <f>I961+I1074+I1225+I1226+I1227+I1228</f>
        <v>-16880</v>
      </c>
      <c r="J960" s="404">
        <f t="shared" ref="J960:J999" si="143">I960+H960</f>
        <v>1068162</v>
      </c>
      <c r="K960" s="786"/>
      <c r="L960" s="198">
        <f>L961+L1074</f>
        <v>143480</v>
      </c>
      <c r="M960" s="198">
        <f>M961+M1074</f>
        <v>0</v>
      </c>
      <c r="N960" s="198">
        <f>M960+L960</f>
        <v>143480</v>
      </c>
      <c r="O960" s="786"/>
      <c r="P960" s="377">
        <f t="shared" ref="P960:P1023" si="144">H960+L960</f>
        <v>1228522</v>
      </c>
      <c r="Q960" s="377">
        <f t="shared" ref="Q960:Q1023" si="145">I960+M960</f>
        <v>-16880</v>
      </c>
      <c r="R960" s="377">
        <f t="shared" ref="R960:R1023" si="146">Q960+P960</f>
        <v>1211642</v>
      </c>
    </row>
    <row r="961" spans="2:18" ht="15" x14ac:dyDescent="0.25">
      <c r="B961" s="172">
        <f t="shared" si="142"/>
        <v>462</v>
      </c>
      <c r="C961" s="144"/>
      <c r="D961" s="145"/>
      <c r="E961" s="171" t="s">
        <v>414</v>
      </c>
      <c r="F961" s="145"/>
      <c r="G961" s="202"/>
      <c r="H961" s="415">
        <f>H962+H970+H978+H985+H992+H1001+H1009+H1018+H1026+H1034+H1042+H1050+H1058+H1066</f>
        <v>362045</v>
      </c>
      <c r="I961" s="415">
        <f>I962+I970+I978+I985+I992+I1001+I1009+I1018+I1026+I1034+I1042+I1050+I1058+I1066</f>
        <v>-16880</v>
      </c>
      <c r="J961" s="415">
        <f t="shared" si="143"/>
        <v>345165</v>
      </c>
      <c r="K961" s="330"/>
      <c r="L961" s="419">
        <f>L962+L970+L978+L985+L992+L1001+L1009+L1018+L1026+L1034+L1042+L1050+L1058+L1066</f>
        <v>56980</v>
      </c>
      <c r="M961" s="419">
        <f>M962+M970+M978+M985+M992+M1001+M1009+M1018+M1026+M1034+M1042+M1050+M1058+M1066</f>
        <v>0</v>
      </c>
      <c r="N961" s="419">
        <f>M961+L961</f>
        <v>56980</v>
      </c>
      <c r="O961" s="330"/>
      <c r="P961" s="338">
        <f t="shared" si="144"/>
        <v>419025</v>
      </c>
      <c r="Q961" s="338">
        <f t="shared" si="145"/>
        <v>-16880</v>
      </c>
      <c r="R961" s="338">
        <f t="shared" si="146"/>
        <v>402145</v>
      </c>
    </row>
    <row r="962" spans="2:18" ht="15" x14ac:dyDescent="0.25">
      <c r="B962" s="172">
        <f t="shared" si="142"/>
        <v>463</v>
      </c>
      <c r="C962" s="144"/>
      <c r="D962" s="261" t="s">
        <v>4</v>
      </c>
      <c r="E962" s="176" t="s">
        <v>405</v>
      </c>
      <c r="F962" s="149" t="s">
        <v>399</v>
      </c>
      <c r="G962" s="239"/>
      <c r="H962" s="416">
        <f>H963+H964+H965</f>
        <v>18449</v>
      </c>
      <c r="I962" s="416">
        <f>I963+I964+I965</f>
        <v>-1112</v>
      </c>
      <c r="J962" s="416">
        <f t="shared" si="143"/>
        <v>17337</v>
      </c>
      <c r="K962" s="330"/>
      <c r="L962" s="421">
        <f>L969</f>
        <v>600</v>
      </c>
      <c r="M962" s="421">
        <f>M969</f>
        <v>0</v>
      </c>
      <c r="N962" s="421">
        <f>M962+L962</f>
        <v>600</v>
      </c>
      <c r="O962" s="330"/>
      <c r="P962" s="328">
        <f t="shared" si="144"/>
        <v>19049</v>
      </c>
      <c r="Q962" s="328">
        <f t="shared" si="145"/>
        <v>-1112</v>
      </c>
      <c r="R962" s="328">
        <f t="shared" si="146"/>
        <v>17937</v>
      </c>
    </row>
    <row r="963" spans="2:18" x14ac:dyDescent="0.2">
      <c r="B963" s="172">
        <f t="shared" si="142"/>
        <v>464</v>
      </c>
      <c r="C963" s="144"/>
      <c r="D963" s="145"/>
      <c r="E963" s="145"/>
      <c r="F963" s="145" t="s">
        <v>211</v>
      </c>
      <c r="G963" s="202" t="s">
        <v>506</v>
      </c>
      <c r="H963" s="543">
        <f>11520+576</f>
        <v>12096</v>
      </c>
      <c r="I963" s="543">
        <v>-883</v>
      </c>
      <c r="J963" s="543">
        <f t="shared" si="143"/>
        <v>11213</v>
      </c>
      <c r="K963" s="332"/>
      <c r="L963" s="390"/>
      <c r="M963" s="390"/>
      <c r="N963" s="390"/>
      <c r="O963" s="332"/>
      <c r="P963" s="167">
        <f t="shared" si="144"/>
        <v>12096</v>
      </c>
      <c r="Q963" s="167">
        <f t="shared" si="145"/>
        <v>-883</v>
      </c>
      <c r="R963" s="167">
        <f t="shared" si="146"/>
        <v>11213</v>
      </c>
    </row>
    <row r="964" spans="2:18" x14ac:dyDescent="0.2">
      <c r="B964" s="172">
        <f t="shared" si="142"/>
        <v>465</v>
      </c>
      <c r="C964" s="144"/>
      <c r="D964" s="145"/>
      <c r="E964" s="145"/>
      <c r="F964" s="145" t="s">
        <v>212</v>
      </c>
      <c r="G964" s="206" t="s">
        <v>259</v>
      </c>
      <c r="H964" s="543">
        <f>4117+206</f>
        <v>4323</v>
      </c>
      <c r="I964" s="543">
        <v>-229</v>
      </c>
      <c r="J964" s="543">
        <f t="shared" si="143"/>
        <v>4094</v>
      </c>
      <c r="K964" s="332"/>
      <c r="L964" s="390"/>
      <c r="M964" s="390"/>
      <c r="N964" s="390"/>
      <c r="O964" s="332"/>
      <c r="P964" s="167">
        <f t="shared" si="144"/>
        <v>4323</v>
      </c>
      <c r="Q964" s="167">
        <f t="shared" si="145"/>
        <v>-229</v>
      </c>
      <c r="R964" s="167">
        <f t="shared" si="146"/>
        <v>4094</v>
      </c>
    </row>
    <row r="965" spans="2:18" x14ac:dyDescent="0.2">
      <c r="B965" s="172">
        <f t="shared" si="142"/>
        <v>466</v>
      </c>
      <c r="C965" s="129"/>
      <c r="D965" s="130"/>
      <c r="E965" s="130"/>
      <c r="F965" s="145" t="s">
        <v>218</v>
      </c>
      <c r="G965" s="202" t="s">
        <v>341</v>
      </c>
      <c r="H965" s="543">
        <f>SUM(H966:H968)</f>
        <v>2030</v>
      </c>
      <c r="I965" s="543">
        <f>SUM(I966:I968)</f>
        <v>0</v>
      </c>
      <c r="J965" s="543">
        <f t="shared" si="143"/>
        <v>2030</v>
      </c>
      <c r="K965" s="334"/>
      <c r="L965" s="430"/>
      <c r="M965" s="430"/>
      <c r="N965" s="430"/>
      <c r="O965" s="334"/>
      <c r="P965" s="167">
        <f t="shared" si="144"/>
        <v>2030</v>
      </c>
      <c r="Q965" s="167">
        <f t="shared" si="145"/>
        <v>0</v>
      </c>
      <c r="R965" s="167">
        <f t="shared" si="146"/>
        <v>2030</v>
      </c>
    </row>
    <row r="966" spans="2:18" x14ac:dyDescent="0.2">
      <c r="B966" s="172">
        <f t="shared" si="142"/>
        <v>467</v>
      </c>
      <c r="C966" s="129"/>
      <c r="D966" s="130"/>
      <c r="E966" s="130"/>
      <c r="F966" s="130" t="s">
        <v>200</v>
      </c>
      <c r="G966" s="194" t="s">
        <v>247</v>
      </c>
      <c r="H966" s="389">
        <v>1170</v>
      </c>
      <c r="I966" s="389"/>
      <c r="J966" s="389">
        <f t="shared" si="143"/>
        <v>1170</v>
      </c>
      <c r="K966" s="334"/>
      <c r="L966" s="430"/>
      <c r="M966" s="430"/>
      <c r="N966" s="430"/>
      <c r="O966" s="334"/>
      <c r="P966" s="168">
        <f t="shared" si="144"/>
        <v>1170</v>
      </c>
      <c r="Q966" s="168">
        <f t="shared" si="145"/>
        <v>0</v>
      </c>
      <c r="R966" s="168">
        <f t="shared" si="146"/>
        <v>1170</v>
      </c>
    </row>
    <row r="967" spans="2:18" x14ac:dyDescent="0.2">
      <c r="B967" s="172">
        <f t="shared" si="142"/>
        <v>468</v>
      </c>
      <c r="C967" s="129"/>
      <c r="D967" s="130"/>
      <c r="E967" s="130"/>
      <c r="F967" s="130" t="s">
        <v>214</v>
      </c>
      <c r="G967" s="205" t="s">
        <v>261</v>
      </c>
      <c r="H967" s="389">
        <v>100</v>
      </c>
      <c r="I967" s="389"/>
      <c r="J967" s="389">
        <f t="shared" si="143"/>
        <v>100</v>
      </c>
      <c r="K967" s="334"/>
      <c r="L967" s="430"/>
      <c r="M967" s="430"/>
      <c r="N967" s="430"/>
      <c r="O967" s="334"/>
      <c r="P967" s="168">
        <f t="shared" si="144"/>
        <v>100</v>
      </c>
      <c r="Q967" s="168">
        <f t="shared" si="145"/>
        <v>0</v>
      </c>
      <c r="R967" s="168">
        <f t="shared" si="146"/>
        <v>100</v>
      </c>
    </row>
    <row r="968" spans="2:18" x14ac:dyDescent="0.2">
      <c r="B968" s="172">
        <f t="shared" si="142"/>
        <v>469</v>
      </c>
      <c r="C968" s="129"/>
      <c r="D968" s="130"/>
      <c r="E968" s="130"/>
      <c r="F968" s="130" t="s">
        <v>216</v>
      </c>
      <c r="G968" s="194" t="s">
        <v>248</v>
      </c>
      <c r="H968" s="389">
        <v>760</v>
      </c>
      <c r="I968" s="389"/>
      <c r="J968" s="389">
        <f t="shared" si="143"/>
        <v>760</v>
      </c>
      <c r="K968" s="334"/>
      <c r="L968" s="430"/>
      <c r="M968" s="430"/>
      <c r="N968" s="430"/>
      <c r="O968" s="334"/>
      <c r="P968" s="168">
        <f t="shared" si="144"/>
        <v>760</v>
      </c>
      <c r="Q968" s="168">
        <f t="shared" si="145"/>
        <v>0</v>
      </c>
      <c r="R968" s="168">
        <f t="shared" si="146"/>
        <v>760</v>
      </c>
    </row>
    <row r="969" spans="2:18" x14ac:dyDescent="0.2">
      <c r="B969" s="172">
        <f t="shared" si="142"/>
        <v>470</v>
      </c>
      <c r="C969" s="129"/>
      <c r="D969" s="130"/>
      <c r="E969" s="170"/>
      <c r="F969" s="145" t="s">
        <v>607</v>
      </c>
      <c r="G969" s="202" t="s">
        <v>728</v>
      </c>
      <c r="H969" s="389"/>
      <c r="I969" s="389"/>
      <c r="J969" s="389">
        <f t="shared" si="143"/>
        <v>0</v>
      </c>
      <c r="K969" s="334"/>
      <c r="L969" s="430">
        <v>600</v>
      </c>
      <c r="M969" s="430"/>
      <c r="N969" s="430">
        <f>M969+L969</f>
        <v>600</v>
      </c>
      <c r="O969" s="334"/>
      <c r="P969" s="167">
        <f t="shared" si="144"/>
        <v>600</v>
      </c>
      <c r="Q969" s="167">
        <f t="shared" si="145"/>
        <v>0</v>
      </c>
      <c r="R969" s="167">
        <f t="shared" si="146"/>
        <v>600</v>
      </c>
    </row>
    <row r="970" spans="2:18" ht="15" x14ac:dyDescent="0.25">
      <c r="B970" s="172">
        <f t="shared" si="142"/>
        <v>471</v>
      </c>
      <c r="C970" s="129"/>
      <c r="D970" s="261" t="s">
        <v>5</v>
      </c>
      <c r="E970" s="176" t="s">
        <v>405</v>
      </c>
      <c r="F970" s="149" t="s">
        <v>400</v>
      </c>
      <c r="G970" s="239"/>
      <c r="H970" s="416">
        <f>SUM(H971:H973)</f>
        <v>22178</v>
      </c>
      <c r="I970" s="416">
        <f>SUM(I971:I973)</f>
        <v>217</v>
      </c>
      <c r="J970" s="416">
        <f t="shared" si="143"/>
        <v>22395</v>
      </c>
      <c r="K970" s="330"/>
      <c r="L970" s="421">
        <f>L977</f>
        <v>2960</v>
      </c>
      <c r="M970" s="421">
        <f>M977</f>
        <v>0</v>
      </c>
      <c r="N970" s="421">
        <f>M970+L970</f>
        <v>2960</v>
      </c>
      <c r="O970" s="330"/>
      <c r="P970" s="328">
        <f t="shared" si="144"/>
        <v>25138</v>
      </c>
      <c r="Q970" s="328">
        <f t="shared" si="145"/>
        <v>217</v>
      </c>
      <c r="R970" s="328">
        <f t="shared" si="146"/>
        <v>25355</v>
      </c>
    </row>
    <row r="971" spans="2:18" x14ac:dyDescent="0.2">
      <c r="B971" s="172">
        <f t="shared" si="142"/>
        <v>472</v>
      </c>
      <c r="C971" s="129"/>
      <c r="D971" s="130"/>
      <c r="E971" s="130"/>
      <c r="F971" s="145" t="s">
        <v>211</v>
      </c>
      <c r="G971" s="202" t="s">
        <v>506</v>
      </c>
      <c r="H971" s="375">
        <f>13950+698</f>
        <v>14648</v>
      </c>
      <c r="I971" s="375">
        <v>249</v>
      </c>
      <c r="J971" s="375">
        <f t="shared" si="143"/>
        <v>14897</v>
      </c>
      <c r="K971" s="131"/>
      <c r="L971" s="143"/>
      <c r="M971" s="143"/>
      <c r="N971" s="143"/>
      <c r="O971" s="131"/>
      <c r="P971" s="167">
        <f t="shared" si="144"/>
        <v>14648</v>
      </c>
      <c r="Q971" s="167">
        <f t="shared" si="145"/>
        <v>249</v>
      </c>
      <c r="R971" s="167">
        <f t="shared" si="146"/>
        <v>14897</v>
      </c>
    </row>
    <row r="972" spans="2:18" x14ac:dyDescent="0.2">
      <c r="B972" s="172">
        <f t="shared" si="142"/>
        <v>473</v>
      </c>
      <c r="C972" s="129"/>
      <c r="D972" s="130"/>
      <c r="E972" s="130"/>
      <c r="F972" s="145" t="s">
        <v>212</v>
      </c>
      <c r="G972" s="202" t="s">
        <v>259</v>
      </c>
      <c r="H972" s="375">
        <f>5114+256</f>
        <v>5370</v>
      </c>
      <c r="I972" s="375">
        <v>-32</v>
      </c>
      <c r="J972" s="375">
        <f t="shared" si="143"/>
        <v>5338</v>
      </c>
      <c r="K972" s="131"/>
      <c r="L972" s="143"/>
      <c r="M972" s="143"/>
      <c r="N972" s="143"/>
      <c r="O972" s="131"/>
      <c r="P972" s="167">
        <f t="shared" si="144"/>
        <v>5370</v>
      </c>
      <c r="Q972" s="167">
        <f t="shared" si="145"/>
        <v>-32</v>
      </c>
      <c r="R972" s="167">
        <f t="shared" si="146"/>
        <v>5338</v>
      </c>
    </row>
    <row r="973" spans="2:18" x14ac:dyDescent="0.2">
      <c r="B973" s="172">
        <f t="shared" si="142"/>
        <v>474</v>
      </c>
      <c r="C973" s="129"/>
      <c r="D973" s="130"/>
      <c r="E973" s="130"/>
      <c r="F973" s="145" t="s">
        <v>218</v>
      </c>
      <c r="G973" s="202" t="s">
        <v>341</v>
      </c>
      <c r="H973" s="375">
        <f>SUM(H974:H976)</f>
        <v>2160</v>
      </c>
      <c r="I973" s="375">
        <f>SUM(I974:I976)</f>
        <v>0</v>
      </c>
      <c r="J973" s="375">
        <f t="shared" si="143"/>
        <v>2160</v>
      </c>
      <c r="K973" s="131"/>
      <c r="L973" s="143"/>
      <c r="M973" s="143"/>
      <c r="N973" s="143"/>
      <c r="O973" s="131"/>
      <c r="P973" s="167">
        <f t="shared" si="144"/>
        <v>2160</v>
      </c>
      <c r="Q973" s="167">
        <f t="shared" si="145"/>
        <v>0</v>
      </c>
      <c r="R973" s="167">
        <f t="shared" si="146"/>
        <v>2160</v>
      </c>
    </row>
    <row r="974" spans="2:18" x14ac:dyDescent="0.2">
      <c r="B974" s="172">
        <f t="shared" si="142"/>
        <v>475</v>
      </c>
      <c r="C974" s="129"/>
      <c r="D974" s="130"/>
      <c r="E974" s="130"/>
      <c r="F974" s="130" t="s">
        <v>200</v>
      </c>
      <c r="G974" s="194" t="s">
        <v>247</v>
      </c>
      <c r="H974" s="540">
        <v>1230</v>
      </c>
      <c r="I974" s="540"/>
      <c r="J974" s="540">
        <f t="shared" si="143"/>
        <v>1230</v>
      </c>
      <c r="K974" s="131"/>
      <c r="L974" s="143"/>
      <c r="M974" s="143"/>
      <c r="N974" s="143"/>
      <c r="O974" s="131"/>
      <c r="P974" s="168">
        <f t="shared" si="144"/>
        <v>1230</v>
      </c>
      <c r="Q974" s="168">
        <f t="shared" si="145"/>
        <v>0</v>
      </c>
      <c r="R974" s="168">
        <f t="shared" si="146"/>
        <v>1230</v>
      </c>
    </row>
    <row r="975" spans="2:18" x14ac:dyDescent="0.2">
      <c r="B975" s="172">
        <f t="shared" si="142"/>
        <v>476</v>
      </c>
      <c r="C975" s="129"/>
      <c r="D975" s="130"/>
      <c r="E975" s="130"/>
      <c r="F975" s="130" t="s">
        <v>214</v>
      </c>
      <c r="G975" s="194" t="s">
        <v>261</v>
      </c>
      <c r="H975" s="540">
        <v>100</v>
      </c>
      <c r="I975" s="540"/>
      <c r="J975" s="540">
        <f t="shared" si="143"/>
        <v>100</v>
      </c>
      <c r="K975" s="131"/>
      <c r="L975" s="143"/>
      <c r="M975" s="143"/>
      <c r="N975" s="143"/>
      <c r="O975" s="131"/>
      <c r="P975" s="168">
        <f t="shared" si="144"/>
        <v>100</v>
      </c>
      <c r="Q975" s="168">
        <f t="shared" si="145"/>
        <v>0</v>
      </c>
      <c r="R975" s="168">
        <f t="shared" si="146"/>
        <v>100</v>
      </c>
    </row>
    <row r="976" spans="2:18" x14ac:dyDescent="0.2">
      <c r="B976" s="172">
        <f t="shared" si="142"/>
        <v>477</v>
      </c>
      <c r="C976" s="129"/>
      <c r="D976" s="130"/>
      <c r="E976" s="130"/>
      <c r="F976" s="130" t="s">
        <v>216</v>
      </c>
      <c r="G976" s="194" t="s">
        <v>248</v>
      </c>
      <c r="H976" s="540">
        <v>830</v>
      </c>
      <c r="I976" s="540"/>
      <c r="J976" s="540">
        <f t="shared" si="143"/>
        <v>830</v>
      </c>
      <c r="K976" s="131"/>
      <c r="L976" s="143"/>
      <c r="M976" s="143"/>
      <c r="N976" s="143"/>
      <c r="O976" s="131"/>
      <c r="P976" s="168">
        <f t="shared" si="144"/>
        <v>830</v>
      </c>
      <c r="Q976" s="168">
        <f t="shared" si="145"/>
        <v>0</v>
      </c>
      <c r="R976" s="168">
        <f t="shared" si="146"/>
        <v>830</v>
      </c>
    </row>
    <row r="977" spans="2:18" x14ac:dyDescent="0.2">
      <c r="B977" s="172">
        <f t="shared" si="142"/>
        <v>478</v>
      </c>
      <c r="C977" s="129"/>
      <c r="D977" s="130"/>
      <c r="E977" s="170"/>
      <c r="F977" s="282" t="s">
        <v>607</v>
      </c>
      <c r="G977" s="206" t="s">
        <v>729</v>
      </c>
      <c r="H977" s="540"/>
      <c r="I977" s="540"/>
      <c r="J977" s="540">
        <f t="shared" si="143"/>
        <v>0</v>
      </c>
      <c r="K977" s="131"/>
      <c r="L977" s="384">
        <v>2960</v>
      </c>
      <c r="M977" s="384"/>
      <c r="N977" s="384">
        <f>M977+L977</f>
        <v>2960</v>
      </c>
      <c r="O977" s="131"/>
      <c r="P977" s="167">
        <f t="shared" si="144"/>
        <v>2960</v>
      </c>
      <c r="Q977" s="167">
        <f t="shared" si="145"/>
        <v>0</v>
      </c>
      <c r="R977" s="167">
        <f t="shared" si="146"/>
        <v>2960</v>
      </c>
    </row>
    <row r="978" spans="2:18" ht="15" x14ac:dyDescent="0.25">
      <c r="B978" s="172">
        <f t="shared" si="142"/>
        <v>479</v>
      </c>
      <c r="C978" s="129"/>
      <c r="D978" s="261" t="s">
        <v>6</v>
      </c>
      <c r="E978" s="176" t="s">
        <v>405</v>
      </c>
      <c r="F978" s="149" t="s">
        <v>401</v>
      </c>
      <c r="G978" s="239"/>
      <c r="H978" s="416">
        <f>SUM(H979:H981)</f>
        <v>21566</v>
      </c>
      <c r="I978" s="416">
        <f>SUM(I979:I981)</f>
        <v>-5090</v>
      </c>
      <c r="J978" s="416">
        <f t="shared" si="143"/>
        <v>16476</v>
      </c>
      <c r="K978" s="330"/>
      <c r="L978" s="421"/>
      <c r="M978" s="421"/>
      <c r="N978" s="421"/>
      <c r="O978" s="330"/>
      <c r="P978" s="328">
        <f t="shared" si="144"/>
        <v>21566</v>
      </c>
      <c r="Q978" s="328">
        <f t="shared" si="145"/>
        <v>-5090</v>
      </c>
      <c r="R978" s="328">
        <f t="shared" si="146"/>
        <v>16476</v>
      </c>
    </row>
    <row r="979" spans="2:18" x14ac:dyDescent="0.2">
      <c r="B979" s="172">
        <f t="shared" si="142"/>
        <v>480</v>
      </c>
      <c r="C979" s="129"/>
      <c r="D979" s="130"/>
      <c r="E979" s="130"/>
      <c r="F979" s="145" t="s">
        <v>211</v>
      </c>
      <c r="G979" s="202" t="s">
        <v>506</v>
      </c>
      <c r="H979" s="375">
        <f>13710+686</f>
        <v>14396</v>
      </c>
      <c r="I979" s="375">
        <v>-3795</v>
      </c>
      <c r="J979" s="375">
        <f t="shared" si="143"/>
        <v>10601</v>
      </c>
      <c r="K979" s="131"/>
      <c r="L979" s="143"/>
      <c r="M979" s="143"/>
      <c r="N979" s="143"/>
      <c r="O979" s="131"/>
      <c r="P979" s="167">
        <f t="shared" si="144"/>
        <v>14396</v>
      </c>
      <c r="Q979" s="167">
        <f t="shared" si="145"/>
        <v>-3795</v>
      </c>
      <c r="R979" s="167">
        <f t="shared" si="146"/>
        <v>10601</v>
      </c>
    </row>
    <row r="980" spans="2:18" x14ac:dyDescent="0.2">
      <c r="B980" s="172">
        <f t="shared" si="142"/>
        <v>481</v>
      </c>
      <c r="C980" s="129"/>
      <c r="D980" s="130"/>
      <c r="E980" s="130"/>
      <c r="F980" s="145" t="s">
        <v>212</v>
      </c>
      <c r="G980" s="202" t="s">
        <v>259</v>
      </c>
      <c r="H980" s="375">
        <f>4924+246</f>
        <v>5170</v>
      </c>
      <c r="I980" s="375">
        <v>-1295</v>
      </c>
      <c r="J980" s="375">
        <f t="shared" si="143"/>
        <v>3875</v>
      </c>
      <c r="K980" s="131"/>
      <c r="L980" s="143"/>
      <c r="M980" s="143"/>
      <c r="N980" s="143"/>
      <c r="O980" s="131"/>
      <c r="P980" s="167">
        <f t="shared" si="144"/>
        <v>5170</v>
      </c>
      <c r="Q980" s="167">
        <f t="shared" si="145"/>
        <v>-1295</v>
      </c>
      <c r="R980" s="167">
        <f t="shared" si="146"/>
        <v>3875</v>
      </c>
    </row>
    <row r="981" spans="2:18" x14ac:dyDescent="0.2">
      <c r="B981" s="172">
        <f t="shared" si="142"/>
        <v>482</v>
      </c>
      <c r="C981" s="129"/>
      <c r="D981" s="130"/>
      <c r="E981" s="130"/>
      <c r="F981" s="145" t="s">
        <v>218</v>
      </c>
      <c r="G981" s="202" t="s">
        <v>341</v>
      </c>
      <c r="H981" s="375">
        <f>SUM(H982:H984)</f>
        <v>2000</v>
      </c>
      <c r="I981" s="375">
        <f>SUM(I982:I984)</f>
        <v>0</v>
      </c>
      <c r="J981" s="375">
        <f t="shared" si="143"/>
        <v>2000</v>
      </c>
      <c r="K981" s="131"/>
      <c r="L981" s="143"/>
      <c r="M981" s="143"/>
      <c r="N981" s="143"/>
      <c r="O981" s="131"/>
      <c r="P981" s="167">
        <f t="shared" si="144"/>
        <v>2000</v>
      </c>
      <c r="Q981" s="167">
        <f t="shared" si="145"/>
        <v>0</v>
      </c>
      <c r="R981" s="167">
        <f t="shared" si="146"/>
        <v>2000</v>
      </c>
    </row>
    <row r="982" spans="2:18" x14ac:dyDescent="0.2">
      <c r="B982" s="172">
        <f t="shared" si="142"/>
        <v>483</v>
      </c>
      <c r="C982" s="129"/>
      <c r="D982" s="130"/>
      <c r="E982" s="130"/>
      <c r="F982" s="130" t="s">
        <v>200</v>
      </c>
      <c r="G982" s="194" t="s">
        <v>247</v>
      </c>
      <c r="H982" s="540">
        <v>1020</v>
      </c>
      <c r="I982" s="540"/>
      <c r="J982" s="540">
        <f t="shared" si="143"/>
        <v>1020</v>
      </c>
      <c r="K982" s="131"/>
      <c r="L982" s="143"/>
      <c r="M982" s="143"/>
      <c r="N982" s="143"/>
      <c r="O982" s="131"/>
      <c r="P982" s="168">
        <f t="shared" si="144"/>
        <v>1020</v>
      </c>
      <c r="Q982" s="168">
        <f t="shared" si="145"/>
        <v>0</v>
      </c>
      <c r="R982" s="168">
        <f t="shared" si="146"/>
        <v>1020</v>
      </c>
    </row>
    <row r="983" spans="2:18" x14ac:dyDescent="0.2">
      <c r="B983" s="172">
        <f t="shared" si="142"/>
        <v>484</v>
      </c>
      <c r="C983" s="129"/>
      <c r="D983" s="130"/>
      <c r="E983" s="130"/>
      <c r="F983" s="130" t="s">
        <v>214</v>
      </c>
      <c r="G983" s="194" t="s">
        <v>261</v>
      </c>
      <c r="H983" s="540">
        <v>100</v>
      </c>
      <c r="I983" s="540"/>
      <c r="J983" s="540">
        <f t="shared" si="143"/>
        <v>100</v>
      </c>
      <c r="K983" s="131"/>
      <c r="L983" s="143"/>
      <c r="M983" s="143"/>
      <c r="N983" s="143"/>
      <c r="O983" s="131"/>
      <c r="P983" s="168">
        <f t="shared" si="144"/>
        <v>100</v>
      </c>
      <c r="Q983" s="168">
        <f t="shared" si="145"/>
        <v>0</v>
      </c>
      <c r="R983" s="168">
        <f t="shared" si="146"/>
        <v>100</v>
      </c>
    </row>
    <row r="984" spans="2:18" x14ac:dyDescent="0.2">
      <c r="B984" s="172">
        <f t="shared" si="142"/>
        <v>485</v>
      </c>
      <c r="C984" s="129"/>
      <c r="D984" s="130"/>
      <c r="E984" s="130"/>
      <c r="F984" s="130" t="s">
        <v>216</v>
      </c>
      <c r="G984" s="194" t="s">
        <v>248</v>
      </c>
      <c r="H984" s="540">
        <v>880</v>
      </c>
      <c r="I984" s="540"/>
      <c r="J984" s="540">
        <f t="shared" si="143"/>
        <v>880</v>
      </c>
      <c r="K984" s="131"/>
      <c r="L984" s="143"/>
      <c r="M984" s="143"/>
      <c r="N984" s="143"/>
      <c r="O984" s="131"/>
      <c r="P984" s="168">
        <f t="shared" si="144"/>
        <v>880</v>
      </c>
      <c r="Q984" s="168">
        <f t="shared" si="145"/>
        <v>0</v>
      </c>
      <c r="R984" s="168">
        <f t="shared" si="146"/>
        <v>880</v>
      </c>
    </row>
    <row r="985" spans="2:18" ht="15" x14ac:dyDescent="0.25">
      <c r="B985" s="172">
        <f t="shared" si="142"/>
        <v>486</v>
      </c>
      <c r="C985" s="129"/>
      <c r="D985" s="261" t="s">
        <v>7</v>
      </c>
      <c r="E985" s="176" t="s">
        <v>405</v>
      </c>
      <c r="F985" s="149" t="s">
        <v>402</v>
      </c>
      <c r="G985" s="239"/>
      <c r="H985" s="416">
        <f>SUM(H986:H988)</f>
        <v>29901</v>
      </c>
      <c r="I985" s="416">
        <f>SUM(I986:I988)</f>
        <v>-9041</v>
      </c>
      <c r="J985" s="416">
        <f t="shared" si="143"/>
        <v>20860</v>
      </c>
      <c r="K985" s="330"/>
      <c r="L985" s="421"/>
      <c r="M985" s="421"/>
      <c r="N985" s="421"/>
      <c r="O985" s="330"/>
      <c r="P985" s="328">
        <f t="shared" si="144"/>
        <v>29901</v>
      </c>
      <c r="Q985" s="328">
        <f t="shared" si="145"/>
        <v>-9041</v>
      </c>
      <c r="R985" s="328">
        <f t="shared" si="146"/>
        <v>20860</v>
      </c>
    </row>
    <row r="986" spans="2:18" x14ac:dyDescent="0.2">
      <c r="B986" s="172">
        <f t="shared" si="142"/>
        <v>487</v>
      </c>
      <c r="C986" s="129"/>
      <c r="D986" s="130"/>
      <c r="E986" s="130"/>
      <c r="F986" s="145" t="s">
        <v>211</v>
      </c>
      <c r="G986" s="202" t="s">
        <v>506</v>
      </c>
      <c r="H986" s="375">
        <f>19220+961</f>
        <v>20181</v>
      </c>
      <c r="I986" s="375">
        <v>-6491</v>
      </c>
      <c r="J986" s="375">
        <f t="shared" si="143"/>
        <v>13690</v>
      </c>
      <c r="K986" s="131"/>
      <c r="L986" s="143"/>
      <c r="M986" s="143"/>
      <c r="N986" s="143"/>
      <c r="O986" s="131"/>
      <c r="P986" s="167">
        <f t="shared" si="144"/>
        <v>20181</v>
      </c>
      <c r="Q986" s="167">
        <f t="shared" si="145"/>
        <v>-6491</v>
      </c>
      <c r="R986" s="167">
        <f t="shared" si="146"/>
        <v>13690</v>
      </c>
    </row>
    <row r="987" spans="2:18" x14ac:dyDescent="0.2">
      <c r="B987" s="172">
        <f t="shared" si="142"/>
        <v>488</v>
      </c>
      <c r="C987" s="129"/>
      <c r="D987" s="130"/>
      <c r="E987" s="130"/>
      <c r="F987" s="145" t="s">
        <v>212</v>
      </c>
      <c r="G987" s="202" t="s">
        <v>259</v>
      </c>
      <c r="H987" s="375">
        <f>7171+359</f>
        <v>7530</v>
      </c>
      <c r="I987" s="375">
        <v>-2550</v>
      </c>
      <c r="J987" s="375">
        <f t="shared" si="143"/>
        <v>4980</v>
      </c>
      <c r="K987" s="131"/>
      <c r="L987" s="143"/>
      <c r="M987" s="143"/>
      <c r="N987" s="143"/>
      <c r="O987" s="131"/>
      <c r="P987" s="167">
        <f t="shared" si="144"/>
        <v>7530</v>
      </c>
      <c r="Q987" s="167">
        <f t="shared" si="145"/>
        <v>-2550</v>
      </c>
      <c r="R987" s="167">
        <f t="shared" si="146"/>
        <v>4980</v>
      </c>
    </row>
    <row r="988" spans="2:18" x14ac:dyDescent="0.2">
      <c r="B988" s="172">
        <f t="shared" si="142"/>
        <v>489</v>
      </c>
      <c r="C988" s="129"/>
      <c r="D988" s="130"/>
      <c r="E988" s="130"/>
      <c r="F988" s="145" t="s">
        <v>218</v>
      </c>
      <c r="G988" s="202" t="s">
        <v>341</v>
      </c>
      <c r="H988" s="375">
        <f>SUM(H989:H991)</f>
        <v>2190</v>
      </c>
      <c r="I988" s="375">
        <f>SUM(I989:I991)</f>
        <v>0</v>
      </c>
      <c r="J988" s="375">
        <f t="shared" si="143"/>
        <v>2190</v>
      </c>
      <c r="K988" s="131"/>
      <c r="L988" s="143"/>
      <c r="M988" s="143"/>
      <c r="N988" s="143"/>
      <c r="O988" s="131"/>
      <c r="P988" s="167">
        <f t="shared" si="144"/>
        <v>2190</v>
      </c>
      <c r="Q988" s="167">
        <f t="shared" si="145"/>
        <v>0</v>
      </c>
      <c r="R988" s="167">
        <f t="shared" si="146"/>
        <v>2190</v>
      </c>
    </row>
    <row r="989" spans="2:18" x14ac:dyDescent="0.2">
      <c r="B989" s="172">
        <f t="shared" si="142"/>
        <v>490</v>
      </c>
      <c r="C989" s="129"/>
      <c r="D989" s="130"/>
      <c r="E989" s="130"/>
      <c r="F989" s="130" t="s">
        <v>200</v>
      </c>
      <c r="G989" s="194" t="s">
        <v>247</v>
      </c>
      <c r="H989" s="540">
        <v>1380</v>
      </c>
      <c r="I989" s="540"/>
      <c r="J989" s="540">
        <f t="shared" si="143"/>
        <v>1380</v>
      </c>
      <c r="K989" s="131"/>
      <c r="L989" s="143"/>
      <c r="M989" s="143"/>
      <c r="N989" s="143"/>
      <c r="O989" s="131"/>
      <c r="P989" s="168">
        <f t="shared" si="144"/>
        <v>1380</v>
      </c>
      <c r="Q989" s="168">
        <f t="shared" si="145"/>
        <v>0</v>
      </c>
      <c r="R989" s="168">
        <f t="shared" si="146"/>
        <v>1380</v>
      </c>
    </row>
    <row r="990" spans="2:18" x14ac:dyDescent="0.2">
      <c r="B990" s="172">
        <f t="shared" si="142"/>
        <v>491</v>
      </c>
      <c r="C990" s="129"/>
      <c r="D990" s="130"/>
      <c r="E990" s="130"/>
      <c r="F990" s="130" t="s">
        <v>214</v>
      </c>
      <c r="G990" s="194" t="s">
        <v>261</v>
      </c>
      <c r="H990" s="540">
        <v>100</v>
      </c>
      <c r="I990" s="540"/>
      <c r="J990" s="540">
        <f t="shared" si="143"/>
        <v>100</v>
      </c>
      <c r="K990" s="131"/>
      <c r="L990" s="143"/>
      <c r="M990" s="143"/>
      <c r="N990" s="143"/>
      <c r="O990" s="131"/>
      <c r="P990" s="168">
        <f t="shared" si="144"/>
        <v>100</v>
      </c>
      <c r="Q990" s="168">
        <f t="shared" si="145"/>
        <v>0</v>
      </c>
      <c r="R990" s="168">
        <f t="shared" si="146"/>
        <v>100</v>
      </c>
    </row>
    <row r="991" spans="2:18" x14ac:dyDescent="0.2">
      <c r="B991" s="172">
        <f t="shared" si="142"/>
        <v>492</v>
      </c>
      <c r="C991" s="129"/>
      <c r="D991" s="130"/>
      <c r="E991" s="130"/>
      <c r="F991" s="130" t="s">
        <v>216</v>
      </c>
      <c r="G991" s="194" t="s">
        <v>248</v>
      </c>
      <c r="H991" s="540">
        <v>710</v>
      </c>
      <c r="I991" s="540"/>
      <c r="J991" s="540">
        <f t="shared" si="143"/>
        <v>710</v>
      </c>
      <c r="K991" s="131"/>
      <c r="L991" s="143"/>
      <c r="M991" s="143"/>
      <c r="N991" s="143"/>
      <c r="O991" s="131"/>
      <c r="P991" s="168">
        <f t="shared" si="144"/>
        <v>710</v>
      </c>
      <c r="Q991" s="168">
        <f t="shared" si="145"/>
        <v>0</v>
      </c>
      <c r="R991" s="168">
        <f t="shared" si="146"/>
        <v>710</v>
      </c>
    </row>
    <row r="992" spans="2:18" ht="15" x14ac:dyDescent="0.25">
      <c r="B992" s="172">
        <f t="shared" si="142"/>
        <v>493</v>
      </c>
      <c r="C992" s="129"/>
      <c r="D992" s="261" t="s">
        <v>8</v>
      </c>
      <c r="E992" s="176" t="s">
        <v>405</v>
      </c>
      <c r="F992" s="149" t="s">
        <v>403</v>
      </c>
      <c r="G992" s="239"/>
      <c r="H992" s="503">
        <f>SUM(H993:H995)+H999</f>
        <v>27537</v>
      </c>
      <c r="I992" s="503">
        <f>SUM(I993:I995)+I999</f>
        <v>-217</v>
      </c>
      <c r="J992" s="503">
        <f t="shared" si="143"/>
        <v>27320</v>
      </c>
      <c r="K992" s="330"/>
      <c r="L992" s="421">
        <f>L1000</f>
        <v>3120</v>
      </c>
      <c r="M992" s="421">
        <f>M1000</f>
        <v>0</v>
      </c>
      <c r="N992" s="421">
        <f>M992+L992</f>
        <v>3120</v>
      </c>
      <c r="O992" s="330"/>
      <c r="P992" s="328">
        <f t="shared" si="144"/>
        <v>30657</v>
      </c>
      <c r="Q992" s="328">
        <f t="shared" si="145"/>
        <v>-217</v>
      </c>
      <c r="R992" s="328">
        <f t="shared" si="146"/>
        <v>30440</v>
      </c>
    </row>
    <row r="993" spans="2:18" x14ac:dyDescent="0.2">
      <c r="B993" s="172">
        <f t="shared" si="142"/>
        <v>494</v>
      </c>
      <c r="C993" s="129"/>
      <c r="D993" s="130"/>
      <c r="E993" s="130"/>
      <c r="F993" s="145" t="s">
        <v>211</v>
      </c>
      <c r="G993" s="202" t="s">
        <v>506</v>
      </c>
      <c r="H993" s="375">
        <f>15885+794</f>
        <v>16679</v>
      </c>
      <c r="I993" s="375">
        <v>226</v>
      </c>
      <c r="J993" s="375">
        <f t="shared" si="143"/>
        <v>16905</v>
      </c>
      <c r="K993" s="131"/>
      <c r="L993" s="143"/>
      <c r="M993" s="143"/>
      <c r="N993" s="143"/>
      <c r="O993" s="131"/>
      <c r="P993" s="167">
        <f t="shared" si="144"/>
        <v>16679</v>
      </c>
      <c r="Q993" s="167">
        <f t="shared" si="145"/>
        <v>226</v>
      </c>
      <c r="R993" s="167">
        <f t="shared" si="146"/>
        <v>16905</v>
      </c>
    </row>
    <row r="994" spans="2:18" x14ac:dyDescent="0.2">
      <c r="B994" s="172">
        <f t="shared" si="142"/>
        <v>495</v>
      </c>
      <c r="C994" s="129"/>
      <c r="D994" s="130"/>
      <c r="E994" s="130"/>
      <c r="F994" s="145" t="s">
        <v>212</v>
      </c>
      <c r="G994" s="202" t="s">
        <v>259</v>
      </c>
      <c r="H994" s="375">
        <f>5854+293</f>
        <v>6147</v>
      </c>
      <c r="I994" s="375">
        <v>-443</v>
      </c>
      <c r="J994" s="375">
        <f t="shared" si="143"/>
        <v>5704</v>
      </c>
      <c r="K994" s="131"/>
      <c r="L994" s="143"/>
      <c r="M994" s="143"/>
      <c r="N994" s="143"/>
      <c r="O994" s="131"/>
      <c r="P994" s="167">
        <f t="shared" si="144"/>
        <v>6147</v>
      </c>
      <c r="Q994" s="167">
        <f t="shared" si="145"/>
        <v>-443</v>
      </c>
      <c r="R994" s="167">
        <f t="shared" si="146"/>
        <v>5704</v>
      </c>
    </row>
    <row r="995" spans="2:18" x14ac:dyDescent="0.2">
      <c r="B995" s="172">
        <f t="shared" si="142"/>
        <v>496</v>
      </c>
      <c r="C995" s="129"/>
      <c r="D995" s="130"/>
      <c r="E995" s="130"/>
      <c r="F995" s="145" t="s">
        <v>218</v>
      </c>
      <c r="G995" s="202" t="s">
        <v>341</v>
      </c>
      <c r="H995" s="375">
        <f>SUM(H996:H998)</f>
        <v>2170</v>
      </c>
      <c r="I995" s="375">
        <f>SUM(I996:I998)</f>
        <v>0</v>
      </c>
      <c r="J995" s="375">
        <f t="shared" si="143"/>
        <v>2170</v>
      </c>
      <c r="K995" s="131"/>
      <c r="L995" s="143"/>
      <c r="M995" s="143"/>
      <c r="N995" s="143"/>
      <c r="O995" s="131"/>
      <c r="P995" s="167">
        <f t="shared" si="144"/>
        <v>2170</v>
      </c>
      <c r="Q995" s="167">
        <f t="shared" si="145"/>
        <v>0</v>
      </c>
      <c r="R995" s="167">
        <f t="shared" si="146"/>
        <v>2170</v>
      </c>
    </row>
    <row r="996" spans="2:18" x14ac:dyDescent="0.2">
      <c r="B996" s="172">
        <f t="shared" si="142"/>
        <v>497</v>
      </c>
      <c r="C996" s="129"/>
      <c r="D996" s="130"/>
      <c r="E996" s="130"/>
      <c r="F996" s="130" t="s">
        <v>200</v>
      </c>
      <c r="G996" s="194" t="s">
        <v>247</v>
      </c>
      <c r="H996" s="540">
        <v>1230</v>
      </c>
      <c r="I996" s="540"/>
      <c r="J996" s="540">
        <f t="shared" si="143"/>
        <v>1230</v>
      </c>
      <c r="K996" s="131"/>
      <c r="L996" s="143"/>
      <c r="M996" s="143"/>
      <c r="N996" s="143"/>
      <c r="O996" s="131"/>
      <c r="P996" s="169">
        <f t="shared" si="144"/>
        <v>1230</v>
      </c>
      <c r="Q996" s="169">
        <f t="shared" si="145"/>
        <v>0</v>
      </c>
      <c r="R996" s="169">
        <f t="shared" si="146"/>
        <v>1230</v>
      </c>
    </row>
    <row r="997" spans="2:18" x14ac:dyDescent="0.2">
      <c r="B997" s="172">
        <f t="shared" si="142"/>
        <v>498</v>
      </c>
      <c r="C997" s="129"/>
      <c r="D997" s="130"/>
      <c r="E997" s="130"/>
      <c r="F997" s="130" t="s">
        <v>214</v>
      </c>
      <c r="G997" s="194" t="s">
        <v>261</v>
      </c>
      <c r="H997" s="540">
        <v>100</v>
      </c>
      <c r="I997" s="540"/>
      <c r="J997" s="540">
        <f t="shared" si="143"/>
        <v>100</v>
      </c>
      <c r="K997" s="131"/>
      <c r="L997" s="143"/>
      <c r="M997" s="143"/>
      <c r="N997" s="143"/>
      <c r="O997" s="131"/>
      <c r="P997" s="169">
        <f t="shared" si="144"/>
        <v>100</v>
      </c>
      <c r="Q997" s="169">
        <f t="shared" si="145"/>
        <v>0</v>
      </c>
      <c r="R997" s="169">
        <f t="shared" si="146"/>
        <v>100</v>
      </c>
    </row>
    <row r="998" spans="2:18" x14ac:dyDescent="0.2">
      <c r="B998" s="172">
        <f t="shared" si="142"/>
        <v>499</v>
      </c>
      <c r="C998" s="129"/>
      <c r="D998" s="130"/>
      <c r="E998" s="130"/>
      <c r="F998" s="130" t="s">
        <v>216</v>
      </c>
      <c r="G998" s="194" t="s">
        <v>248</v>
      </c>
      <c r="H998" s="369">
        <v>840</v>
      </c>
      <c r="I998" s="369"/>
      <c r="J998" s="369">
        <f t="shared" si="143"/>
        <v>840</v>
      </c>
      <c r="K998" s="131"/>
      <c r="L998" s="141"/>
      <c r="M998" s="141"/>
      <c r="N998" s="141"/>
      <c r="O998" s="131"/>
      <c r="P998" s="169">
        <f t="shared" si="144"/>
        <v>840</v>
      </c>
      <c r="Q998" s="169">
        <f t="shared" si="145"/>
        <v>0</v>
      </c>
      <c r="R998" s="169">
        <f t="shared" si="146"/>
        <v>840</v>
      </c>
    </row>
    <row r="999" spans="2:18" x14ac:dyDescent="0.2">
      <c r="B999" s="172">
        <f t="shared" si="142"/>
        <v>500</v>
      </c>
      <c r="C999" s="129"/>
      <c r="D999" s="130"/>
      <c r="E999" s="170"/>
      <c r="F999" s="145" t="s">
        <v>217</v>
      </c>
      <c r="G999" s="202" t="s">
        <v>505</v>
      </c>
      <c r="H999" s="433">
        <f>780+1761</f>
        <v>2541</v>
      </c>
      <c r="I999" s="433"/>
      <c r="J999" s="433">
        <f t="shared" si="143"/>
        <v>2541</v>
      </c>
      <c r="K999" s="131"/>
      <c r="L999" s="141"/>
      <c r="M999" s="141"/>
      <c r="N999" s="141"/>
      <c r="O999" s="131"/>
      <c r="P999" s="169">
        <f t="shared" si="144"/>
        <v>2541</v>
      </c>
      <c r="Q999" s="169">
        <f t="shared" si="145"/>
        <v>0</v>
      </c>
      <c r="R999" s="169">
        <f t="shared" si="146"/>
        <v>2541</v>
      </c>
    </row>
    <row r="1000" spans="2:18" x14ac:dyDescent="0.2">
      <c r="B1000" s="172">
        <f t="shared" si="142"/>
        <v>501</v>
      </c>
      <c r="C1000" s="129"/>
      <c r="D1000" s="130"/>
      <c r="E1000" s="170"/>
      <c r="F1000" s="441" t="s">
        <v>607</v>
      </c>
      <c r="G1000" s="504" t="s">
        <v>730</v>
      </c>
      <c r="H1000" s="369"/>
      <c r="I1000" s="369"/>
      <c r="J1000" s="369"/>
      <c r="K1000" s="131"/>
      <c r="L1000" s="146">
        <v>3120</v>
      </c>
      <c r="M1000" s="146"/>
      <c r="N1000" s="146">
        <f>M1000+L1000</f>
        <v>3120</v>
      </c>
      <c r="O1000" s="131"/>
      <c r="P1000" s="545">
        <f t="shared" si="144"/>
        <v>3120</v>
      </c>
      <c r="Q1000" s="545">
        <f t="shared" si="145"/>
        <v>0</v>
      </c>
      <c r="R1000" s="545">
        <f t="shared" si="146"/>
        <v>3120</v>
      </c>
    </row>
    <row r="1001" spans="2:18" ht="15" x14ac:dyDescent="0.25">
      <c r="B1001" s="172">
        <f t="shared" si="142"/>
        <v>502</v>
      </c>
      <c r="C1001" s="129"/>
      <c r="D1001" s="261" t="s">
        <v>169</v>
      </c>
      <c r="E1001" s="176" t="s">
        <v>405</v>
      </c>
      <c r="F1001" s="149" t="s">
        <v>404</v>
      </c>
      <c r="G1001" s="239"/>
      <c r="H1001" s="416">
        <f>SUM(H1002:H1004)</f>
        <v>37856</v>
      </c>
      <c r="I1001" s="416">
        <f>SUM(I1002:I1004)</f>
        <v>-2303</v>
      </c>
      <c r="J1001" s="416">
        <f t="shared" ref="J1001:J1032" si="147">I1001+H1001</f>
        <v>35553</v>
      </c>
      <c r="K1001" s="330"/>
      <c r="L1001" s="502">
        <f>L1008</f>
        <v>13900</v>
      </c>
      <c r="M1001" s="502">
        <f>M1008</f>
        <v>0</v>
      </c>
      <c r="N1001" s="502">
        <f>M1001+L1001</f>
        <v>13900</v>
      </c>
      <c r="O1001" s="330"/>
      <c r="P1001" s="336">
        <f t="shared" si="144"/>
        <v>51756</v>
      </c>
      <c r="Q1001" s="336">
        <f t="shared" si="145"/>
        <v>-2303</v>
      </c>
      <c r="R1001" s="336">
        <f t="shared" si="146"/>
        <v>49453</v>
      </c>
    </row>
    <row r="1002" spans="2:18" x14ac:dyDescent="0.2">
      <c r="B1002" s="172">
        <f t="shared" si="142"/>
        <v>503</v>
      </c>
      <c r="C1002" s="129"/>
      <c r="D1002" s="130"/>
      <c r="E1002" s="130"/>
      <c r="F1002" s="145" t="s">
        <v>211</v>
      </c>
      <c r="G1002" s="202" t="s">
        <v>506</v>
      </c>
      <c r="H1002" s="375">
        <f>24295+1215</f>
        <v>25510</v>
      </c>
      <c r="I1002" s="375">
        <v>-1461</v>
      </c>
      <c r="J1002" s="375">
        <f t="shared" si="147"/>
        <v>24049</v>
      </c>
      <c r="K1002" s="131"/>
      <c r="L1002" s="141"/>
      <c r="M1002" s="141"/>
      <c r="N1002" s="141"/>
      <c r="O1002" s="131"/>
      <c r="P1002" s="167">
        <f t="shared" si="144"/>
        <v>25510</v>
      </c>
      <c r="Q1002" s="167">
        <f t="shared" si="145"/>
        <v>-1461</v>
      </c>
      <c r="R1002" s="167">
        <f t="shared" si="146"/>
        <v>24049</v>
      </c>
    </row>
    <row r="1003" spans="2:18" x14ac:dyDescent="0.2">
      <c r="B1003" s="172">
        <f t="shared" si="142"/>
        <v>504</v>
      </c>
      <c r="C1003" s="129"/>
      <c r="D1003" s="130"/>
      <c r="E1003" s="130"/>
      <c r="F1003" s="145" t="s">
        <v>212</v>
      </c>
      <c r="G1003" s="202" t="s">
        <v>259</v>
      </c>
      <c r="H1003" s="375">
        <f>9091+455</f>
        <v>9546</v>
      </c>
      <c r="I1003" s="375">
        <v>-842</v>
      </c>
      <c r="J1003" s="375">
        <f t="shared" si="147"/>
        <v>8704</v>
      </c>
      <c r="K1003" s="131"/>
      <c r="L1003" s="141"/>
      <c r="M1003" s="141"/>
      <c r="N1003" s="141"/>
      <c r="O1003" s="131"/>
      <c r="P1003" s="167">
        <f t="shared" si="144"/>
        <v>9546</v>
      </c>
      <c r="Q1003" s="167">
        <f t="shared" si="145"/>
        <v>-842</v>
      </c>
      <c r="R1003" s="167">
        <f t="shared" si="146"/>
        <v>8704</v>
      </c>
    </row>
    <row r="1004" spans="2:18" x14ac:dyDescent="0.2">
      <c r="B1004" s="172">
        <f t="shared" si="142"/>
        <v>505</v>
      </c>
      <c r="C1004" s="129"/>
      <c r="D1004" s="130"/>
      <c r="E1004" s="130"/>
      <c r="F1004" s="145" t="s">
        <v>218</v>
      </c>
      <c r="G1004" s="202" t="s">
        <v>341</v>
      </c>
      <c r="H1004" s="375">
        <f>SUM(H1005:H1007)</f>
        <v>2800</v>
      </c>
      <c r="I1004" s="375">
        <f>SUM(I1005:I1007)</f>
        <v>0</v>
      </c>
      <c r="J1004" s="375">
        <f t="shared" si="147"/>
        <v>2800</v>
      </c>
      <c r="K1004" s="131"/>
      <c r="L1004" s="143"/>
      <c r="M1004" s="143"/>
      <c r="N1004" s="143"/>
      <c r="O1004" s="131"/>
      <c r="P1004" s="167">
        <f t="shared" si="144"/>
        <v>2800</v>
      </c>
      <c r="Q1004" s="167">
        <f t="shared" si="145"/>
        <v>0</v>
      </c>
      <c r="R1004" s="167">
        <f t="shared" si="146"/>
        <v>2800</v>
      </c>
    </row>
    <row r="1005" spans="2:18" x14ac:dyDescent="0.2">
      <c r="B1005" s="172">
        <f t="shared" si="142"/>
        <v>506</v>
      </c>
      <c r="C1005" s="129"/>
      <c r="D1005" s="130"/>
      <c r="E1005" s="130"/>
      <c r="F1005" s="130" t="s">
        <v>200</v>
      </c>
      <c r="G1005" s="194" t="s">
        <v>247</v>
      </c>
      <c r="H1005" s="540">
        <v>1750</v>
      </c>
      <c r="I1005" s="540"/>
      <c r="J1005" s="540">
        <f t="shared" si="147"/>
        <v>1750</v>
      </c>
      <c r="K1005" s="131"/>
      <c r="L1005" s="143"/>
      <c r="M1005" s="143"/>
      <c r="N1005" s="143"/>
      <c r="O1005" s="131"/>
      <c r="P1005" s="168">
        <f t="shared" si="144"/>
        <v>1750</v>
      </c>
      <c r="Q1005" s="168">
        <f t="shared" si="145"/>
        <v>0</v>
      </c>
      <c r="R1005" s="168">
        <f t="shared" si="146"/>
        <v>1750</v>
      </c>
    </row>
    <row r="1006" spans="2:18" x14ac:dyDescent="0.2">
      <c r="B1006" s="172">
        <f t="shared" si="142"/>
        <v>507</v>
      </c>
      <c r="C1006" s="129"/>
      <c r="D1006" s="130"/>
      <c r="E1006" s="130"/>
      <c r="F1006" s="130" t="s">
        <v>214</v>
      </c>
      <c r="G1006" s="194" t="s">
        <v>261</v>
      </c>
      <c r="H1006" s="540">
        <v>100</v>
      </c>
      <c r="I1006" s="540"/>
      <c r="J1006" s="540">
        <f t="shared" si="147"/>
        <v>100</v>
      </c>
      <c r="K1006" s="131"/>
      <c r="L1006" s="143"/>
      <c r="M1006" s="143"/>
      <c r="N1006" s="143"/>
      <c r="O1006" s="131"/>
      <c r="P1006" s="168">
        <f t="shared" si="144"/>
        <v>100</v>
      </c>
      <c r="Q1006" s="168">
        <f t="shared" si="145"/>
        <v>0</v>
      </c>
      <c r="R1006" s="168">
        <f t="shared" si="146"/>
        <v>100</v>
      </c>
    </row>
    <row r="1007" spans="2:18" x14ac:dyDescent="0.2">
      <c r="B1007" s="172">
        <f t="shared" si="142"/>
        <v>508</v>
      </c>
      <c r="C1007" s="129"/>
      <c r="D1007" s="130"/>
      <c r="E1007" s="130"/>
      <c r="F1007" s="130" t="s">
        <v>216</v>
      </c>
      <c r="G1007" s="194" t="s">
        <v>248</v>
      </c>
      <c r="H1007" s="540">
        <v>950</v>
      </c>
      <c r="I1007" s="540"/>
      <c r="J1007" s="540">
        <f t="shared" si="147"/>
        <v>950</v>
      </c>
      <c r="K1007" s="131"/>
      <c r="L1007" s="143"/>
      <c r="M1007" s="143"/>
      <c r="N1007" s="143"/>
      <c r="O1007" s="131"/>
      <c r="P1007" s="168">
        <f t="shared" si="144"/>
        <v>950</v>
      </c>
      <c r="Q1007" s="168">
        <f t="shared" si="145"/>
        <v>0</v>
      </c>
      <c r="R1007" s="168">
        <f t="shared" si="146"/>
        <v>950</v>
      </c>
    </row>
    <row r="1008" spans="2:18" x14ac:dyDescent="0.2">
      <c r="B1008" s="172">
        <f t="shared" si="142"/>
        <v>509</v>
      </c>
      <c r="C1008" s="129"/>
      <c r="D1008" s="130"/>
      <c r="E1008" s="170"/>
      <c r="F1008" s="441" t="s">
        <v>607</v>
      </c>
      <c r="G1008" s="504" t="s">
        <v>731</v>
      </c>
      <c r="H1008" s="389"/>
      <c r="I1008" s="389"/>
      <c r="J1008" s="389">
        <f t="shared" si="147"/>
        <v>0</v>
      </c>
      <c r="K1008" s="334"/>
      <c r="L1008" s="390">
        <v>13900</v>
      </c>
      <c r="M1008" s="390"/>
      <c r="N1008" s="390">
        <f>M1008+L1008</f>
        <v>13900</v>
      </c>
      <c r="O1008" s="334"/>
      <c r="P1008" s="167">
        <f t="shared" si="144"/>
        <v>13900</v>
      </c>
      <c r="Q1008" s="167">
        <f t="shared" si="145"/>
        <v>0</v>
      </c>
      <c r="R1008" s="167">
        <f t="shared" si="146"/>
        <v>13900</v>
      </c>
    </row>
    <row r="1009" spans="2:18" ht="15" x14ac:dyDescent="0.25">
      <c r="B1009" s="172">
        <f t="shared" si="142"/>
        <v>510</v>
      </c>
      <c r="C1009" s="144"/>
      <c r="D1009" s="261" t="s">
        <v>173</v>
      </c>
      <c r="E1009" s="176" t="s">
        <v>405</v>
      </c>
      <c r="F1009" s="149" t="s">
        <v>406</v>
      </c>
      <c r="G1009" s="239"/>
      <c r="H1009" s="416">
        <f>SUM(H1010:H1012)</f>
        <v>38930</v>
      </c>
      <c r="I1009" s="416">
        <f>SUM(I1010:I1012)</f>
        <v>1658</v>
      </c>
      <c r="J1009" s="416">
        <f t="shared" si="147"/>
        <v>40588</v>
      </c>
      <c r="K1009" s="330"/>
      <c r="L1009" s="421">
        <f>L1017</f>
        <v>13900</v>
      </c>
      <c r="M1009" s="421">
        <f>M1017</f>
        <v>0</v>
      </c>
      <c r="N1009" s="421">
        <f>M1009+L1009</f>
        <v>13900</v>
      </c>
      <c r="O1009" s="330"/>
      <c r="P1009" s="328">
        <f t="shared" si="144"/>
        <v>52830</v>
      </c>
      <c r="Q1009" s="328">
        <f t="shared" si="145"/>
        <v>1658</v>
      </c>
      <c r="R1009" s="328">
        <f t="shared" si="146"/>
        <v>54488</v>
      </c>
    </row>
    <row r="1010" spans="2:18" x14ac:dyDescent="0.2">
      <c r="B1010" s="172">
        <f t="shared" si="142"/>
        <v>511</v>
      </c>
      <c r="C1010" s="144"/>
      <c r="D1010" s="145"/>
      <c r="E1010" s="130"/>
      <c r="F1010" s="145" t="s">
        <v>211</v>
      </c>
      <c r="G1010" s="202" t="s">
        <v>506</v>
      </c>
      <c r="H1010" s="375">
        <f>24090+1205</f>
        <v>25295</v>
      </c>
      <c r="I1010" s="375">
        <v>1295</v>
      </c>
      <c r="J1010" s="375">
        <f t="shared" si="147"/>
        <v>26590</v>
      </c>
      <c r="K1010" s="147"/>
      <c r="L1010" s="384"/>
      <c r="M1010" s="384"/>
      <c r="N1010" s="384"/>
      <c r="O1010" s="147"/>
      <c r="P1010" s="167">
        <f t="shared" si="144"/>
        <v>25295</v>
      </c>
      <c r="Q1010" s="167">
        <f t="shared" si="145"/>
        <v>1295</v>
      </c>
      <c r="R1010" s="167">
        <f t="shared" si="146"/>
        <v>26590</v>
      </c>
    </row>
    <row r="1011" spans="2:18" x14ac:dyDescent="0.2">
      <c r="B1011" s="172">
        <f t="shared" si="142"/>
        <v>512</v>
      </c>
      <c r="C1011" s="144"/>
      <c r="D1011" s="145"/>
      <c r="E1011" s="130"/>
      <c r="F1011" s="145" t="s">
        <v>212</v>
      </c>
      <c r="G1011" s="202" t="s">
        <v>259</v>
      </c>
      <c r="H1011" s="375">
        <f>9019+451</f>
        <v>9470</v>
      </c>
      <c r="I1011" s="375">
        <v>363</v>
      </c>
      <c r="J1011" s="375">
        <f t="shared" si="147"/>
        <v>9833</v>
      </c>
      <c r="K1011" s="147"/>
      <c r="L1011" s="384"/>
      <c r="M1011" s="384"/>
      <c r="N1011" s="384"/>
      <c r="O1011" s="147"/>
      <c r="P1011" s="167">
        <f t="shared" si="144"/>
        <v>9470</v>
      </c>
      <c r="Q1011" s="167">
        <f t="shared" si="145"/>
        <v>363</v>
      </c>
      <c r="R1011" s="167">
        <f t="shared" si="146"/>
        <v>9833</v>
      </c>
    </row>
    <row r="1012" spans="2:18" x14ac:dyDescent="0.2">
      <c r="B1012" s="172">
        <f t="shared" si="142"/>
        <v>513</v>
      </c>
      <c r="C1012" s="144"/>
      <c r="D1012" s="145"/>
      <c r="E1012" s="130"/>
      <c r="F1012" s="145" t="s">
        <v>218</v>
      </c>
      <c r="G1012" s="202" t="s">
        <v>341</v>
      </c>
      <c r="H1012" s="375">
        <f>SUM(H1013:H1016)</f>
        <v>4165</v>
      </c>
      <c r="I1012" s="375">
        <f>SUM(I1013:I1016)</f>
        <v>0</v>
      </c>
      <c r="J1012" s="375">
        <f t="shared" si="147"/>
        <v>4165</v>
      </c>
      <c r="K1012" s="147"/>
      <c r="L1012" s="384"/>
      <c r="M1012" s="384"/>
      <c r="N1012" s="384"/>
      <c r="O1012" s="147"/>
      <c r="P1012" s="167">
        <f t="shared" si="144"/>
        <v>4165</v>
      </c>
      <c r="Q1012" s="167">
        <f t="shared" si="145"/>
        <v>0</v>
      </c>
      <c r="R1012" s="167">
        <f t="shared" si="146"/>
        <v>4165</v>
      </c>
    </row>
    <row r="1013" spans="2:18" x14ac:dyDescent="0.2">
      <c r="B1013" s="172">
        <f t="shared" si="142"/>
        <v>514</v>
      </c>
      <c r="C1013" s="144"/>
      <c r="D1013" s="145"/>
      <c r="E1013" s="130"/>
      <c r="F1013" s="130" t="s">
        <v>199</v>
      </c>
      <c r="G1013" s="194" t="s">
        <v>319</v>
      </c>
      <c r="H1013" s="540">
        <v>825</v>
      </c>
      <c r="I1013" s="540"/>
      <c r="J1013" s="540">
        <f t="shared" si="147"/>
        <v>825</v>
      </c>
      <c r="K1013" s="147"/>
      <c r="L1013" s="384"/>
      <c r="M1013" s="384"/>
      <c r="N1013" s="384"/>
      <c r="O1013" s="147"/>
      <c r="P1013" s="168">
        <f t="shared" si="144"/>
        <v>825</v>
      </c>
      <c r="Q1013" s="168">
        <f t="shared" si="145"/>
        <v>0</v>
      </c>
      <c r="R1013" s="168">
        <f t="shared" si="146"/>
        <v>825</v>
      </c>
    </row>
    <row r="1014" spans="2:18" x14ac:dyDescent="0.2">
      <c r="B1014" s="172">
        <f t="shared" si="142"/>
        <v>515</v>
      </c>
      <c r="C1014" s="144"/>
      <c r="D1014" s="145"/>
      <c r="E1014" s="130"/>
      <c r="F1014" s="130" t="s">
        <v>200</v>
      </c>
      <c r="G1014" s="194" t="s">
        <v>247</v>
      </c>
      <c r="H1014" s="540">
        <v>1300</v>
      </c>
      <c r="I1014" s="540"/>
      <c r="J1014" s="540">
        <f t="shared" si="147"/>
        <v>1300</v>
      </c>
      <c r="K1014" s="147"/>
      <c r="L1014" s="384"/>
      <c r="M1014" s="384"/>
      <c r="N1014" s="384"/>
      <c r="O1014" s="147"/>
      <c r="P1014" s="168">
        <f t="shared" si="144"/>
        <v>1300</v>
      </c>
      <c r="Q1014" s="168">
        <f t="shared" si="145"/>
        <v>0</v>
      </c>
      <c r="R1014" s="168">
        <f t="shared" si="146"/>
        <v>1300</v>
      </c>
    </row>
    <row r="1015" spans="2:18" x14ac:dyDescent="0.2">
      <c r="B1015" s="172">
        <f t="shared" si="142"/>
        <v>516</v>
      </c>
      <c r="C1015" s="144"/>
      <c r="D1015" s="145"/>
      <c r="E1015" s="130"/>
      <c r="F1015" s="130" t="s">
        <v>214</v>
      </c>
      <c r="G1015" s="194" t="s">
        <v>261</v>
      </c>
      <c r="H1015" s="540">
        <v>100</v>
      </c>
      <c r="I1015" s="540"/>
      <c r="J1015" s="540">
        <f t="shared" si="147"/>
        <v>100</v>
      </c>
      <c r="K1015" s="147"/>
      <c r="L1015" s="384"/>
      <c r="M1015" s="384"/>
      <c r="N1015" s="384"/>
      <c r="O1015" s="147"/>
      <c r="P1015" s="168">
        <f t="shared" si="144"/>
        <v>100</v>
      </c>
      <c r="Q1015" s="168">
        <f t="shared" si="145"/>
        <v>0</v>
      </c>
      <c r="R1015" s="168">
        <f t="shared" si="146"/>
        <v>100</v>
      </c>
    </row>
    <row r="1016" spans="2:18" x14ac:dyDescent="0.2">
      <c r="B1016" s="172">
        <f t="shared" si="142"/>
        <v>517</v>
      </c>
      <c r="C1016" s="144"/>
      <c r="D1016" s="145"/>
      <c r="E1016" s="130"/>
      <c r="F1016" s="130" t="s">
        <v>216</v>
      </c>
      <c r="G1016" s="194" t="s">
        <v>248</v>
      </c>
      <c r="H1016" s="540">
        <v>1940</v>
      </c>
      <c r="I1016" s="540"/>
      <c r="J1016" s="540">
        <f t="shared" si="147"/>
        <v>1940</v>
      </c>
      <c r="K1016" s="147"/>
      <c r="L1016" s="384"/>
      <c r="M1016" s="384"/>
      <c r="N1016" s="384"/>
      <c r="O1016" s="147"/>
      <c r="P1016" s="168">
        <f t="shared" si="144"/>
        <v>1940</v>
      </c>
      <c r="Q1016" s="168">
        <f t="shared" si="145"/>
        <v>0</v>
      </c>
      <c r="R1016" s="168">
        <f t="shared" si="146"/>
        <v>1940</v>
      </c>
    </row>
    <row r="1017" spans="2:18" x14ac:dyDescent="0.2">
      <c r="B1017" s="172">
        <f t="shared" ref="B1017:B1080" si="148">B1016+1</f>
        <v>518</v>
      </c>
      <c r="C1017" s="144"/>
      <c r="D1017" s="145"/>
      <c r="E1017" s="170"/>
      <c r="F1017" s="441" t="s">
        <v>607</v>
      </c>
      <c r="G1017" s="504" t="s">
        <v>731</v>
      </c>
      <c r="H1017" s="540"/>
      <c r="I1017" s="540"/>
      <c r="J1017" s="540">
        <f t="shared" si="147"/>
        <v>0</v>
      </c>
      <c r="K1017" s="147"/>
      <c r="L1017" s="384">
        <v>13900</v>
      </c>
      <c r="M1017" s="384"/>
      <c r="N1017" s="384">
        <f>M1017+L1017</f>
        <v>13900</v>
      </c>
      <c r="O1017" s="147"/>
      <c r="P1017" s="167">
        <f t="shared" si="144"/>
        <v>13900</v>
      </c>
      <c r="Q1017" s="167">
        <f t="shared" si="145"/>
        <v>0</v>
      </c>
      <c r="R1017" s="167">
        <f t="shared" si="146"/>
        <v>13900</v>
      </c>
    </row>
    <row r="1018" spans="2:18" ht="15" x14ac:dyDescent="0.25">
      <c r="B1018" s="172">
        <f t="shared" si="148"/>
        <v>519</v>
      </c>
      <c r="C1018" s="144"/>
      <c r="D1018" s="261" t="s">
        <v>348</v>
      </c>
      <c r="E1018" s="176" t="s">
        <v>405</v>
      </c>
      <c r="F1018" s="149" t="s">
        <v>407</v>
      </c>
      <c r="G1018" s="239"/>
      <c r="H1018" s="416">
        <f>SUM(H1019:H1021)</f>
        <v>36170</v>
      </c>
      <c r="I1018" s="416">
        <f>SUM(I1019:I1021)</f>
        <v>-23</v>
      </c>
      <c r="J1018" s="416">
        <f t="shared" si="147"/>
        <v>36147</v>
      </c>
      <c r="K1018" s="330"/>
      <c r="L1018" s="421">
        <f>L1025</f>
        <v>6240</v>
      </c>
      <c r="M1018" s="421">
        <f>M1025</f>
        <v>0</v>
      </c>
      <c r="N1018" s="421">
        <f>M1018+L1018</f>
        <v>6240</v>
      </c>
      <c r="O1018" s="330"/>
      <c r="P1018" s="328">
        <f t="shared" si="144"/>
        <v>42410</v>
      </c>
      <c r="Q1018" s="328">
        <f t="shared" si="145"/>
        <v>-23</v>
      </c>
      <c r="R1018" s="328">
        <f t="shared" si="146"/>
        <v>42387</v>
      </c>
    </row>
    <row r="1019" spans="2:18" x14ac:dyDescent="0.2">
      <c r="B1019" s="172">
        <f t="shared" si="148"/>
        <v>520</v>
      </c>
      <c r="C1019" s="144"/>
      <c r="D1019" s="145"/>
      <c r="E1019" s="130"/>
      <c r="F1019" s="145" t="s">
        <v>211</v>
      </c>
      <c r="G1019" s="202" t="s">
        <v>506</v>
      </c>
      <c r="H1019" s="375">
        <f>23655+1183</f>
        <v>24838</v>
      </c>
      <c r="I1019" s="375">
        <v>-3</v>
      </c>
      <c r="J1019" s="375">
        <f t="shared" si="147"/>
        <v>24835</v>
      </c>
      <c r="K1019" s="147"/>
      <c r="L1019" s="384"/>
      <c r="M1019" s="384"/>
      <c r="N1019" s="384"/>
      <c r="O1019" s="147"/>
      <c r="P1019" s="167">
        <f t="shared" si="144"/>
        <v>24838</v>
      </c>
      <c r="Q1019" s="167">
        <f t="shared" si="145"/>
        <v>-3</v>
      </c>
      <c r="R1019" s="167">
        <f t="shared" si="146"/>
        <v>24835</v>
      </c>
    </row>
    <row r="1020" spans="2:18" x14ac:dyDescent="0.2">
      <c r="B1020" s="172">
        <f t="shared" si="148"/>
        <v>521</v>
      </c>
      <c r="C1020" s="144"/>
      <c r="D1020" s="145"/>
      <c r="E1020" s="130"/>
      <c r="F1020" s="145" t="s">
        <v>212</v>
      </c>
      <c r="G1020" s="202" t="s">
        <v>259</v>
      </c>
      <c r="H1020" s="375">
        <f>8269+413</f>
        <v>8682</v>
      </c>
      <c r="I1020" s="375">
        <v>-20</v>
      </c>
      <c r="J1020" s="375">
        <f t="shared" si="147"/>
        <v>8662</v>
      </c>
      <c r="K1020" s="147"/>
      <c r="L1020" s="384"/>
      <c r="M1020" s="384"/>
      <c r="N1020" s="384"/>
      <c r="O1020" s="147"/>
      <c r="P1020" s="167">
        <f t="shared" si="144"/>
        <v>8682</v>
      </c>
      <c r="Q1020" s="167">
        <f t="shared" si="145"/>
        <v>-20</v>
      </c>
      <c r="R1020" s="167">
        <f t="shared" si="146"/>
        <v>8662</v>
      </c>
    </row>
    <row r="1021" spans="2:18" x14ac:dyDescent="0.2">
      <c r="B1021" s="172">
        <f t="shared" si="148"/>
        <v>522</v>
      </c>
      <c r="C1021" s="144"/>
      <c r="D1021" s="145"/>
      <c r="E1021" s="130"/>
      <c r="F1021" s="145" t="s">
        <v>218</v>
      </c>
      <c r="G1021" s="202" t="s">
        <v>341</v>
      </c>
      <c r="H1021" s="375">
        <f>SUM(H1022:H1024)</f>
        <v>2650</v>
      </c>
      <c r="I1021" s="375">
        <f>SUM(I1022:I1024)</f>
        <v>0</v>
      </c>
      <c r="J1021" s="375">
        <f t="shared" si="147"/>
        <v>2650</v>
      </c>
      <c r="K1021" s="147"/>
      <c r="L1021" s="384"/>
      <c r="M1021" s="384"/>
      <c r="N1021" s="384"/>
      <c r="O1021" s="147"/>
      <c r="P1021" s="167">
        <f t="shared" si="144"/>
        <v>2650</v>
      </c>
      <c r="Q1021" s="167">
        <f t="shared" si="145"/>
        <v>0</v>
      </c>
      <c r="R1021" s="167">
        <f t="shared" si="146"/>
        <v>2650</v>
      </c>
    </row>
    <row r="1022" spans="2:18" x14ac:dyDescent="0.2">
      <c r="B1022" s="172">
        <f t="shared" si="148"/>
        <v>523</v>
      </c>
      <c r="C1022" s="144"/>
      <c r="D1022" s="145"/>
      <c r="E1022" s="130"/>
      <c r="F1022" s="130" t="s">
        <v>200</v>
      </c>
      <c r="G1022" s="194" t="s">
        <v>247</v>
      </c>
      <c r="H1022" s="540">
        <v>1650</v>
      </c>
      <c r="I1022" s="540"/>
      <c r="J1022" s="540">
        <f t="shared" si="147"/>
        <v>1650</v>
      </c>
      <c r="K1022" s="147"/>
      <c r="L1022" s="384"/>
      <c r="M1022" s="384"/>
      <c r="N1022" s="384"/>
      <c r="O1022" s="147"/>
      <c r="P1022" s="168">
        <f t="shared" si="144"/>
        <v>1650</v>
      </c>
      <c r="Q1022" s="168">
        <f t="shared" si="145"/>
        <v>0</v>
      </c>
      <c r="R1022" s="168">
        <f t="shared" si="146"/>
        <v>1650</v>
      </c>
    </row>
    <row r="1023" spans="2:18" x14ac:dyDescent="0.2">
      <c r="B1023" s="172">
        <f t="shared" si="148"/>
        <v>524</v>
      </c>
      <c r="C1023" s="144"/>
      <c r="D1023" s="145"/>
      <c r="E1023" s="130"/>
      <c r="F1023" s="130" t="s">
        <v>214</v>
      </c>
      <c r="G1023" s="194" t="s">
        <v>261</v>
      </c>
      <c r="H1023" s="540">
        <v>100</v>
      </c>
      <c r="I1023" s="540"/>
      <c r="J1023" s="540">
        <f t="shared" si="147"/>
        <v>100</v>
      </c>
      <c r="K1023" s="147"/>
      <c r="L1023" s="146"/>
      <c r="M1023" s="146"/>
      <c r="N1023" s="146"/>
      <c r="O1023" s="147"/>
      <c r="P1023" s="168">
        <f t="shared" si="144"/>
        <v>100</v>
      </c>
      <c r="Q1023" s="168">
        <f t="shared" si="145"/>
        <v>0</v>
      </c>
      <c r="R1023" s="168">
        <f t="shared" si="146"/>
        <v>100</v>
      </c>
    </row>
    <row r="1024" spans="2:18" x14ac:dyDescent="0.2">
      <c r="B1024" s="172">
        <f t="shared" si="148"/>
        <v>525</v>
      </c>
      <c r="C1024" s="144"/>
      <c r="D1024" s="145"/>
      <c r="E1024" s="130"/>
      <c r="F1024" s="130" t="s">
        <v>216</v>
      </c>
      <c r="G1024" s="194" t="s">
        <v>248</v>
      </c>
      <c r="H1024" s="540">
        <v>900</v>
      </c>
      <c r="I1024" s="540"/>
      <c r="J1024" s="540">
        <f t="shared" si="147"/>
        <v>900</v>
      </c>
      <c r="K1024" s="147"/>
      <c r="L1024" s="146"/>
      <c r="M1024" s="146"/>
      <c r="N1024" s="146"/>
      <c r="O1024" s="147"/>
      <c r="P1024" s="169">
        <f t="shared" ref="P1024:P1087" si="149">H1024+L1024</f>
        <v>900</v>
      </c>
      <c r="Q1024" s="169">
        <f t="shared" ref="Q1024:Q1087" si="150">I1024+M1024</f>
        <v>0</v>
      </c>
      <c r="R1024" s="169">
        <f t="shared" ref="R1024:R1087" si="151">Q1024+P1024</f>
        <v>900</v>
      </c>
    </row>
    <row r="1025" spans="2:18" x14ac:dyDescent="0.2">
      <c r="B1025" s="172">
        <f t="shared" si="148"/>
        <v>526</v>
      </c>
      <c r="C1025" s="129"/>
      <c r="D1025" s="130"/>
      <c r="E1025" s="170"/>
      <c r="F1025" s="441" t="s">
        <v>607</v>
      </c>
      <c r="G1025" s="504" t="s">
        <v>657</v>
      </c>
      <c r="H1025" s="389"/>
      <c r="I1025" s="389"/>
      <c r="J1025" s="389">
        <f t="shared" si="147"/>
        <v>0</v>
      </c>
      <c r="K1025" s="334"/>
      <c r="L1025" s="428">
        <f>4430+1810</f>
        <v>6240</v>
      </c>
      <c r="M1025" s="428"/>
      <c r="N1025" s="428">
        <f>M1025+L1025</f>
        <v>6240</v>
      </c>
      <c r="O1025" s="334"/>
      <c r="P1025" s="167">
        <f t="shared" si="149"/>
        <v>6240</v>
      </c>
      <c r="Q1025" s="167">
        <f t="shared" si="150"/>
        <v>0</v>
      </c>
      <c r="R1025" s="167">
        <f t="shared" si="151"/>
        <v>6240</v>
      </c>
    </row>
    <row r="1026" spans="2:18" ht="15" x14ac:dyDescent="0.25">
      <c r="B1026" s="172">
        <f t="shared" si="148"/>
        <v>527</v>
      </c>
      <c r="C1026" s="144"/>
      <c r="D1026" s="261" t="s">
        <v>350</v>
      </c>
      <c r="E1026" s="268" t="s">
        <v>405</v>
      </c>
      <c r="F1026" s="265" t="s">
        <v>408</v>
      </c>
      <c r="G1026" s="266"/>
      <c r="H1026" s="418">
        <f>SUM(H1027:H1029)</f>
        <v>18526</v>
      </c>
      <c r="I1026" s="418">
        <f>SUM(I1027:I1029)</f>
        <v>810</v>
      </c>
      <c r="J1026" s="418">
        <f t="shared" si="147"/>
        <v>19336</v>
      </c>
      <c r="K1026" s="330"/>
      <c r="L1026" s="502">
        <f>L1033</f>
        <v>6330</v>
      </c>
      <c r="M1026" s="502">
        <f>M1033</f>
        <v>0</v>
      </c>
      <c r="N1026" s="502">
        <f>M1026+L1026</f>
        <v>6330</v>
      </c>
      <c r="O1026" s="330"/>
      <c r="P1026" s="336">
        <f t="shared" si="149"/>
        <v>24856</v>
      </c>
      <c r="Q1026" s="336">
        <f t="shared" si="150"/>
        <v>810</v>
      </c>
      <c r="R1026" s="336">
        <f t="shared" si="151"/>
        <v>25666</v>
      </c>
    </row>
    <row r="1027" spans="2:18" x14ac:dyDescent="0.2">
      <c r="B1027" s="172">
        <f t="shared" si="148"/>
        <v>528</v>
      </c>
      <c r="C1027" s="144"/>
      <c r="D1027" s="145"/>
      <c r="E1027" s="130"/>
      <c r="F1027" s="145" t="s">
        <v>211</v>
      </c>
      <c r="G1027" s="202" t="s">
        <v>506</v>
      </c>
      <c r="H1027" s="375">
        <f>11220+561</f>
        <v>11781</v>
      </c>
      <c r="I1027" s="375">
        <v>599</v>
      </c>
      <c r="J1027" s="375">
        <f t="shared" si="147"/>
        <v>12380</v>
      </c>
      <c r="K1027" s="147"/>
      <c r="L1027" s="146"/>
      <c r="M1027" s="146"/>
      <c r="N1027" s="146"/>
      <c r="O1027" s="147"/>
      <c r="P1027" s="167">
        <f t="shared" si="149"/>
        <v>11781</v>
      </c>
      <c r="Q1027" s="167">
        <f t="shared" si="150"/>
        <v>599</v>
      </c>
      <c r="R1027" s="167">
        <f t="shared" si="151"/>
        <v>12380</v>
      </c>
    </row>
    <row r="1028" spans="2:18" x14ac:dyDescent="0.2">
      <c r="B1028" s="172">
        <f t="shared" si="148"/>
        <v>529</v>
      </c>
      <c r="C1028" s="144"/>
      <c r="D1028" s="145"/>
      <c r="E1028" s="130"/>
      <c r="F1028" s="145" t="s">
        <v>212</v>
      </c>
      <c r="G1028" s="202" t="s">
        <v>259</v>
      </c>
      <c r="H1028" s="375">
        <f>4071+204</f>
        <v>4275</v>
      </c>
      <c r="I1028" s="375">
        <v>211</v>
      </c>
      <c r="J1028" s="375">
        <f t="shared" si="147"/>
        <v>4486</v>
      </c>
      <c r="K1028" s="147"/>
      <c r="L1028" s="384"/>
      <c r="M1028" s="384"/>
      <c r="N1028" s="384"/>
      <c r="O1028" s="147"/>
      <c r="P1028" s="167">
        <f t="shared" si="149"/>
        <v>4275</v>
      </c>
      <c r="Q1028" s="167">
        <f t="shared" si="150"/>
        <v>211</v>
      </c>
      <c r="R1028" s="167">
        <f t="shared" si="151"/>
        <v>4486</v>
      </c>
    </row>
    <row r="1029" spans="2:18" x14ac:dyDescent="0.2">
      <c r="B1029" s="172">
        <f t="shared" si="148"/>
        <v>530</v>
      </c>
      <c r="C1029" s="144"/>
      <c r="D1029" s="145"/>
      <c r="E1029" s="130"/>
      <c r="F1029" s="145" t="s">
        <v>218</v>
      </c>
      <c r="G1029" s="202" t="s">
        <v>341</v>
      </c>
      <c r="H1029" s="375">
        <f>SUM(H1030:H1032)</f>
        <v>2470</v>
      </c>
      <c r="I1029" s="375">
        <f>SUM(I1030:I1032)</f>
        <v>0</v>
      </c>
      <c r="J1029" s="375">
        <f t="shared" si="147"/>
        <v>2470</v>
      </c>
      <c r="K1029" s="147"/>
      <c r="L1029" s="384"/>
      <c r="M1029" s="384"/>
      <c r="N1029" s="384"/>
      <c r="O1029" s="147"/>
      <c r="P1029" s="167">
        <f t="shared" si="149"/>
        <v>2470</v>
      </c>
      <c r="Q1029" s="167">
        <f t="shared" si="150"/>
        <v>0</v>
      </c>
      <c r="R1029" s="167">
        <f t="shared" si="151"/>
        <v>2470</v>
      </c>
    </row>
    <row r="1030" spans="2:18" x14ac:dyDescent="0.2">
      <c r="B1030" s="172">
        <f t="shared" si="148"/>
        <v>531</v>
      </c>
      <c r="C1030" s="144"/>
      <c r="D1030" s="145"/>
      <c r="E1030" s="130"/>
      <c r="F1030" s="130" t="s">
        <v>200</v>
      </c>
      <c r="G1030" s="194" t="s">
        <v>247</v>
      </c>
      <c r="H1030" s="540">
        <f>1070+550</f>
        <v>1620</v>
      </c>
      <c r="I1030" s="540"/>
      <c r="J1030" s="540">
        <f t="shared" si="147"/>
        <v>1620</v>
      </c>
      <c r="K1030" s="147"/>
      <c r="L1030" s="384"/>
      <c r="M1030" s="384"/>
      <c r="N1030" s="384"/>
      <c r="O1030" s="147"/>
      <c r="P1030" s="168">
        <f t="shared" si="149"/>
        <v>1620</v>
      </c>
      <c r="Q1030" s="168">
        <f t="shared" si="150"/>
        <v>0</v>
      </c>
      <c r="R1030" s="168">
        <f t="shared" si="151"/>
        <v>1620</v>
      </c>
    </row>
    <row r="1031" spans="2:18" x14ac:dyDescent="0.2">
      <c r="B1031" s="172">
        <f t="shared" si="148"/>
        <v>532</v>
      </c>
      <c r="C1031" s="144"/>
      <c r="D1031" s="145"/>
      <c r="E1031" s="130"/>
      <c r="F1031" s="130" t="s">
        <v>214</v>
      </c>
      <c r="G1031" s="194" t="s">
        <v>261</v>
      </c>
      <c r="H1031" s="540">
        <v>100</v>
      </c>
      <c r="I1031" s="540"/>
      <c r="J1031" s="540">
        <f t="shared" si="147"/>
        <v>100</v>
      </c>
      <c r="K1031" s="147"/>
      <c r="L1031" s="384"/>
      <c r="M1031" s="384"/>
      <c r="N1031" s="384"/>
      <c r="O1031" s="147"/>
      <c r="P1031" s="168">
        <f t="shared" si="149"/>
        <v>100</v>
      </c>
      <c r="Q1031" s="168">
        <f t="shared" si="150"/>
        <v>0</v>
      </c>
      <c r="R1031" s="168">
        <f t="shared" si="151"/>
        <v>100</v>
      </c>
    </row>
    <row r="1032" spans="2:18" x14ac:dyDescent="0.2">
      <c r="B1032" s="172">
        <f t="shared" si="148"/>
        <v>533</v>
      </c>
      <c r="C1032" s="144"/>
      <c r="D1032" s="145"/>
      <c r="E1032" s="130"/>
      <c r="F1032" s="130" t="s">
        <v>216</v>
      </c>
      <c r="G1032" s="194" t="s">
        <v>248</v>
      </c>
      <c r="H1032" s="540">
        <v>750</v>
      </c>
      <c r="I1032" s="540"/>
      <c r="J1032" s="540">
        <f t="shared" si="147"/>
        <v>750</v>
      </c>
      <c r="K1032" s="147"/>
      <c r="L1032" s="384"/>
      <c r="M1032" s="384"/>
      <c r="N1032" s="384"/>
      <c r="O1032" s="147"/>
      <c r="P1032" s="168">
        <f t="shared" si="149"/>
        <v>750</v>
      </c>
      <c r="Q1032" s="168">
        <f t="shared" si="150"/>
        <v>0</v>
      </c>
      <c r="R1032" s="168">
        <f t="shared" si="151"/>
        <v>750</v>
      </c>
    </row>
    <row r="1033" spans="2:18" x14ac:dyDescent="0.2">
      <c r="B1033" s="172">
        <f t="shared" si="148"/>
        <v>534</v>
      </c>
      <c r="C1033" s="129"/>
      <c r="D1033" s="130"/>
      <c r="E1033" s="170"/>
      <c r="F1033" s="441" t="s">
        <v>607</v>
      </c>
      <c r="G1033" s="504" t="s">
        <v>658</v>
      </c>
      <c r="H1033" s="389"/>
      <c r="I1033" s="389"/>
      <c r="J1033" s="389"/>
      <c r="K1033" s="334"/>
      <c r="L1033" s="390">
        <f>5200+1130</f>
        <v>6330</v>
      </c>
      <c r="M1033" s="390"/>
      <c r="N1033" s="390">
        <f>M1033+L1033</f>
        <v>6330</v>
      </c>
      <c r="O1033" s="334"/>
      <c r="P1033" s="167">
        <f t="shared" si="149"/>
        <v>6330</v>
      </c>
      <c r="Q1033" s="167">
        <f t="shared" si="150"/>
        <v>0</v>
      </c>
      <c r="R1033" s="167">
        <f t="shared" si="151"/>
        <v>6330</v>
      </c>
    </row>
    <row r="1034" spans="2:18" ht="15" x14ac:dyDescent="0.25">
      <c r="B1034" s="172">
        <f t="shared" si="148"/>
        <v>535</v>
      </c>
      <c r="C1034" s="144"/>
      <c r="D1034" s="261" t="s">
        <v>352</v>
      </c>
      <c r="E1034" s="176" t="s">
        <v>405</v>
      </c>
      <c r="F1034" s="149" t="s">
        <v>409</v>
      </c>
      <c r="G1034" s="239"/>
      <c r="H1034" s="416">
        <f>SUM(H1035:H1037)</f>
        <v>20856</v>
      </c>
      <c r="I1034" s="416">
        <f>SUM(I1035:I1037)</f>
        <v>1673</v>
      </c>
      <c r="J1034" s="416">
        <f t="shared" ref="J1034:J1097" si="152">I1034+H1034</f>
        <v>22529</v>
      </c>
      <c r="K1034" s="330"/>
      <c r="L1034" s="421">
        <f>L1041</f>
        <v>1540</v>
      </c>
      <c r="M1034" s="421">
        <f>M1041</f>
        <v>0</v>
      </c>
      <c r="N1034" s="421">
        <f>M1034+L1034</f>
        <v>1540</v>
      </c>
      <c r="O1034" s="330"/>
      <c r="P1034" s="328">
        <f t="shared" si="149"/>
        <v>22396</v>
      </c>
      <c r="Q1034" s="328">
        <f t="shared" si="150"/>
        <v>1673</v>
      </c>
      <c r="R1034" s="328">
        <f t="shared" si="151"/>
        <v>24069</v>
      </c>
    </row>
    <row r="1035" spans="2:18" x14ac:dyDescent="0.2">
      <c r="B1035" s="172">
        <f t="shared" si="148"/>
        <v>536</v>
      </c>
      <c r="C1035" s="144"/>
      <c r="D1035" s="145"/>
      <c r="E1035" s="130"/>
      <c r="F1035" s="145" t="s">
        <v>211</v>
      </c>
      <c r="G1035" s="202" t="s">
        <v>506</v>
      </c>
      <c r="H1035" s="375">
        <f>12965+648</f>
        <v>13613</v>
      </c>
      <c r="I1035" s="375">
        <v>1209</v>
      </c>
      <c r="J1035" s="375">
        <f t="shared" si="152"/>
        <v>14822</v>
      </c>
      <c r="K1035" s="147"/>
      <c r="L1035" s="384"/>
      <c r="M1035" s="384"/>
      <c r="N1035" s="384"/>
      <c r="O1035" s="147"/>
      <c r="P1035" s="167">
        <f t="shared" si="149"/>
        <v>13613</v>
      </c>
      <c r="Q1035" s="167">
        <f t="shared" si="150"/>
        <v>1209</v>
      </c>
      <c r="R1035" s="167">
        <f t="shared" si="151"/>
        <v>14822</v>
      </c>
    </row>
    <row r="1036" spans="2:18" x14ac:dyDescent="0.2">
      <c r="B1036" s="172">
        <f t="shared" si="148"/>
        <v>537</v>
      </c>
      <c r="C1036" s="144"/>
      <c r="D1036" s="145"/>
      <c r="E1036" s="130"/>
      <c r="F1036" s="145" t="s">
        <v>212</v>
      </c>
      <c r="G1036" s="202" t="s">
        <v>259</v>
      </c>
      <c r="H1036" s="375">
        <f>4679+234</f>
        <v>4913</v>
      </c>
      <c r="I1036" s="375">
        <v>464</v>
      </c>
      <c r="J1036" s="375">
        <f t="shared" si="152"/>
        <v>5377</v>
      </c>
      <c r="K1036" s="147"/>
      <c r="L1036" s="384"/>
      <c r="M1036" s="384"/>
      <c r="N1036" s="384"/>
      <c r="O1036" s="147"/>
      <c r="P1036" s="167">
        <f t="shared" si="149"/>
        <v>4913</v>
      </c>
      <c r="Q1036" s="167">
        <f t="shared" si="150"/>
        <v>464</v>
      </c>
      <c r="R1036" s="167">
        <f t="shared" si="151"/>
        <v>5377</v>
      </c>
    </row>
    <row r="1037" spans="2:18" x14ac:dyDescent="0.2">
      <c r="B1037" s="172">
        <f t="shared" si="148"/>
        <v>538</v>
      </c>
      <c r="C1037" s="144"/>
      <c r="D1037" s="145"/>
      <c r="E1037" s="130"/>
      <c r="F1037" s="145" t="s">
        <v>218</v>
      </c>
      <c r="G1037" s="202" t="s">
        <v>341</v>
      </c>
      <c r="H1037" s="375">
        <f>SUM(H1038:H1040)</f>
        <v>2330</v>
      </c>
      <c r="I1037" s="375">
        <f>SUM(I1038:I1040)</f>
        <v>0</v>
      </c>
      <c r="J1037" s="375">
        <f t="shared" si="152"/>
        <v>2330</v>
      </c>
      <c r="K1037" s="147"/>
      <c r="L1037" s="384"/>
      <c r="M1037" s="384"/>
      <c r="N1037" s="384"/>
      <c r="O1037" s="147"/>
      <c r="P1037" s="167">
        <f t="shared" si="149"/>
        <v>2330</v>
      </c>
      <c r="Q1037" s="167">
        <f t="shared" si="150"/>
        <v>0</v>
      </c>
      <c r="R1037" s="167">
        <f t="shared" si="151"/>
        <v>2330</v>
      </c>
    </row>
    <row r="1038" spans="2:18" x14ac:dyDescent="0.2">
      <c r="B1038" s="172">
        <f t="shared" si="148"/>
        <v>539</v>
      </c>
      <c r="C1038" s="144"/>
      <c r="D1038" s="145"/>
      <c r="E1038" s="130"/>
      <c r="F1038" s="130" t="s">
        <v>200</v>
      </c>
      <c r="G1038" s="194" t="s">
        <v>247</v>
      </c>
      <c r="H1038" s="540">
        <v>1470</v>
      </c>
      <c r="I1038" s="540"/>
      <c r="J1038" s="540">
        <f t="shared" si="152"/>
        <v>1470</v>
      </c>
      <c r="K1038" s="147"/>
      <c r="L1038" s="384"/>
      <c r="M1038" s="384"/>
      <c r="N1038" s="384"/>
      <c r="O1038" s="147"/>
      <c r="P1038" s="168">
        <f t="shared" si="149"/>
        <v>1470</v>
      </c>
      <c r="Q1038" s="168">
        <f t="shared" si="150"/>
        <v>0</v>
      </c>
      <c r="R1038" s="168">
        <f t="shared" si="151"/>
        <v>1470</v>
      </c>
    </row>
    <row r="1039" spans="2:18" x14ac:dyDescent="0.2">
      <c r="B1039" s="172">
        <f t="shared" si="148"/>
        <v>540</v>
      </c>
      <c r="C1039" s="144"/>
      <c r="D1039" s="145"/>
      <c r="E1039" s="130"/>
      <c r="F1039" s="130" t="s">
        <v>214</v>
      </c>
      <c r="G1039" s="194" t="s">
        <v>261</v>
      </c>
      <c r="H1039" s="540">
        <v>100</v>
      </c>
      <c r="I1039" s="540"/>
      <c r="J1039" s="540">
        <f t="shared" si="152"/>
        <v>100</v>
      </c>
      <c r="K1039" s="147"/>
      <c r="L1039" s="384"/>
      <c r="M1039" s="384"/>
      <c r="N1039" s="384"/>
      <c r="O1039" s="147"/>
      <c r="P1039" s="168">
        <f t="shared" si="149"/>
        <v>100</v>
      </c>
      <c r="Q1039" s="168">
        <f t="shared" si="150"/>
        <v>0</v>
      </c>
      <c r="R1039" s="168">
        <f t="shared" si="151"/>
        <v>100</v>
      </c>
    </row>
    <row r="1040" spans="2:18" x14ac:dyDescent="0.2">
      <c r="B1040" s="172">
        <f t="shared" si="148"/>
        <v>541</v>
      </c>
      <c r="C1040" s="144"/>
      <c r="D1040" s="145"/>
      <c r="E1040" s="130"/>
      <c r="F1040" s="130" t="s">
        <v>216</v>
      </c>
      <c r="G1040" s="194" t="s">
        <v>248</v>
      </c>
      <c r="H1040" s="540">
        <v>760</v>
      </c>
      <c r="I1040" s="540"/>
      <c r="J1040" s="540">
        <f t="shared" si="152"/>
        <v>760</v>
      </c>
      <c r="K1040" s="147"/>
      <c r="L1040" s="384"/>
      <c r="M1040" s="384"/>
      <c r="N1040" s="384"/>
      <c r="O1040" s="147"/>
      <c r="P1040" s="168">
        <f t="shared" si="149"/>
        <v>760</v>
      </c>
      <c r="Q1040" s="168">
        <f t="shared" si="150"/>
        <v>0</v>
      </c>
      <c r="R1040" s="168">
        <f t="shared" si="151"/>
        <v>760</v>
      </c>
    </row>
    <row r="1041" spans="2:18" x14ac:dyDescent="0.2">
      <c r="B1041" s="172">
        <f t="shared" si="148"/>
        <v>542</v>
      </c>
      <c r="C1041" s="144"/>
      <c r="D1041" s="145"/>
      <c r="E1041" s="170"/>
      <c r="F1041" s="441" t="s">
        <v>607</v>
      </c>
      <c r="G1041" s="504" t="s">
        <v>664</v>
      </c>
      <c r="H1041" s="540"/>
      <c r="I1041" s="540"/>
      <c r="J1041" s="540">
        <f t="shared" si="152"/>
        <v>0</v>
      </c>
      <c r="K1041" s="147"/>
      <c r="L1041" s="384">
        <f>3220-1680</f>
        <v>1540</v>
      </c>
      <c r="M1041" s="384"/>
      <c r="N1041" s="384">
        <f>M1041+L1041</f>
        <v>1540</v>
      </c>
      <c r="O1041" s="147"/>
      <c r="P1041" s="167">
        <f t="shared" si="149"/>
        <v>1540</v>
      </c>
      <c r="Q1041" s="167">
        <f t="shared" si="150"/>
        <v>0</v>
      </c>
      <c r="R1041" s="167">
        <f t="shared" si="151"/>
        <v>1540</v>
      </c>
    </row>
    <row r="1042" spans="2:18" ht="15" x14ac:dyDescent="0.25">
      <c r="B1042" s="172">
        <f t="shared" si="148"/>
        <v>543</v>
      </c>
      <c r="C1042" s="144"/>
      <c r="D1042" s="261" t="s">
        <v>354</v>
      </c>
      <c r="E1042" s="268" t="s">
        <v>405</v>
      </c>
      <c r="F1042" s="265" t="s">
        <v>410</v>
      </c>
      <c r="G1042" s="266"/>
      <c r="H1042" s="416">
        <f>SUM(H1043:H1045)</f>
        <v>28416</v>
      </c>
      <c r="I1042" s="416">
        <f>SUM(I1043:I1045)</f>
        <v>1218</v>
      </c>
      <c r="J1042" s="416">
        <f t="shared" si="152"/>
        <v>29634</v>
      </c>
      <c r="K1042" s="330"/>
      <c r="L1042" s="421">
        <f>L1049</f>
        <v>4850</v>
      </c>
      <c r="M1042" s="421">
        <f>M1049</f>
        <v>0</v>
      </c>
      <c r="N1042" s="421">
        <f>M1042+L1042</f>
        <v>4850</v>
      </c>
      <c r="O1042" s="330"/>
      <c r="P1042" s="328">
        <f t="shared" si="149"/>
        <v>33266</v>
      </c>
      <c r="Q1042" s="328">
        <f t="shared" si="150"/>
        <v>1218</v>
      </c>
      <c r="R1042" s="328">
        <f t="shared" si="151"/>
        <v>34484</v>
      </c>
    </row>
    <row r="1043" spans="2:18" x14ac:dyDescent="0.2">
      <c r="B1043" s="172">
        <f t="shared" si="148"/>
        <v>544</v>
      </c>
      <c r="C1043" s="144"/>
      <c r="D1043" s="145"/>
      <c r="E1043" s="130"/>
      <c r="F1043" s="145" t="s">
        <v>211</v>
      </c>
      <c r="G1043" s="202" t="s">
        <v>506</v>
      </c>
      <c r="H1043" s="375">
        <f>17980+899</f>
        <v>18879</v>
      </c>
      <c r="I1043" s="375">
        <v>788</v>
      </c>
      <c r="J1043" s="375">
        <f t="shared" si="152"/>
        <v>19667</v>
      </c>
      <c r="K1043" s="147"/>
      <c r="L1043" s="146"/>
      <c r="M1043" s="146"/>
      <c r="N1043" s="146"/>
      <c r="O1043" s="147"/>
      <c r="P1043" s="545">
        <f t="shared" si="149"/>
        <v>18879</v>
      </c>
      <c r="Q1043" s="545">
        <f t="shared" si="150"/>
        <v>788</v>
      </c>
      <c r="R1043" s="545">
        <f t="shared" si="151"/>
        <v>19667</v>
      </c>
    </row>
    <row r="1044" spans="2:18" x14ac:dyDescent="0.2">
      <c r="B1044" s="172">
        <f t="shared" si="148"/>
        <v>545</v>
      </c>
      <c r="C1044" s="144"/>
      <c r="D1044" s="145"/>
      <c r="E1044" s="130"/>
      <c r="F1044" s="145" t="s">
        <v>212</v>
      </c>
      <c r="G1044" s="202" t="s">
        <v>259</v>
      </c>
      <c r="H1044" s="375">
        <f>6435+322</f>
        <v>6757</v>
      </c>
      <c r="I1044" s="375">
        <v>430</v>
      </c>
      <c r="J1044" s="375">
        <f t="shared" si="152"/>
        <v>7187</v>
      </c>
      <c r="K1044" s="147"/>
      <c r="L1044" s="384"/>
      <c r="M1044" s="384"/>
      <c r="N1044" s="384"/>
      <c r="O1044" s="147"/>
      <c r="P1044" s="167">
        <f t="shared" si="149"/>
        <v>6757</v>
      </c>
      <c r="Q1044" s="167">
        <f t="shared" si="150"/>
        <v>430</v>
      </c>
      <c r="R1044" s="167">
        <f t="shared" si="151"/>
        <v>7187</v>
      </c>
    </row>
    <row r="1045" spans="2:18" x14ac:dyDescent="0.2">
      <c r="B1045" s="172">
        <f t="shared" si="148"/>
        <v>546</v>
      </c>
      <c r="C1045" s="144"/>
      <c r="D1045" s="145"/>
      <c r="E1045" s="130"/>
      <c r="F1045" s="145" t="s">
        <v>218</v>
      </c>
      <c r="G1045" s="202" t="s">
        <v>341</v>
      </c>
      <c r="H1045" s="375">
        <f>SUM(H1046:H1048)</f>
        <v>2780</v>
      </c>
      <c r="I1045" s="375">
        <f>SUM(I1046:I1048)</f>
        <v>0</v>
      </c>
      <c r="J1045" s="375">
        <f t="shared" si="152"/>
        <v>2780</v>
      </c>
      <c r="K1045" s="147"/>
      <c r="L1045" s="384"/>
      <c r="M1045" s="384"/>
      <c r="N1045" s="384"/>
      <c r="O1045" s="147"/>
      <c r="P1045" s="167">
        <f t="shared" si="149"/>
        <v>2780</v>
      </c>
      <c r="Q1045" s="167">
        <f t="shared" si="150"/>
        <v>0</v>
      </c>
      <c r="R1045" s="167">
        <f t="shared" si="151"/>
        <v>2780</v>
      </c>
    </row>
    <row r="1046" spans="2:18" x14ac:dyDescent="0.2">
      <c r="B1046" s="172">
        <f t="shared" si="148"/>
        <v>547</v>
      </c>
      <c r="C1046" s="144"/>
      <c r="D1046" s="145"/>
      <c r="E1046" s="130"/>
      <c r="F1046" s="130" t="s">
        <v>200</v>
      </c>
      <c r="G1046" s="194" t="s">
        <v>247</v>
      </c>
      <c r="H1046" s="540">
        <v>1850</v>
      </c>
      <c r="I1046" s="540"/>
      <c r="J1046" s="540">
        <f t="shared" si="152"/>
        <v>1850</v>
      </c>
      <c r="K1046" s="147"/>
      <c r="L1046" s="384"/>
      <c r="M1046" s="384"/>
      <c r="N1046" s="384"/>
      <c r="O1046" s="147"/>
      <c r="P1046" s="168">
        <f t="shared" si="149"/>
        <v>1850</v>
      </c>
      <c r="Q1046" s="168">
        <f t="shared" si="150"/>
        <v>0</v>
      </c>
      <c r="R1046" s="168">
        <f t="shared" si="151"/>
        <v>1850</v>
      </c>
    </row>
    <row r="1047" spans="2:18" x14ac:dyDescent="0.2">
      <c r="B1047" s="172">
        <f t="shared" si="148"/>
        <v>548</v>
      </c>
      <c r="C1047" s="144"/>
      <c r="D1047" s="145"/>
      <c r="E1047" s="130"/>
      <c r="F1047" s="130" t="s">
        <v>214</v>
      </c>
      <c r="G1047" s="194" t="s">
        <v>261</v>
      </c>
      <c r="H1047" s="540">
        <v>100</v>
      </c>
      <c r="I1047" s="540"/>
      <c r="J1047" s="540">
        <f t="shared" si="152"/>
        <v>100</v>
      </c>
      <c r="K1047" s="147"/>
      <c r="L1047" s="384"/>
      <c r="M1047" s="384"/>
      <c r="N1047" s="384"/>
      <c r="O1047" s="147"/>
      <c r="P1047" s="168">
        <f t="shared" si="149"/>
        <v>100</v>
      </c>
      <c r="Q1047" s="168">
        <f t="shared" si="150"/>
        <v>0</v>
      </c>
      <c r="R1047" s="168">
        <f t="shared" si="151"/>
        <v>100</v>
      </c>
    </row>
    <row r="1048" spans="2:18" x14ac:dyDescent="0.2">
      <c r="B1048" s="172">
        <f t="shared" si="148"/>
        <v>549</v>
      </c>
      <c r="C1048" s="144"/>
      <c r="D1048" s="145"/>
      <c r="E1048" s="130"/>
      <c r="F1048" s="130" t="s">
        <v>216</v>
      </c>
      <c r="G1048" s="194" t="s">
        <v>248</v>
      </c>
      <c r="H1048" s="540">
        <v>830</v>
      </c>
      <c r="I1048" s="540"/>
      <c r="J1048" s="540">
        <f t="shared" si="152"/>
        <v>830</v>
      </c>
      <c r="K1048" s="147"/>
      <c r="L1048" s="384"/>
      <c r="M1048" s="384"/>
      <c r="N1048" s="384"/>
      <c r="O1048" s="147"/>
      <c r="P1048" s="168">
        <f t="shared" si="149"/>
        <v>830</v>
      </c>
      <c r="Q1048" s="168">
        <f t="shared" si="150"/>
        <v>0</v>
      </c>
      <c r="R1048" s="168">
        <f t="shared" si="151"/>
        <v>830</v>
      </c>
    </row>
    <row r="1049" spans="2:18" x14ac:dyDescent="0.2">
      <c r="B1049" s="172">
        <f t="shared" si="148"/>
        <v>550</v>
      </c>
      <c r="C1049" s="144"/>
      <c r="D1049" s="145"/>
      <c r="E1049" s="170"/>
      <c r="F1049" s="441" t="s">
        <v>607</v>
      </c>
      <c r="G1049" s="504" t="s">
        <v>732</v>
      </c>
      <c r="H1049" s="540"/>
      <c r="I1049" s="540"/>
      <c r="J1049" s="540">
        <f t="shared" si="152"/>
        <v>0</v>
      </c>
      <c r="K1049" s="147"/>
      <c r="L1049" s="384">
        <v>4850</v>
      </c>
      <c r="M1049" s="384"/>
      <c r="N1049" s="384">
        <f>M1049+L1049</f>
        <v>4850</v>
      </c>
      <c r="O1049" s="147"/>
      <c r="P1049" s="167">
        <f t="shared" si="149"/>
        <v>4850</v>
      </c>
      <c r="Q1049" s="167">
        <f t="shared" si="150"/>
        <v>0</v>
      </c>
      <c r="R1049" s="167">
        <f t="shared" si="151"/>
        <v>4850</v>
      </c>
    </row>
    <row r="1050" spans="2:18" ht="15" x14ac:dyDescent="0.25">
      <c r="B1050" s="172">
        <f t="shared" si="148"/>
        <v>551</v>
      </c>
      <c r="C1050" s="144"/>
      <c r="D1050" s="261" t="s">
        <v>357</v>
      </c>
      <c r="E1050" s="176" t="s">
        <v>405</v>
      </c>
      <c r="F1050" s="149" t="s">
        <v>411</v>
      </c>
      <c r="G1050" s="239"/>
      <c r="H1050" s="416">
        <f>SUM(H1051:H1053)</f>
        <v>25854</v>
      </c>
      <c r="I1050" s="416">
        <f>SUM(I1051:I1053)</f>
        <v>-1959</v>
      </c>
      <c r="J1050" s="416">
        <f t="shared" si="152"/>
        <v>23895</v>
      </c>
      <c r="K1050" s="330"/>
      <c r="L1050" s="421">
        <f>L1057</f>
        <v>2940</v>
      </c>
      <c r="M1050" s="421">
        <f>M1057</f>
        <v>0</v>
      </c>
      <c r="N1050" s="421">
        <f>M1050+L1050</f>
        <v>2940</v>
      </c>
      <c r="O1050" s="330"/>
      <c r="P1050" s="328">
        <f t="shared" si="149"/>
        <v>28794</v>
      </c>
      <c r="Q1050" s="328">
        <f t="shared" si="150"/>
        <v>-1959</v>
      </c>
      <c r="R1050" s="328">
        <f t="shared" si="151"/>
        <v>26835</v>
      </c>
    </row>
    <row r="1051" spans="2:18" x14ac:dyDescent="0.2">
      <c r="B1051" s="172">
        <f t="shared" si="148"/>
        <v>552</v>
      </c>
      <c r="C1051" s="144"/>
      <c r="D1051" s="145"/>
      <c r="E1051" s="130"/>
      <c r="F1051" s="145" t="s">
        <v>211</v>
      </c>
      <c r="G1051" s="202" t="s">
        <v>506</v>
      </c>
      <c r="H1051" s="375">
        <f>16520+826</f>
        <v>17346</v>
      </c>
      <c r="I1051" s="375">
        <v>-1462</v>
      </c>
      <c r="J1051" s="375">
        <f t="shared" si="152"/>
        <v>15884</v>
      </c>
      <c r="K1051" s="147"/>
      <c r="L1051" s="384"/>
      <c r="M1051" s="384"/>
      <c r="N1051" s="384"/>
      <c r="O1051" s="147"/>
      <c r="P1051" s="167">
        <f t="shared" si="149"/>
        <v>17346</v>
      </c>
      <c r="Q1051" s="167">
        <f t="shared" si="150"/>
        <v>-1462</v>
      </c>
      <c r="R1051" s="167">
        <f t="shared" si="151"/>
        <v>15884</v>
      </c>
    </row>
    <row r="1052" spans="2:18" x14ac:dyDescent="0.2">
      <c r="B1052" s="172">
        <f t="shared" si="148"/>
        <v>553</v>
      </c>
      <c r="C1052" s="144"/>
      <c r="D1052" s="145"/>
      <c r="E1052" s="130"/>
      <c r="F1052" s="145" t="s">
        <v>212</v>
      </c>
      <c r="G1052" s="202" t="s">
        <v>259</v>
      </c>
      <c r="H1052" s="375">
        <f>6036+302</f>
        <v>6338</v>
      </c>
      <c r="I1052" s="375">
        <v>-497</v>
      </c>
      <c r="J1052" s="375">
        <f t="shared" si="152"/>
        <v>5841</v>
      </c>
      <c r="K1052" s="147"/>
      <c r="L1052" s="384"/>
      <c r="M1052" s="384"/>
      <c r="N1052" s="384"/>
      <c r="O1052" s="147"/>
      <c r="P1052" s="167">
        <f t="shared" si="149"/>
        <v>6338</v>
      </c>
      <c r="Q1052" s="167">
        <f t="shared" si="150"/>
        <v>-497</v>
      </c>
      <c r="R1052" s="167">
        <f t="shared" si="151"/>
        <v>5841</v>
      </c>
    </row>
    <row r="1053" spans="2:18" x14ac:dyDescent="0.2">
      <c r="B1053" s="172">
        <f t="shared" si="148"/>
        <v>554</v>
      </c>
      <c r="C1053" s="144"/>
      <c r="D1053" s="145"/>
      <c r="E1053" s="130"/>
      <c r="F1053" s="145" t="s">
        <v>218</v>
      </c>
      <c r="G1053" s="202" t="s">
        <v>341</v>
      </c>
      <c r="H1053" s="375">
        <f>SUM(H1054:H1056)</f>
        <v>2170</v>
      </c>
      <c r="I1053" s="375">
        <f>SUM(I1054:I1056)</f>
        <v>0</v>
      </c>
      <c r="J1053" s="375">
        <f t="shared" si="152"/>
        <v>2170</v>
      </c>
      <c r="K1053" s="147"/>
      <c r="L1053" s="384"/>
      <c r="M1053" s="384"/>
      <c r="N1053" s="384"/>
      <c r="O1053" s="147"/>
      <c r="P1053" s="167">
        <f t="shared" si="149"/>
        <v>2170</v>
      </c>
      <c r="Q1053" s="167">
        <f t="shared" si="150"/>
        <v>0</v>
      </c>
      <c r="R1053" s="167">
        <f t="shared" si="151"/>
        <v>2170</v>
      </c>
    </row>
    <row r="1054" spans="2:18" x14ac:dyDescent="0.2">
      <c r="B1054" s="172">
        <f t="shared" si="148"/>
        <v>555</v>
      </c>
      <c r="C1054" s="144"/>
      <c r="D1054" s="145"/>
      <c r="E1054" s="130"/>
      <c r="F1054" s="130" t="s">
        <v>200</v>
      </c>
      <c r="G1054" s="194" t="s">
        <v>247</v>
      </c>
      <c r="H1054" s="540">
        <v>1230</v>
      </c>
      <c r="I1054" s="540"/>
      <c r="J1054" s="540">
        <f t="shared" si="152"/>
        <v>1230</v>
      </c>
      <c r="K1054" s="147"/>
      <c r="L1054" s="384"/>
      <c r="M1054" s="384"/>
      <c r="N1054" s="384"/>
      <c r="O1054" s="147"/>
      <c r="P1054" s="168">
        <f t="shared" si="149"/>
        <v>1230</v>
      </c>
      <c r="Q1054" s="168">
        <f t="shared" si="150"/>
        <v>0</v>
      </c>
      <c r="R1054" s="168">
        <f t="shared" si="151"/>
        <v>1230</v>
      </c>
    </row>
    <row r="1055" spans="2:18" x14ac:dyDescent="0.2">
      <c r="B1055" s="172">
        <f t="shared" si="148"/>
        <v>556</v>
      </c>
      <c r="C1055" s="144"/>
      <c r="D1055" s="145"/>
      <c r="E1055" s="130"/>
      <c r="F1055" s="130" t="s">
        <v>214</v>
      </c>
      <c r="G1055" s="194" t="s">
        <v>261</v>
      </c>
      <c r="H1055" s="540">
        <v>100</v>
      </c>
      <c r="I1055" s="540"/>
      <c r="J1055" s="540">
        <f t="shared" si="152"/>
        <v>100</v>
      </c>
      <c r="K1055" s="147"/>
      <c r="L1055" s="384"/>
      <c r="M1055" s="384"/>
      <c r="N1055" s="384"/>
      <c r="O1055" s="147"/>
      <c r="P1055" s="168">
        <f t="shared" si="149"/>
        <v>100</v>
      </c>
      <c r="Q1055" s="168">
        <f t="shared" si="150"/>
        <v>0</v>
      </c>
      <c r="R1055" s="168">
        <f t="shared" si="151"/>
        <v>100</v>
      </c>
    </row>
    <row r="1056" spans="2:18" x14ac:dyDescent="0.2">
      <c r="B1056" s="172">
        <f t="shared" si="148"/>
        <v>557</v>
      </c>
      <c r="C1056" s="144"/>
      <c r="D1056" s="145"/>
      <c r="E1056" s="130"/>
      <c r="F1056" s="130" t="s">
        <v>216</v>
      </c>
      <c r="G1056" s="194" t="s">
        <v>248</v>
      </c>
      <c r="H1056" s="540">
        <v>840</v>
      </c>
      <c r="I1056" s="540"/>
      <c r="J1056" s="540">
        <f t="shared" si="152"/>
        <v>840</v>
      </c>
      <c r="K1056" s="147"/>
      <c r="L1056" s="384"/>
      <c r="M1056" s="384"/>
      <c r="N1056" s="384"/>
      <c r="O1056" s="147"/>
      <c r="P1056" s="168">
        <f t="shared" si="149"/>
        <v>840</v>
      </c>
      <c r="Q1056" s="168">
        <f t="shared" si="150"/>
        <v>0</v>
      </c>
      <c r="R1056" s="168">
        <f t="shared" si="151"/>
        <v>840</v>
      </c>
    </row>
    <row r="1057" spans="2:18" x14ac:dyDescent="0.2">
      <c r="B1057" s="172">
        <f t="shared" si="148"/>
        <v>558</v>
      </c>
      <c r="C1057" s="129"/>
      <c r="D1057" s="130"/>
      <c r="E1057" s="170"/>
      <c r="F1057" s="441" t="s">
        <v>607</v>
      </c>
      <c r="G1057" s="504" t="s">
        <v>659</v>
      </c>
      <c r="H1057" s="389"/>
      <c r="I1057" s="389"/>
      <c r="J1057" s="389">
        <f t="shared" si="152"/>
        <v>0</v>
      </c>
      <c r="K1057" s="334"/>
      <c r="L1057" s="390">
        <f>2880+60</f>
        <v>2940</v>
      </c>
      <c r="M1057" s="390"/>
      <c r="N1057" s="390">
        <f>M1057+L1057</f>
        <v>2940</v>
      </c>
      <c r="O1057" s="334"/>
      <c r="P1057" s="167">
        <f t="shared" si="149"/>
        <v>2940</v>
      </c>
      <c r="Q1057" s="167">
        <f t="shared" si="150"/>
        <v>0</v>
      </c>
      <c r="R1057" s="167">
        <f t="shared" si="151"/>
        <v>2940</v>
      </c>
    </row>
    <row r="1058" spans="2:18" ht="15" x14ac:dyDescent="0.25">
      <c r="B1058" s="172">
        <f t="shared" si="148"/>
        <v>559</v>
      </c>
      <c r="C1058" s="144"/>
      <c r="D1058" s="261" t="s">
        <v>359</v>
      </c>
      <c r="E1058" s="176" t="s">
        <v>405</v>
      </c>
      <c r="F1058" s="149" t="s">
        <v>412</v>
      </c>
      <c r="G1058" s="239"/>
      <c r="H1058" s="503">
        <f>SUM(H1059:H1061)+H1065</f>
        <v>16624</v>
      </c>
      <c r="I1058" s="503">
        <f>SUM(I1059:I1061)+I1065</f>
        <v>-2297</v>
      </c>
      <c r="J1058" s="503">
        <f t="shared" si="152"/>
        <v>14327</v>
      </c>
      <c r="K1058" s="330"/>
      <c r="L1058" s="421"/>
      <c r="M1058" s="421"/>
      <c r="N1058" s="421">
        <f>M1058+L1058</f>
        <v>0</v>
      </c>
      <c r="O1058" s="330"/>
      <c r="P1058" s="328">
        <f t="shared" si="149"/>
        <v>16624</v>
      </c>
      <c r="Q1058" s="328">
        <f t="shared" si="150"/>
        <v>-2297</v>
      </c>
      <c r="R1058" s="328">
        <f t="shared" si="151"/>
        <v>14327</v>
      </c>
    </row>
    <row r="1059" spans="2:18" x14ac:dyDescent="0.2">
      <c r="B1059" s="172">
        <f t="shared" si="148"/>
        <v>560</v>
      </c>
      <c r="C1059" s="144"/>
      <c r="D1059" s="145"/>
      <c r="E1059" s="130"/>
      <c r="F1059" s="145" t="s">
        <v>211</v>
      </c>
      <c r="G1059" s="202" t="s">
        <v>506</v>
      </c>
      <c r="H1059" s="375">
        <f>9850+493</f>
        <v>10343</v>
      </c>
      <c r="I1059" s="375">
        <v>-1918</v>
      </c>
      <c r="J1059" s="375">
        <f t="shared" si="152"/>
        <v>8425</v>
      </c>
      <c r="K1059" s="147"/>
      <c r="L1059" s="384"/>
      <c r="M1059" s="384"/>
      <c r="N1059" s="384"/>
      <c r="O1059" s="147"/>
      <c r="P1059" s="167">
        <f t="shared" si="149"/>
        <v>10343</v>
      </c>
      <c r="Q1059" s="167">
        <f t="shared" si="150"/>
        <v>-1918</v>
      </c>
      <c r="R1059" s="167">
        <f t="shared" si="151"/>
        <v>8425</v>
      </c>
    </row>
    <row r="1060" spans="2:18" x14ac:dyDescent="0.2">
      <c r="B1060" s="172">
        <f t="shared" si="148"/>
        <v>561</v>
      </c>
      <c r="C1060" s="144"/>
      <c r="D1060" s="145"/>
      <c r="E1060" s="130"/>
      <c r="F1060" s="145" t="s">
        <v>212</v>
      </c>
      <c r="G1060" s="202" t="s">
        <v>259</v>
      </c>
      <c r="H1060" s="375">
        <f>3644+182</f>
        <v>3826</v>
      </c>
      <c r="I1060" s="375">
        <v>-379</v>
      </c>
      <c r="J1060" s="375">
        <f t="shared" si="152"/>
        <v>3447</v>
      </c>
      <c r="K1060" s="147"/>
      <c r="L1060" s="384"/>
      <c r="M1060" s="384"/>
      <c r="N1060" s="384"/>
      <c r="O1060" s="147"/>
      <c r="P1060" s="167">
        <f t="shared" si="149"/>
        <v>3826</v>
      </c>
      <c r="Q1060" s="167">
        <f t="shared" si="150"/>
        <v>-379</v>
      </c>
      <c r="R1060" s="167">
        <f t="shared" si="151"/>
        <v>3447</v>
      </c>
    </row>
    <row r="1061" spans="2:18" x14ac:dyDescent="0.2">
      <c r="B1061" s="172">
        <f t="shared" si="148"/>
        <v>562</v>
      </c>
      <c r="C1061" s="144"/>
      <c r="D1061" s="145"/>
      <c r="E1061" s="130"/>
      <c r="F1061" s="145" t="s">
        <v>218</v>
      </c>
      <c r="G1061" s="202" t="s">
        <v>341</v>
      </c>
      <c r="H1061" s="375">
        <f>SUM(H1062:H1064)</f>
        <v>1595</v>
      </c>
      <c r="I1061" s="375">
        <f>SUM(I1062:I1064)</f>
        <v>0</v>
      </c>
      <c r="J1061" s="375">
        <f t="shared" si="152"/>
        <v>1595</v>
      </c>
      <c r="K1061" s="147"/>
      <c r="L1061" s="384"/>
      <c r="M1061" s="384"/>
      <c r="N1061" s="384"/>
      <c r="O1061" s="147"/>
      <c r="P1061" s="167">
        <f t="shared" si="149"/>
        <v>1595</v>
      </c>
      <c r="Q1061" s="167">
        <f t="shared" si="150"/>
        <v>0</v>
      </c>
      <c r="R1061" s="167">
        <f t="shared" si="151"/>
        <v>1595</v>
      </c>
    </row>
    <row r="1062" spans="2:18" x14ac:dyDescent="0.2">
      <c r="B1062" s="172">
        <f t="shared" si="148"/>
        <v>563</v>
      </c>
      <c r="C1062" s="144"/>
      <c r="D1062" s="145"/>
      <c r="E1062" s="130"/>
      <c r="F1062" s="130" t="s">
        <v>200</v>
      </c>
      <c r="G1062" s="194" t="s">
        <v>247</v>
      </c>
      <c r="H1062" s="540">
        <v>815</v>
      </c>
      <c r="I1062" s="540"/>
      <c r="J1062" s="540">
        <f t="shared" si="152"/>
        <v>815</v>
      </c>
      <c r="K1062" s="147"/>
      <c r="L1062" s="384"/>
      <c r="M1062" s="384"/>
      <c r="N1062" s="384"/>
      <c r="O1062" s="147"/>
      <c r="P1062" s="168">
        <f t="shared" si="149"/>
        <v>815</v>
      </c>
      <c r="Q1062" s="168">
        <f t="shared" si="150"/>
        <v>0</v>
      </c>
      <c r="R1062" s="168">
        <f t="shared" si="151"/>
        <v>815</v>
      </c>
    </row>
    <row r="1063" spans="2:18" x14ac:dyDescent="0.2">
      <c r="B1063" s="172">
        <f t="shared" si="148"/>
        <v>564</v>
      </c>
      <c r="C1063" s="144"/>
      <c r="D1063" s="145"/>
      <c r="E1063" s="130"/>
      <c r="F1063" s="130" t="s">
        <v>214</v>
      </c>
      <c r="G1063" s="194" t="s">
        <v>261</v>
      </c>
      <c r="H1063" s="540">
        <v>60</v>
      </c>
      <c r="I1063" s="540"/>
      <c r="J1063" s="540">
        <f t="shared" si="152"/>
        <v>60</v>
      </c>
      <c r="K1063" s="147"/>
      <c r="L1063" s="384"/>
      <c r="M1063" s="384"/>
      <c r="N1063" s="384"/>
      <c r="O1063" s="147"/>
      <c r="P1063" s="168">
        <f t="shared" si="149"/>
        <v>60</v>
      </c>
      <c r="Q1063" s="168">
        <f t="shared" si="150"/>
        <v>0</v>
      </c>
      <c r="R1063" s="168">
        <f t="shared" si="151"/>
        <v>60</v>
      </c>
    </row>
    <row r="1064" spans="2:18" x14ac:dyDescent="0.2">
      <c r="B1064" s="172">
        <f t="shared" si="148"/>
        <v>565</v>
      </c>
      <c r="C1064" s="144"/>
      <c r="D1064" s="145"/>
      <c r="E1064" s="130"/>
      <c r="F1064" s="130" t="s">
        <v>216</v>
      </c>
      <c r="G1064" s="194" t="s">
        <v>248</v>
      </c>
      <c r="H1064" s="540">
        <v>720</v>
      </c>
      <c r="I1064" s="540"/>
      <c r="J1064" s="540">
        <f t="shared" si="152"/>
        <v>720</v>
      </c>
      <c r="K1064" s="147"/>
      <c r="L1064" s="384"/>
      <c r="M1064" s="384"/>
      <c r="N1064" s="384"/>
      <c r="O1064" s="147"/>
      <c r="P1064" s="168">
        <f t="shared" si="149"/>
        <v>720</v>
      </c>
      <c r="Q1064" s="168">
        <f t="shared" si="150"/>
        <v>0</v>
      </c>
      <c r="R1064" s="168">
        <f t="shared" si="151"/>
        <v>720</v>
      </c>
    </row>
    <row r="1065" spans="2:18" x14ac:dyDescent="0.2">
      <c r="B1065" s="172">
        <f t="shared" si="148"/>
        <v>566</v>
      </c>
      <c r="C1065" s="144"/>
      <c r="D1065" s="145"/>
      <c r="E1065" s="170"/>
      <c r="F1065" s="145" t="s">
        <v>217</v>
      </c>
      <c r="G1065" s="202" t="s">
        <v>505</v>
      </c>
      <c r="H1065" s="375">
        <v>860</v>
      </c>
      <c r="I1065" s="375"/>
      <c r="J1065" s="375">
        <f t="shared" si="152"/>
        <v>860</v>
      </c>
      <c r="K1065" s="147"/>
      <c r="L1065" s="384"/>
      <c r="M1065" s="384"/>
      <c r="N1065" s="384"/>
      <c r="O1065" s="147"/>
      <c r="P1065" s="167">
        <f t="shared" si="149"/>
        <v>860</v>
      </c>
      <c r="Q1065" s="167">
        <f t="shared" si="150"/>
        <v>0</v>
      </c>
      <c r="R1065" s="167">
        <f t="shared" si="151"/>
        <v>860</v>
      </c>
    </row>
    <row r="1066" spans="2:18" ht="15" x14ac:dyDescent="0.25">
      <c r="B1066" s="172">
        <f t="shared" si="148"/>
        <v>567</v>
      </c>
      <c r="C1066" s="144"/>
      <c r="D1066" s="261" t="s">
        <v>361</v>
      </c>
      <c r="E1066" s="176" t="s">
        <v>405</v>
      </c>
      <c r="F1066" s="149" t="s">
        <v>413</v>
      </c>
      <c r="G1066" s="239"/>
      <c r="H1066" s="416">
        <f>SUM(H1067:H1069)</f>
        <v>19182</v>
      </c>
      <c r="I1066" s="416">
        <f>SUM(I1067:I1069)</f>
        <v>-414</v>
      </c>
      <c r="J1066" s="416">
        <f t="shared" si="152"/>
        <v>18768</v>
      </c>
      <c r="K1066" s="330"/>
      <c r="L1066" s="421">
        <f>L1073</f>
        <v>600</v>
      </c>
      <c r="M1066" s="421">
        <f>M1073</f>
        <v>0</v>
      </c>
      <c r="N1066" s="421">
        <f>M1066+L1066</f>
        <v>600</v>
      </c>
      <c r="O1066" s="330"/>
      <c r="P1066" s="328">
        <f t="shared" si="149"/>
        <v>19782</v>
      </c>
      <c r="Q1066" s="328">
        <f t="shared" si="150"/>
        <v>-414</v>
      </c>
      <c r="R1066" s="328">
        <f t="shared" si="151"/>
        <v>19368</v>
      </c>
    </row>
    <row r="1067" spans="2:18" x14ac:dyDescent="0.2">
      <c r="B1067" s="172">
        <f t="shared" si="148"/>
        <v>568</v>
      </c>
      <c r="C1067" s="144"/>
      <c r="D1067" s="145"/>
      <c r="E1067" s="130"/>
      <c r="F1067" s="145" t="s">
        <v>211</v>
      </c>
      <c r="G1067" s="202" t="s">
        <v>506</v>
      </c>
      <c r="H1067" s="375">
        <f>12135+607</f>
        <v>12742</v>
      </c>
      <c r="I1067" s="375">
        <v>-292</v>
      </c>
      <c r="J1067" s="375">
        <f t="shared" si="152"/>
        <v>12450</v>
      </c>
      <c r="K1067" s="147"/>
      <c r="L1067" s="384"/>
      <c r="M1067" s="384"/>
      <c r="N1067" s="384"/>
      <c r="O1067" s="147"/>
      <c r="P1067" s="167">
        <f t="shared" si="149"/>
        <v>12742</v>
      </c>
      <c r="Q1067" s="167">
        <f t="shared" si="150"/>
        <v>-292</v>
      </c>
      <c r="R1067" s="167">
        <f t="shared" si="151"/>
        <v>12450</v>
      </c>
    </row>
    <row r="1068" spans="2:18" x14ac:dyDescent="0.2">
      <c r="B1068" s="172">
        <f t="shared" si="148"/>
        <v>569</v>
      </c>
      <c r="C1068" s="144"/>
      <c r="D1068" s="145"/>
      <c r="E1068" s="130"/>
      <c r="F1068" s="145" t="s">
        <v>212</v>
      </c>
      <c r="G1068" s="202" t="s">
        <v>259</v>
      </c>
      <c r="H1068" s="375">
        <f>4490+225</f>
        <v>4715</v>
      </c>
      <c r="I1068" s="375">
        <v>-122</v>
      </c>
      <c r="J1068" s="375">
        <f t="shared" si="152"/>
        <v>4593</v>
      </c>
      <c r="K1068" s="147"/>
      <c r="L1068" s="384"/>
      <c r="M1068" s="384"/>
      <c r="N1068" s="384"/>
      <c r="O1068" s="147"/>
      <c r="P1068" s="167">
        <f t="shared" si="149"/>
        <v>4715</v>
      </c>
      <c r="Q1068" s="167">
        <f t="shared" si="150"/>
        <v>-122</v>
      </c>
      <c r="R1068" s="167">
        <f t="shared" si="151"/>
        <v>4593</v>
      </c>
    </row>
    <row r="1069" spans="2:18" x14ac:dyDescent="0.2">
      <c r="B1069" s="172">
        <f t="shared" si="148"/>
        <v>570</v>
      </c>
      <c r="C1069" s="144"/>
      <c r="D1069" s="145"/>
      <c r="E1069" s="130"/>
      <c r="F1069" s="145" t="s">
        <v>218</v>
      </c>
      <c r="G1069" s="202" t="s">
        <v>341</v>
      </c>
      <c r="H1069" s="375">
        <f>SUM(H1070:H1072)</f>
        <v>1725</v>
      </c>
      <c r="I1069" s="375">
        <f>SUM(I1070:I1072)</f>
        <v>0</v>
      </c>
      <c r="J1069" s="375">
        <f t="shared" si="152"/>
        <v>1725</v>
      </c>
      <c r="K1069" s="147"/>
      <c r="L1069" s="384"/>
      <c r="M1069" s="384"/>
      <c r="N1069" s="384"/>
      <c r="O1069" s="147"/>
      <c r="P1069" s="167">
        <f t="shared" si="149"/>
        <v>1725</v>
      </c>
      <c r="Q1069" s="167">
        <f t="shared" si="150"/>
        <v>0</v>
      </c>
      <c r="R1069" s="167">
        <f t="shared" si="151"/>
        <v>1725</v>
      </c>
    </row>
    <row r="1070" spans="2:18" x14ac:dyDescent="0.2">
      <c r="B1070" s="635">
        <f t="shared" si="148"/>
        <v>571</v>
      </c>
      <c r="C1070" s="636"/>
      <c r="D1070" s="637"/>
      <c r="E1070" s="304"/>
      <c r="F1070" s="304" t="s">
        <v>200</v>
      </c>
      <c r="G1070" s="226" t="s">
        <v>247</v>
      </c>
      <c r="H1070" s="541">
        <v>815</v>
      </c>
      <c r="I1070" s="541"/>
      <c r="J1070" s="541">
        <f t="shared" si="152"/>
        <v>815</v>
      </c>
      <c r="K1070" s="147"/>
      <c r="L1070" s="384"/>
      <c r="M1070" s="384"/>
      <c r="N1070" s="384"/>
      <c r="O1070" s="147"/>
      <c r="P1070" s="168">
        <f t="shared" si="149"/>
        <v>815</v>
      </c>
      <c r="Q1070" s="168">
        <f t="shared" si="150"/>
        <v>0</v>
      </c>
      <c r="R1070" s="168">
        <f t="shared" si="151"/>
        <v>815</v>
      </c>
    </row>
    <row r="1071" spans="2:18" x14ac:dyDescent="0.2">
      <c r="B1071" s="639">
        <f t="shared" si="148"/>
        <v>572</v>
      </c>
      <c r="C1071" s="287"/>
      <c r="D1071" s="282"/>
      <c r="E1071" s="288"/>
      <c r="F1071" s="288" t="s">
        <v>214</v>
      </c>
      <c r="G1071" s="205" t="s">
        <v>261</v>
      </c>
      <c r="H1071" s="540">
        <v>100</v>
      </c>
      <c r="I1071" s="540"/>
      <c r="J1071" s="540">
        <f t="shared" si="152"/>
        <v>100</v>
      </c>
      <c r="K1071" s="147"/>
      <c r="L1071" s="146"/>
      <c r="M1071" s="146"/>
      <c r="N1071" s="146"/>
      <c r="O1071" s="147"/>
      <c r="P1071" s="169">
        <f t="shared" si="149"/>
        <v>100</v>
      </c>
      <c r="Q1071" s="169">
        <f t="shared" si="150"/>
        <v>0</v>
      </c>
      <c r="R1071" s="169">
        <f t="shared" si="151"/>
        <v>100</v>
      </c>
    </row>
    <row r="1072" spans="2:18" x14ac:dyDescent="0.2">
      <c r="B1072" s="639">
        <f t="shared" si="148"/>
        <v>573</v>
      </c>
      <c r="C1072" s="287"/>
      <c r="D1072" s="282"/>
      <c r="E1072" s="288"/>
      <c r="F1072" s="288" t="s">
        <v>216</v>
      </c>
      <c r="G1072" s="205" t="s">
        <v>248</v>
      </c>
      <c r="H1072" s="540">
        <v>810</v>
      </c>
      <c r="I1072" s="540"/>
      <c r="J1072" s="540">
        <f t="shared" si="152"/>
        <v>810</v>
      </c>
      <c r="K1072" s="147"/>
      <c r="L1072" s="146"/>
      <c r="M1072" s="146"/>
      <c r="N1072" s="146"/>
      <c r="O1072" s="147"/>
      <c r="P1072" s="169">
        <f t="shared" si="149"/>
        <v>810</v>
      </c>
      <c r="Q1072" s="169">
        <f t="shared" si="150"/>
        <v>0</v>
      </c>
      <c r="R1072" s="169">
        <f t="shared" si="151"/>
        <v>810</v>
      </c>
    </row>
    <row r="1073" spans="2:18" x14ac:dyDescent="0.2">
      <c r="B1073" s="639">
        <f t="shared" si="148"/>
        <v>574</v>
      </c>
      <c r="C1073" s="287"/>
      <c r="D1073" s="282"/>
      <c r="E1073" s="288"/>
      <c r="F1073" s="282" t="s">
        <v>607</v>
      </c>
      <c r="G1073" s="206" t="s">
        <v>728</v>
      </c>
      <c r="H1073" s="540"/>
      <c r="I1073" s="540"/>
      <c r="J1073" s="540">
        <f t="shared" si="152"/>
        <v>0</v>
      </c>
      <c r="K1073" s="147"/>
      <c r="L1073" s="146">
        <v>600</v>
      </c>
      <c r="M1073" s="146"/>
      <c r="N1073" s="146">
        <f>M1073+L1073</f>
        <v>600</v>
      </c>
      <c r="O1073" s="147"/>
      <c r="P1073" s="545">
        <f t="shared" si="149"/>
        <v>600</v>
      </c>
      <c r="Q1073" s="545">
        <f t="shared" si="150"/>
        <v>0</v>
      </c>
      <c r="R1073" s="545">
        <f t="shared" si="151"/>
        <v>600</v>
      </c>
    </row>
    <row r="1074" spans="2:18" ht="15" x14ac:dyDescent="0.25">
      <c r="B1074" s="639">
        <f t="shared" si="148"/>
        <v>575</v>
      </c>
      <c r="C1074" s="287"/>
      <c r="D1074" s="282"/>
      <c r="E1074" s="640" t="s">
        <v>511</v>
      </c>
      <c r="F1074" s="288"/>
      <c r="G1074" s="205"/>
      <c r="H1074" s="431">
        <f>H1075+H1096+H1115+H1137+H1156+H1175+H1196+H1216</f>
        <v>666135</v>
      </c>
      <c r="I1074" s="431">
        <f>I1075+I1096+I1115+I1137+I1156+I1175+I1196+I1216</f>
        <v>0</v>
      </c>
      <c r="J1074" s="431">
        <f t="shared" si="152"/>
        <v>666135</v>
      </c>
      <c r="K1074" s="147"/>
      <c r="L1074" s="146">
        <f>L1075+L1096+L1115+L1137+L1156+L1175+L1196+L1216</f>
        <v>86500</v>
      </c>
      <c r="M1074" s="146">
        <f>M1075+M1096+M1115+M1137+M1156+M1175+M1196+M1216</f>
        <v>0</v>
      </c>
      <c r="N1074" s="146">
        <f>M1074+L1074</f>
        <v>86500</v>
      </c>
      <c r="O1074" s="147"/>
      <c r="P1074" s="545">
        <f t="shared" si="149"/>
        <v>752635</v>
      </c>
      <c r="Q1074" s="545">
        <f t="shared" si="150"/>
        <v>0</v>
      </c>
      <c r="R1074" s="545">
        <f t="shared" si="151"/>
        <v>752635</v>
      </c>
    </row>
    <row r="1075" spans="2:18" ht="15" x14ac:dyDescent="0.25">
      <c r="B1075" s="639">
        <f t="shared" si="148"/>
        <v>576</v>
      </c>
      <c r="C1075" s="287"/>
      <c r="D1075" s="641" t="s">
        <v>363</v>
      </c>
      <c r="E1075" s="176"/>
      <c r="F1075" s="344" t="s">
        <v>378</v>
      </c>
      <c r="G1075" s="239"/>
      <c r="H1075" s="416">
        <f>H1076+H1086</f>
        <v>92290</v>
      </c>
      <c r="I1075" s="416">
        <f>I1076+I1086</f>
        <v>0</v>
      </c>
      <c r="J1075" s="416">
        <f t="shared" si="152"/>
        <v>92290</v>
      </c>
      <c r="K1075" s="330"/>
      <c r="L1075" s="502"/>
      <c r="M1075" s="502"/>
      <c r="N1075" s="502"/>
      <c r="O1075" s="330"/>
      <c r="P1075" s="336">
        <f t="shared" si="149"/>
        <v>92290</v>
      </c>
      <c r="Q1075" s="336">
        <f t="shared" si="150"/>
        <v>0</v>
      </c>
      <c r="R1075" s="336">
        <f t="shared" si="151"/>
        <v>92290</v>
      </c>
    </row>
    <row r="1076" spans="2:18" ht="14.25" x14ac:dyDescent="0.2">
      <c r="B1076" s="639">
        <f t="shared" si="148"/>
        <v>577</v>
      </c>
      <c r="C1076" s="76"/>
      <c r="D1076" s="642"/>
      <c r="E1076" s="643" t="s">
        <v>690</v>
      </c>
      <c r="F1076" s="644" t="s">
        <v>693</v>
      </c>
      <c r="G1076" s="645"/>
      <c r="H1076" s="537">
        <f>H1077+H1078+H1079+H1085</f>
        <v>36916</v>
      </c>
      <c r="I1076" s="537">
        <f>I1077+I1078+I1079+I1085</f>
        <v>0</v>
      </c>
      <c r="J1076" s="537">
        <f t="shared" si="152"/>
        <v>36916</v>
      </c>
      <c r="K1076" s="335"/>
      <c r="L1076" s="530"/>
      <c r="M1076" s="530"/>
      <c r="N1076" s="530"/>
      <c r="O1076" s="335"/>
      <c r="P1076" s="534">
        <f t="shared" si="149"/>
        <v>36916</v>
      </c>
      <c r="Q1076" s="534">
        <f t="shared" si="150"/>
        <v>0</v>
      </c>
      <c r="R1076" s="534">
        <f t="shared" si="151"/>
        <v>36916</v>
      </c>
    </row>
    <row r="1077" spans="2:18" x14ac:dyDescent="0.2">
      <c r="B1077" s="639">
        <f t="shared" si="148"/>
        <v>578</v>
      </c>
      <c r="C1077" s="287"/>
      <c r="D1077" s="282"/>
      <c r="E1077" s="288"/>
      <c r="F1077" s="282" t="s">
        <v>211</v>
      </c>
      <c r="G1077" s="206" t="s">
        <v>506</v>
      </c>
      <c r="H1077" s="543">
        <f>21840+1092</f>
        <v>22932</v>
      </c>
      <c r="I1077" s="543"/>
      <c r="J1077" s="543">
        <f t="shared" si="152"/>
        <v>22932</v>
      </c>
      <c r="K1077" s="332"/>
      <c r="L1077" s="428"/>
      <c r="M1077" s="428"/>
      <c r="N1077" s="428"/>
      <c r="O1077" s="332"/>
      <c r="P1077" s="545">
        <f t="shared" si="149"/>
        <v>22932</v>
      </c>
      <c r="Q1077" s="545">
        <f t="shared" si="150"/>
        <v>0</v>
      </c>
      <c r="R1077" s="545">
        <f t="shared" si="151"/>
        <v>22932</v>
      </c>
    </row>
    <row r="1078" spans="2:18" x14ac:dyDescent="0.2">
      <c r="B1078" s="172">
        <f t="shared" si="148"/>
        <v>579</v>
      </c>
      <c r="C1078" s="144"/>
      <c r="D1078" s="145"/>
      <c r="E1078" s="130"/>
      <c r="F1078" s="145" t="s">
        <v>212</v>
      </c>
      <c r="G1078" s="202" t="s">
        <v>259</v>
      </c>
      <c r="H1078" s="474">
        <f>7644+382</f>
        <v>8026</v>
      </c>
      <c r="I1078" s="474"/>
      <c r="J1078" s="474">
        <f t="shared" si="152"/>
        <v>8026</v>
      </c>
      <c r="K1078" s="332"/>
      <c r="L1078" s="432"/>
      <c r="M1078" s="432"/>
      <c r="N1078" s="432"/>
      <c r="O1078" s="332"/>
      <c r="P1078" s="638">
        <f t="shared" si="149"/>
        <v>8026</v>
      </c>
      <c r="Q1078" s="638">
        <f t="shared" si="150"/>
        <v>0</v>
      </c>
      <c r="R1078" s="638">
        <f t="shared" si="151"/>
        <v>8026</v>
      </c>
    </row>
    <row r="1079" spans="2:18" x14ac:dyDescent="0.2">
      <c r="B1079" s="172">
        <f t="shared" si="148"/>
        <v>580</v>
      </c>
      <c r="C1079" s="144"/>
      <c r="D1079" s="145"/>
      <c r="E1079" s="130"/>
      <c r="F1079" s="145" t="s">
        <v>218</v>
      </c>
      <c r="G1079" s="202" t="s">
        <v>341</v>
      </c>
      <c r="H1079" s="543">
        <f>SUM(H1080:H1084)</f>
        <v>5858</v>
      </c>
      <c r="I1079" s="543">
        <f>SUM(I1080:I1084)</f>
        <v>0</v>
      </c>
      <c r="J1079" s="543">
        <f t="shared" si="152"/>
        <v>5858</v>
      </c>
      <c r="K1079" s="332"/>
      <c r="L1079" s="390"/>
      <c r="M1079" s="390"/>
      <c r="N1079" s="390"/>
      <c r="O1079" s="332"/>
      <c r="P1079" s="167">
        <f t="shared" si="149"/>
        <v>5858</v>
      </c>
      <c r="Q1079" s="167">
        <f t="shared" si="150"/>
        <v>0</v>
      </c>
      <c r="R1079" s="167">
        <f t="shared" si="151"/>
        <v>5858</v>
      </c>
    </row>
    <row r="1080" spans="2:18" x14ac:dyDescent="0.2">
      <c r="B1080" s="172">
        <f t="shared" si="148"/>
        <v>581</v>
      </c>
      <c r="C1080" s="144"/>
      <c r="D1080" s="145"/>
      <c r="E1080" s="130"/>
      <c r="F1080" s="130" t="s">
        <v>213</v>
      </c>
      <c r="G1080" s="194" t="s">
        <v>255</v>
      </c>
      <c r="H1080" s="389">
        <v>20</v>
      </c>
      <c r="I1080" s="389"/>
      <c r="J1080" s="389">
        <f t="shared" si="152"/>
        <v>20</v>
      </c>
      <c r="K1080" s="332"/>
      <c r="L1080" s="390"/>
      <c r="M1080" s="390"/>
      <c r="N1080" s="390"/>
      <c r="O1080" s="332"/>
      <c r="P1080" s="168">
        <f t="shared" si="149"/>
        <v>20</v>
      </c>
      <c r="Q1080" s="168">
        <f t="shared" si="150"/>
        <v>0</v>
      </c>
      <c r="R1080" s="168">
        <f t="shared" si="151"/>
        <v>20</v>
      </c>
    </row>
    <row r="1081" spans="2:18" x14ac:dyDescent="0.2">
      <c r="B1081" s="172">
        <f t="shared" ref="B1081:B1144" si="153">B1080+1</f>
        <v>582</v>
      </c>
      <c r="C1081" s="144"/>
      <c r="D1081" s="145"/>
      <c r="E1081" s="130"/>
      <c r="F1081" s="130" t="s">
        <v>199</v>
      </c>
      <c r="G1081" s="194" t="s">
        <v>319</v>
      </c>
      <c r="H1081" s="389">
        <v>1824</v>
      </c>
      <c r="I1081" s="389"/>
      <c r="J1081" s="389">
        <f t="shared" si="152"/>
        <v>1824</v>
      </c>
      <c r="K1081" s="332"/>
      <c r="L1081" s="390"/>
      <c r="M1081" s="390"/>
      <c r="N1081" s="390"/>
      <c r="O1081" s="332"/>
      <c r="P1081" s="168">
        <f t="shared" si="149"/>
        <v>1824</v>
      </c>
      <c r="Q1081" s="168">
        <f t="shared" si="150"/>
        <v>0</v>
      </c>
      <c r="R1081" s="168">
        <f t="shared" si="151"/>
        <v>1824</v>
      </c>
    </row>
    <row r="1082" spans="2:18" x14ac:dyDescent="0.2">
      <c r="B1082" s="172">
        <f t="shared" si="153"/>
        <v>583</v>
      </c>
      <c r="C1082" s="144"/>
      <c r="D1082" s="145"/>
      <c r="E1082" s="130"/>
      <c r="F1082" s="130" t="s">
        <v>200</v>
      </c>
      <c r="G1082" s="194" t="s">
        <v>247</v>
      </c>
      <c r="H1082" s="389">
        <v>1530</v>
      </c>
      <c r="I1082" s="389"/>
      <c r="J1082" s="389">
        <f t="shared" si="152"/>
        <v>1530</v>
      </c>
      <c r="K1082" s="332"/>
      <c r="L1082" s="390"/>
      <c r="M1082" s="390"/>
      <c r="N1082" s="390"/>
      <c r="O1082" s="332"/>
      <c r="P1082" s="168">
        <f t="shared" si="149"/>
        <v>1530</v>
      </c>
      <c r="Q1082" s="168">
        <f t="shared" si="150"/>
        <v>0</v>
      </c>
      <c r="R1082" s="168">
        <f t="shared" si="151"/>
        <v>1530</v>
      </c>
    </row>
    <row r="1083" spans="2:18" x14ac:dyDescent="0.2">
      <c r="B1083" s="172">
        <f t="shared" si="153"/>
        <v>584</v>
      </c>
      <c r="C1083" s="287"/>
      <c r="D1083" s="282"/>
      <c r="E1083" s="288"/>
      <c r="F1083" s="288" t="s">
        <v>214</v>
      </c>
      <c r="G1083" s="205" t="s">
        <v>261</v>
      </c>
      <c r="H1083" s="389">
        <v>340</v>
      </c>
      <c r="I1083" s="389"/>
      <c r="J1083" s="389">
        <f t="shared" si="152"/>
        <v>340</v>
      </c>
      <c r="K1083" s="332"/>
      <c r="L1083" s="390"/>
      <c r="M1083" s="390"/>
      <c r="N1083" s="390"/>
      <c r="O1083" s="332"/>
      <c r="P1083" s="168">
        <f t="shared" si="149"/>
        <v>340</v>
      </c>
      <c r="Q1083" s="168">
        <f t="shared" si="150"/>
        <v>0</v>
      </c>
      <c r="R1083" s="168">
        <f t="shared" si="151"/>
        <v>340</v>
      </c>
    </row>
    <row r="1084" spans="2:18" x14ac:dyDescent="0.2">
      <c r="B1084" s="172">
        <f t="shared" si="153"/>
        <v>585</v>
      </c>
      <c r="C1084" s="144"/>
      <c r="D1084" s="145"/>
      <c r="E1084" s="130"/>
      <c r="F1084" s="130" t="s">
        <v>216</v>
      </c>
      <c r="G1084" s="194" t="s">
        <v>248</v>
      </c>
      <c r="H1084" s="389">
        <v>2144</v>
      </c>
      <c r="I1084" s="389"/>
      <c r="J1084" s="389">
        <f t="shared" si="152"/>
        <v>2144</v>
      </c>
      <c r="K1084" s="332"/>
      <c r="L1084" s="428"/>
      <c r="M1084" s="428"/>
      <c r="N1084" s="428"/>
      <c r="O1084" s="332"/>
      <c r="P1084" s="169">
        <f t="shared" si="149"/>
        <v>2144</v>
      </c>
      <c r="Q1084" s="169">
        <f t="shared" si="150"/>
        <v>0</v>
      </c>
      <c r="R1084" s="169">
        <f t="shared" si="151"/>
        <v>2144</v>
      </c>
    </row>
    <row r="1085" spans="2:18" x14ac:dyDescent="0.2">
      <c r="B1085" s="172">
        <f t="shared" si="153"/>
        <v>586</v>
      </c>
      <c r="C1085" s="144"/>
      <c r="D1085" s="145"/>
      <c r="E1085" s="130"/>
      <c r="F1085" s="145" t="s">
        <v>217</v>
      </c>
      <c r="G1085" s="202" t="s">
        <v>372</v>
      </c>
      <c r="H1085" s="543">
        <v>100</v>
      </c>
      <c r="I1085" s="543"/>
      <c r="J1085" s="543">
        <f t="shared" si="152"/>
        <v>100</v>
      </c>
      <c r="K1085" s="332"/>
      <c r="L1085" s="428"/>
      <c r="M1085" s="428"/>
      <c r="N1085" s="428"/>
      <c r="O1085" s="332"/>
      <c r="P1085" s="545">
        <f t="shared" si="149"/>
        <v>100</v>
      </c>
      <c r="Q1085" s="545">
        <f t="shared" si="150"/>
        <v>0</v>
      </c>
      <c r="R1085" s="545">
        <f t="shared" si="151"/>
        <v>100</v>
      </c>
    </row>
    <row r="1086" spans="2:18" ht="14.25" x14ac:dyDescent="0.2">
      <c r="B1086" s="172">
        <f t="shared" si="153"/>
        <v>587</v>
      </c>
      <c r="C1086" s="75"/>
      <c r="D1086" s="528"/>
      <c r="E1086" s="535" t="s">
        <v>691</v>
      </c>
      <c r="F1086" s="532" t="s">
        <v>692</v>
      </c>
      <c r="G1086" s="531"/>
      <c r="H1086" s="537">
        <f>H1087+H1088+H1089+H1095</f>
        <v>55374</v>
      </c>
      <c r="I1086" s="537">
        <f>I1087+I1088+I1089+I1095</f>
        <v>0</v>
      </c>
      <c r="J1086" s="537">
        <f t="shared" si="152"/>
        <v>55374</v>
      </c>
      <c r="K1086" s="335"/>
      <c r="L1086" s="530"/>
      <c r="M1086" s="530"/>
      <c r="N1086" s="530"/>
      <c r="O1086" s="335"/>
      <c r="P1086" s="534">
        <f t="shared" si="149"/>
        <v>55374</v>
      </c>
      <c r="Q1086" s="534">
        <f t="shared" si="150"/>
        <v>0</v>
      </c>
      <c r="R1086" s="534">
        <f t="shared" si="151"/>
        <v>55374</v>
      </c>
    </row>
    <row r="1087" spans="2:18" x14ac:dyDescent="0.2">
      <c r="B1087" s="172">
        <f t="shared" si="153"/>
        <v>588</v>
      </c>
      <c r="C1087" s="144"/>
      <c r="D1087" s="145"/>
      <c r="E1087" s="170"/>
      <c r="F1087" s="145" t="s">
        <v>211</v>
      </c>
      <c r="G1087" s="202" t="s">
        <v>506</v>
      </c>
      <c r="H1087" s="543">
        <f>32760+1638</f>
        <v>34398</v>
      </c>
      <c r="I1087" s="543"/>
      <c r="J1087" s="543">
        <f t="shared" si="152"/>
        <v>34398</v>
      </c>
      <c r="K1087" s="332"/>
      <c r="L1087" s="428"/>
      <c r="M1087" s="428"/>
      <c r="N1087" s="428"/>
      <c r="O1087" s="332"/>
      <c r="P1087" s="545">
        <f t="shared" si="149"/>
        <v>34398</v>
      </c>
      <c r="Q1087" s="545">
        <f t="shared" si="150"/>
        <v>0</v>
      </c>
      <c r="R1087" s="545">
        <f t="shared" si="151"/>
        <v>34398</v>
      </c>
    </row>
    <row r="1088" spans="2:18" x14ac:dyDescent="0.2">
      <c r="B1088" s="172">
        <f t="shared" si="153"/>
        <v>589</v>
      </c>
      <c r="C1088" s="144"/>
      <c r="D1088" s="145"/>
      <c r="E1088" s="170"/>
      <c r="F1088" s="145" t="s">
        <v>212</v>
      </c>
      <c r="G1088" s="202" t="s">
        <v>259</v>
      </c>
      <c r="H1088" s="543">
        <f>11466+573</f>
        <v>12039</v>
      </c>
      <c r="I1088" s="543"/>
      <c r="J1088" s="543">
        <f t="shared" si="152"/>
        <v>12039</v>
      </c>
      <c r="K1088" s="332"/>
      <c r="L1088" s="428"/>
      <c r="M1088" s="428"/>
      <c r="N1088" s="428"/>
      <c r="O1088" s="332"/>
      <c r="P1088" s="545">
        <f t="shared" ref="P1088:P1152" si="154">H1088+L1088</f>
        <v>12039</v>
      </c>
      <c r="Q1088" s="545">
        <f t="shared" ref="Q1088:Q1152" si="155">I1088+M1088</f>
        <v>0</v>
      </c>
      <c r="R1088" s="545">
        <f t="shared" ref="R1088:R1152" si="156">Q1088+P1088</f>
        <v>12039</v>
      </c>
    </row>
    <row r="1089" spans="2:18" x14ac:dyDescent="0.2">
      <c r="B1089" s="172">
        <f t="shared" si="153"/>
        <v>590</v>
      </c>
      <c r="C1089" s="144"/>
      <c r="D1089" s="145"/>
      <c r="E1089" s="170"/>
      <c r="F1089" s="145" t="s">
        <v>218</v>
      </c>
      <c r="G1089" s="202" t="s">
        <v>341</v>
      </c>
      <c r="H1089" s="393">
        <f>SUM(H1090:H1094)</f>
        <v>8787</v>
      </c>
      <c r="I1089" s="393">
        <f>SUM(I1090:I1094)</f>
        <v>0</v>
      </c>
      <c r="J1089" s="393">
        <f t="shared" si="152"/>
        <v>8787</v>
      </c>
      <c r="K1089" s="332"/>
      <c r="L1089" s="428"/>
      <c r="M1089" s="428"/>
      <c r="N1089" s="428"/>
      <c r="O1089" s="332"/>
      <c r="P1089" s="545">
        <f t="shared" si="154"/>
        <v>8787</v>
      </c>
      <c r="Q1089" s="545">
        <f t="shared" si="155"/>
        <v>0</v>
      </c>
      <c r="R1089" s="545">
        <f t="shared" si="156"/>
        <v>8787</v>
      </c>
    </row>
    <row r="1090" spans="2:18" x14ac:dyDescent="0.2">
      <c r="B1090" s="172">
        <f t="shared" si="153"/>
        <v>591</v>
      </c>
      <c r="C1090" s="144"/>
      <c r="D1090" s="145"/>
      <c r="E1090" s="170"/>
      <c r="F1090" s="130" t="s">
        <v>213</v>
      </c>
      <c r="G1090" s="194" t="s">
        <v>255</v>
      </c>
      <c r="H1090" s="435">
        <v>30</v>
      </c>
      <c r="I1090" s="435"/>
      <c r="J1090" s="435">
        <f t="shared" si="152"/>
        <v>30</v>
      </c>
      <c r="K1090" s="332"/>
      <c r="L1090" s="428"/>
      <c r="M1090" s="428"/>
      <c r="N1090" s="428"/>
      <c r="O1090" s="332"/>
      <c r="P1090" s="169">
        <f t="shared" si="154"/>
        <v>30</v>
      </c>
      <c r="Q1090" s="169">
        <f t="shared" si="155"/>
        <v>0</v>
      </c>
      <c r="R1090" s="169">
        <f t="shared" si="156"/>
        <v>30</v>
      </c>
    </row>
    <row r="1091" spans="2:18" x14ac:dyDescent="0.2">
      <c r="B1091" s="172">
        <f t="shared" si="153"/>
        <v>592</v>
      </c>
      <c r="C1091" s="144"/>
      <c r="D1091" s="145"/>
      <c r="E1091" s="170"/>
      <c r="F1091" s="130" t="s">
        <v>199</v>
      </c>
      <c r="G1091" s="194" t="s">
        <v>319</v>
      </c>
      <c r="H1091" s="435">
        <v>2736</v>
      </c>
      <c r="I1091" s="435"/>
      <c r="J1091" s="435">
        <f t="shared" si="152"/>
        <v>2736</v>
      </c>
      <c r="K1091" s="332"/>
      <c r="L1091" s="428"/>
      <c r="M1091" s="428"/>
      <c r="N1091" s="428"/>
      <c r="O1091" s="332"/>
      <c r="P1091" s="169">
        <f t="shared" si="154"/>
        <v>2736</v>
      </c>
      <c r="Q1091" s="169">
        <f t="shared" si="155"/>
        <v>0</v>
      </c>
      <c r="R1091" s="169">
        <f t="shared" si="156"/>
        <v>2736</v>
      </c>
    </row>
    <row r="1092" spans="2:18" x14ac:dyDescent="0.2">
      <c r="B1092" s="172">
        <f t="shared" si="153"/>
        <v>593</v>
      </c>
      <c r="C1092" s="144"/>
      <c r="D1092" s="145"/>
      <c r="E1092" s="170"/>
      <c r="F1092" s="130" t="s">
        <v>200</v>
      </c>
      <c r="G1092" s="194" t="s">
        <v>247</v>
      </c>
      <c r="H1092" s="435">
        <v>2295</v>
      </c>
      <c r="I1092" s="435"/>
      <c r="J1092" s="435">
        <f t="shared" si="152"/>
        <v>2295</v>
      </c>
      <c r="K1092" s="332"/>
      <c r="L1092" s="428"/>
      <c r="M1092" s="428"/>
      <c r="N1092" s="428"/>
      <c r="O1092" s="332"/>
      <c r="P1092" s="169">
        <f t="shared" si="154"/>
        <v>2295</v>
      </c>
      <c r="Q1092" s="169">
        <f t="shared" si="155"/>
        <v>0</v>
      </c>
      <c r="R1092" s="169">
        <f t="shared" si="156"/>
        <v>2295</v>
      </c>
    </row>
    <row r="1093" spans="2:18" x14ac:dyDescent="0.2">
      <c r="B1093" s="172">
        <f t="shared" si="153"/>
        <v>594</v>
      </c>
      <c r="C1093" s="144"/>
      <c r="D1093" s="145"/>
      <c r="E1093" s="170"/>
      <c r="F1093" s="288" t="s">
        <v>214</v>
      </c>
      <c r="G1093" s="205" t="s">
        <v>261</v>
      </c>
      <c r="H1093" s="435">
        <v>510</v>
      </c>
      <c r="I1093" s="435"/>
      <c r="J1093" s="435">
        <f t="shared" si="152"/>
        <v>510</v>
      </c>
      <c r="K1093" s="332"/>
      <c r="L1093" s="428"/>
      <c r="M1093" s="428"/>
      <c r="N1093" s="428"/>
      <c r="O1093" s="332"/>
      <c r="P1093" s="169">
        <f t="shared" si="154"/>
        <v>510</v>
      </c>
      <c r="Q1093" s="169">
        <f t="shared" si="155"/>
        <v>0</v>
      </c>
      <c r="R1093" s="169">
        <f t="shared" si="156"/>
        <v>510</v>
      </c>
    </row>
    <row r="1094" spans="2:18" x14ac:dyDescent="0.2">
      <c r="B1094" s="172">
        <f t="shared" si="153"/>
        <v>595</v>
      </c>
      <c r="C1094" s="144"/>
      <c r="D1094" s="145"/>
      <c r="E1094" s="170"/>
      <c r="F1094" s="130" t="s">
        <v>216</v>
      </c>
      <c r="G1094" s="194" t="s">
        <v>248</v>
      </c>
      <c r="H1094" s="435">
        <v>3216</v>
      </c>
      <c r="I1094" s="435"/>
      <c r="J1094" s="435">
        <f t="shared" si="152"/>
        <v>3216</v>
      </c>
      <c r="K1094" s="332"/>
      <c r="L1094" s="428"/>
      <c r="M1094" s="428"/>
      <c r="N1094" s="428"/>
      <c r="O1094" s="332"/>
      <c r="P1094" s="169">
        <f t="shared" si="154"/>
        <v>3216</v>
      </c>
      <c r="Q1094" s="169">
        <f t="shared" si="155"/>
        <v>0</v>
      </c>
      <c r="R1094" s="169">
        <f t="shared" si="156"/>
        <v>3216</v>
      </c>
    </row>
    <row r="1095" spans="2:18" x14ac:dyDescent="0.2">
      <c r="B1095" s="172">
        <f t="shared" si="153"/>
        <v>596</v>
      </c>
      <c r="C1095" s="144"/>
      <c r="D1095" s="145"/>
      <c r="E1095" s="170"/>
      <c r="F1095" s="145" t="s">
        <v>217</v>
      </c>
      <c r="G1095" s="202" t="s">
        <v>372</v>
      </c>
      <c r="H1095" s="393">
        <v>150</v>
      </c>
      <c r="I1095" s="393"/>
      <c r="J1095" s="393">
        <f t="shared" si="152"/>
        <v>150</v>
      </c>
      <c r="K1095" s="332"/>
      <c r="L1095" s="428"/>
      <c r="M1095" s="428"/>
      <c r="N1095" s="428"/>
      <c r="O1095" s="332"/>
      <c r="P1095" s="545">
        <f t="shared" si="154"/>
        <v>150</v>
      </c>
      <c r="Q1095" s="545">
        <f t="shared" si="155"/>
        <v>0</v>
      </c>
      <c r="R1095" s="545">
        <f t="shared" si="156"/>
        <v>150</v>
      </c>
    </row>
    <row r="1096" spans="2:18" ht="15" x14ac:dyDescent="0.25">
      <c r="B1096" s="172">
        <f t="shared" si="153"/>
        <v>597</v>
      </c>
      <c r="C1096" s="144"/>
      <c r="D1096" s="261" t="s">
        <v>365</v>
      </c>
      <c r="E1096" s="268"/>
      <c r="F1096" s="265" t="s">
        <v>379</v>
      </c>
      <c r="G1096" s="266"/>
      <c r="H1096" s="416">
        <f>H1097+H1106</f>
        <v>76838</v>
      </c>
      <c r="I1096" s="416">
        <f>I1097+I1106</f>
        <v>0</v>
      </c>
      <c r="J1096" s="416">
        <f t="shared" si="152"/>
        <v>76838</v>
      </c>
      <c r="K1096" s="330"/>
      <c r="L1096" s="502"/>
      <c r="M1096" s="502"/>
      <c r="N1096" s="502"/>
      <c r="O1096" s="330"/>
      <c r="P1096" s="336">
        <f t="shared" si="154"/>
        <v>76838</v>
      </c>
      <c r="Q1096" s="336">
        <f t="shared" si="155"/>
        <v>0</v>
      </c>
      <c r="R1096" s="336">
        <f t="shared" si="156"/>
        <v>76838</v>
      </c>
    </row>
    <row r="1097" spans="2:18" ht="14.25" x14ac:dyDescent="0.2">
      <c r="B1097" s="172">
        <f t="shared" si="153"/>
        <v>598</v>
      </c>
      <c r="C1097" s="75"/>
      <c r="D1097" s="528"/>
      <c r="E1097" s="535" t="s">
        <v>690</v>
      </c>
      <c r="F1097" s="532" t="s">
        <v>693</v>
      </c>
      <c r="G1097" s="531"/>
      <c r="H1097" s="533">
        <f>H1098+H1099+H1100+H1105</f>
        <v>33040</v>
      </c>
      <c r="I1097" s="533"/>
      <c r="J1097" s="533">
        <f t="shared" si="152"/>
        <v>33040</v>
      </c>
      <c r="K1097" s="335"/>
      <c r="L1097" s="530"/>
      <c r="M1097" s="530"/>
      <c r="N1097" s="530"/>
      <c r="O1097" s="335"/>
      <c r="P1097" s="534">
        <f t="shared" si="154"/>
        <v>33040</v>
      </c>
      <c r="Q1097" s="534">
        <f t="shared" si="155"/>
        <v>0</v>
      </c>
      <c r="R1097" s="534">
        <f t="shared" si="156"/>
        <v>33040</v>
      </c>
    </row>
    <row r="1098" spans="2:18" x14ac:dyDescent="0.2">
      <c r="B1098" s="172">
        <f t="shared" si="153"/>
        <v>599</v>
      </c>
      <c r="C1098" s="144"/>
      <c r="D1098" s="145"/>
      <c r="E1098" s="130"/>
      <c r="F1098" s="145" t="s">
        <v>211</v>
      </c>
      <c r="G1098" s="202" t="s">
        <v>506</v>
      </c>
      <c r="H1098" s="543">
        <f>19145+957</f>
        <v>20102</v>
      </c>
      <c r="I1098" s="543"/>
      <c r="J1098" s="543">
        <f t="shared" ref="J1098:J1163" si="157">I1098+H1098</f>
        <v>20102</v>
      </c>
      <c r="K1098" s="332"/>
      <c r="L1098" s="428"/>
      <c r="M1098" s="428"/>
      <c r="N1098" s="428"/>
      <c r="O1098" s="332"/>
      <c r="P1098" s="545">
        <f t="shared" si="154"/>
        <v>20102</v>
      </c>
      <c r="Q1098" s="545">
        <f t="shared" si="155"/>
        <v>0</v>
      </c>
      <c r="R1098" s="545">
        <f t="shared" si="156"/>
        <v>20102</v>
      </c>
    </row>
    <row r="1099" spans="2:18" x14ac:dyDescent="0.2">
      <c r="B1099" s="172">
        <f t="shared" si="153"/>
        <v>600</v>
      </c>
      <c r="C1099" s="144"/>
      <c r="D1099" s="145"/>
      <c r="E1099" s="130"/>
      <c r="F1099" s="145" t="s">
        <v>212</v>
      </c>
      <c r="G1099" s="202" t="s">
        <v>259</v>
      </c>
      <c r="H1099" s="543">
        <f>7105+355</f>
        <v>7460</v>
      </c>
      <c r="I1099" s="543"/>
      <c r="J1099" s="543">
        <f t="shared" si="157"/>
        <v>7460</v>
      </c>
      <c r="K1099" s="332"/>
      <c r="L1099" s="428"/>
      <c r="M1099" s="428"/>
      <c r="N1099" s="428"/>
      <c r="O1099" s="332"/>
      <c r="P1099" s="167">
        <f t="shared" si="154"/>
        <v>7460</v>
      </c>
      <c r="Q1099" s="167">
        <f t="shared" si="155"/>
        <v>0</v>
      </c>
      <c r="R1099" s="167">
        <f t="shared" si="156"/>
        <v>7460</v>
      </c>
    </row>
    <row r="1100" spans="2:18" x14ac:dyDescent="0.2">
      <c r="B1100" s="172">
        <f t="shared" si="153"/>
        <v>601</v>
      </c>
      <c r="C1100" s="144"/>
      <c r="D1100" s="145"/>
      <c r="E1100" s="130"/>
      <c r="F1100" s="145" t="s">
        <v>218</v>
      </c>
      <c r="G1100" s="202" t="s">
        <v>341</v>
      </c>
      <c r="H1100" s="543">
        <f>SUM(H1101:H1104)</f>
        <v>4730</v>
      </c>
      <c r="I1100" s="543">
        <f>SUM(I1101:I1104)</f>
        <v>0</v>
      </c>
      <c r="J1100" s="543">
        <f t="shared" si="157"/>
        <v>4730</v>
      </c>
      <c r="K1100" s="332"/>
      <c r="L1100" s="428"/>
      <c r="M1100" s="428"/>
      <c r="N1100" s="428"/>
      <c r="O1100" s="332"/>
      <c r="P1100" s="167">
        <f t="shared" si="154"/>
        <v>4730</v>
      </c>
      <c r="Q1100" s="167">
        <f t="shared" si="155"/>
        <v>0</v>
      </c>
      <c r="R1100" s="167">
        <f t="shared" si="156"/>
        <v>4730</v>
      </c>
    </row>
    <row r="1101" spans="2:18" x14ac:dyDescent="0.2">
      <c r="B1101" s="172">
        <f t="shared" si="153"/>
        <v>602</v>
      </c>
      <c r="C1101" s="144"/>
      <c r="D1101" s="145"/>
      <c r="E1101" s="130"/>
      <c r="F1101" s="130" t="s">
        <v>199</v>
      </c>
      <c r="G1101" s="194" t="s">
        <v>319</v>
      </c>
      <c r="H1101" s="389">
        <v>1290</v>
      </c>
      <c r="I1101" s="389"/>
      <c r="J1101" s="389">
        <f t="shared" si="157"/>
        <v>1290</v>
      </c>
      <c r="K1101" s="332"/>
      <c r="L1101" s="428"/>
      <c r="M1101" s="428"/>
      <c r="N1101" s="428"/>
      <c r="O1101" s="332"/>
      <c r="P1101" s="168">
        <f t="shared" si="154"/>
        <v>1290</v>
      </c>
      <c r="Q1101" s="168">
        <f t="shared" si="155"/>
        <v>0</v>
      </c>
      <c r="R1101" s="168">
        <f t="shared" si="156"/>
        <v>1290</v>
      </c>
    </row>
    <row r="1102" spans="2:18" x14ac:dyDescent="0.2">
      <c r="B1102" s="172">
        <f t="shared" si="153"/>
        <v>603</v>
      </c>
      <c r="C1102" s="144"/>
      <c r="D1102" s="145"/>
      <c r="E1102" s="130"/>
      <c r="F1102" s="130" t="s">
        <v>200</v>
      </c>
      <c r="G1102" s="194" t="s">
        <v>247</v>
      </c>
      <c r="H1102" s="389">
        <v>1290</v>
      </c>
      <c r="I1102" s="389"/>
      <c r="J1102" s="389">
        <f t="shared" si="157"/>
        <v>1290</v>
      </c>
      <c r="K1102" s="332"/>
      <c r="L1102" s="428"/>
      <c r="M1102" s="428"/>
      <c r="N1102" s="428"/>
      <c r="O1102" s="332"/>
      <c r="P1102" s="168">
        <f t="shared" si="154"/>
        <v>1290</v>
      </c>
      <c r="Q1102" s="168">
        <f t="shared" si="155"/>
        <v>0</v>
      </c>
      <c r="R1102" s="168">
        <f t="shared" si="156"/>
        <v>1290</v>
      </c>
    </row>
    <row r="1103" spans="2:18" x14ac:dyDescent="0.2">
      <c r="B1103" s="172">
        <f t="shared" si="153"/>
        <v>604</v>
      </c>
      <c r="C1103" s="144"/>
      <c r="D1103" s="145"/>
      <c r="E1103" s="130"/>
      <c r="F1103" s="130" t="s">
        <v>214</v>
      </c>
      <c r="G1103" s="194" t="s">
        <v>261</v>
      </c>
      <c r="H1103" s="389">
        <v>645</v>
      </c>
      <c r="I1103" s="389"/>
      <c r="J1103" s="389">
        <f t="shared" si="157"/>
        <v>645</v>
      </c>
      <c r="K1103" s="332"/>
      <c r="L1103" s="390"/>
      <c r="M1103" s="390"/>
      <c r="N1103" s="390"/>
      <c r="O1103" s="332"/>
      <c r="P1103" s="168">
        <f t="shared" si="154"/>
        <v>645</v>
      </c>
      <c r="Q1103" s="168">
        <f t="shared" si="155"/>
        <v>0</v>
      </c>
      <c r="R1103" s="168">
        <f t="shared" si="156"/>
        <v>645</v>
      </c>
    </row>
    <row r="1104" spans="2:18" x14ac:dyDescent="0.2">
      <c r="B1104" s="172">
        <f t="shared" si="153"/>
        <v>605</v>
      </c>
      <c r="C1104" s="144"/>
      <c r="D1104" s="145"/>
      <c r="E1104" s="130"/>
      <c r="F1104" s="130" t="s">
        <v>216</v>
      </c>
      <c r="G1104" s="194" t="s">
        <v>248</v>
      </c>
      <c r="H1104" s="389">
        <v>1505</v>
      </c>
      <c r="I1104" s="389"/>
      <c r="J1104" s="389">
        <f t="shared" si="157"/>
        <v>1505</v>
      </c>
      <c r="K1104" s="332"/>
      <c r="L1104" s="390"/>
      <c r="M1104" s="390"/>
      <c r="N1104" s="390"/>
      <c r="O1104" s="332"/>
      <c r="P1104" s="168">
        <f t="shared" si="154"/>
        <v>1505</v>
      </c>
      <c r="Q1104" s="168">
        <f t="shared" si="155"/>
        <v>0</v>
      </c>
      <c r="R1104" s="168">
        <f t="shared" si="156"/>
        <v>1505</v>
      </c>
    </row>
    <row r="1105" spans="2:18" x14ac:dyDescent="0.2">
      <c r="B1105" s="172">
        <f t="shared" si="153"/>
        <v>606</v>
      </c>
      <c r="C1105" s="144"/>
      <c r="D1105" s="145"/>
      <c r="E1105" s="130"/>
      <c r="F1105" s="145" t="s">
        <v>217</v>
      </c>
      <c r="G1105" s="202" t="s">
        <v>505</v>
      </c>
      <c r="H1105" s="543">
        <v>748</v>
      </c>
      <c r="I1105" s="543"/>
      <c r="J1105" s="543">
        <f t="shared" si="157"/>
        <v>748</v>
      </c>
      <c r="K1105" s="332"/>
      <c r="L1105" s="390"/>
      <c r="M1105" s="390"/>
      <c r="N1105" s="390"/>
      <c r="O1105" s="332"/>
      <c r="P1105" s="167">
        <f t="shared" si="154"/>
        <v>748</v>
      </c>
      <c r="Q1105" s="167">
        <f t="shared" si="155"/>
        <v>0</v>
      </c>
      <c r="R1105" s="167">
        <f t="shared" si="156"/>
        <v>748</v>
      </c>
    </row>
    <row r="1106" spans="2:18" ht="14.25" x14ac:dyDescent="0.2">
      <c r="B1106" s="172">
        <f t="shared" si="153"/>
        <v>607</v>
      </c>
      <c r="C1106" s="75"/>
      <c r="D1106" s="528"/>
      <c r="E1106" s="535" t="s">
        <v>691</v>
      </c>
      <c r="F1106" s="532" t="s">
        <v>692</v>
      </c>
      <c r="G1106" s="531"/>
      <c r="H1106" s="537">
        <f>H1107+H1108+H1109+H1114</f>
        <v>43798</v>
      </c>
      <c r="I1106" s="537">
        <f>I1107+I1108+I1109+I1114</f>
        <v>0</v>
      </c>
      <c r="J1106" s="537">
        <f t="shared" si="157"/>
        <v>43798</v>
      </c>
      <c r="K1106" s="335"/>
      <c r="L1106" s="530"/>
      <c r="M1106" s="530"/>
      <c r="N1106" s="530"/>
      <c r="O1106" s="335"/>
      <c r="P1106" s="534">
        <f t="shared" si="154"/>
        <v>43798</v>
      </c>
      <c r="Q1106" s="534">
        <f t="shared" si="155"/>
        <v>0</v>
      </c>
      <c r="R1106" s="534">
        <f t="shared" si="156"/>
        <v>43798</v>
      </c>
    </row>
    <row r="1107" spans="2:18" x14ac:dyDescent="0.2">
      <c r="B1107" s="172">
        <f t="shared" si="153"/>
        <v>608</v>
      </c>
      <c r="C1107" s="144"/>
      <c r="D1107" s="145"/>
      <c r="E1107" s="170"/>
      <c r="F1107" s="145" t="s">
        <v>211</v>
      </c>
      <c r="G1107" s="202" t="s">
        <v>506</v>
      </c>
      <c r="H1107" s="543">
        <f>25378+1269</f>
        <v>26647</v>
      </c>
      <c r="I1107" s="543"/>
      <c r="J1107" s="543">
        <f t="shared" si="157"/>
        <v>26647</v>
      </c>
      <c r="K1107" s="332"/>
      <c r="L1107" s="428"/>
      <c r="M1107" s="428"/>
      <c r="N1107" s="428"/>
      <c r="O1107" s="332"/>
      <c r="P1107" s="545">
        <f t="shared" si="154"/>
        <v>26647</v>
      </c>
      <c r="Q1107" s="545">
        <f t="shared" si="155"/>
        <v>0</v>
      </c>
      <c r="R1107" s="545">
        <f t="shared" si="156"/>
        <v>26647</v>
      </c>
    </row>
    <row r="1108" spans="2:18" x14ac:dyDescent="0.2">
      <c r="B1108" s="172">
        <f t="shared" si="153"/>
        <v>609</v>
      </c>
      <c r="C1108" s="144"/>
      <c r="D1108" s="145"/>
      <c r="E1108" s="170"/>
      <c r="F1108" s="145" t="s">
        <v>212</v>
      </c>
      <c r="G1108" s="202" t="s">
        <v>259</v>
      </c>
      <c r="H1108" s="543">
        <f>9418+471</f>
        <v>9889</v>
      </c>
      <c r="I1108" s="543"/>
      <c r="J1108" s="543">
        <f t="shared" si="157"/>
        <v>9889</v>
      </c>
      <c r="K1108" s="332"/>
      <c r="L1108" s="428"/>
      <c r="M1108" s="428"/>
      <c r="N1108" s="428"/>
      <c r="O1108" s="332"/>
      <c r="P1108" s="545">
        <f t="shared" si="154"/>
        <v>9889</v>
      </c>
      <c r="Q1108" s="545">
        <f t="shared" si="155"/>
        <v>0</v>
      </c>
      <c r="R1108" s="545">
        <f t="shared" si="156"/>
        <v>9889</v>
      </c>
    </row>
    <row r="1109" spans="2:18" x14ac:dyDescent="0.2">
      <c r="B1109" s="172">
        <f t="shared" si="153"/>
        <v>610</v>
      </c>
      <c r="C1109" s="144"/>
      <c r="D1109" s="145"/>
      <c r="E1109" s="170"/>
      <c r="F1109" s="145" t="s">
        <v>218</v>
      </c>
      <c r="G1109" s="202" t="s">
        <v>341</v>
      </c>
      <c r="H1109" s="543">
        <f>SUM(H1110:H1113)</f>
        <v>6270</v>
      </c>
      <c r="I1109" s="543">
        <f>SUM(I1110:I1113)</f>
        <v>0</v>
      </c>
      <c r="J1109" s="543">
        <f t="shared" si="157"/>
        <v>6270</v>
      </c>
      <c r="K1109" s="332"/>
      <c r="L1109" s="428"/>
      <c r="M1109" s="428"/>
      <c r="N1109" s="428"/>
      <c r="O1109" s="332"/>
      <c r="P1109" s="545">
        <f t="shared" si="154"/>
        <v>6270</v>
      </c>
      <c r="Q1109" s="545">
        <f t="shared" si="155"/>
        <v>0</v>
      </c>
      <c r="R1109" s="545">
        <f t="shared" si="156"/>
        <v>6270</v>
      </c>
    </row>
    <row r="1110" spans="2:18" x14ac:dyDescent="0.2">
      <c r="B1110" s="172">
        <f t="shared" si="153"/>
        <v>611</v>
      </c>
      <c r="C1110" s="144"/>
      <c r="D1110" s="145"/>
      <c r="E1110" s="170"/>
      <c r="F1110" s="130" t="s">
        <v>199</v>
      </c>
      <c r="G1110" s="194" t="s">
        <v>319</v>
      </c>
      <c r="H1110" s="435">
        <v>1710</v>
      </c>
      <c r="I1110" s="435"/>
      <c r="J1110" s="435">
        <f t="shared" si="157"/>
        <v>1710</v>
      </c>
      <c r="K1110" s="332"/>
      <c r="L1110" s="428"/>
      <c r="M1110" s="428"/>
      <c r="N1110" s="428"/>
      <c r="O1110" s="332"/>
      <c r="P1110" s="169">
        <f t="shared" si="154"/>
        <v>1710</v>
      </c>
      <c r="Q1110" s="169">
        <f t="shared" si="155"/>
        <v>0</v>
      </c>
      <c r="R1110" s="169">
        <f t="shared" si="156"/>
        <v>1710</v>
      </c>
    </row>
    <row r="1111" spans="2:18" x14ac:dyDescent="0.2">
      <c r="B1111" s="172">
        <f t="shared" si="153"/>
        <v>612</v>
      </c>
      <c r="C1111" s="144"/>
      <c r="D1111" s="145"/>
      <c r="E1111" s="170"/>
      <c r="F1111" s="130" t="s">
        <v>200</v>
      </c>
      <c r="G1111" s="194" t="s">
        <v>247</v>
      </c>
      <c r="H1111" s="435">
        <v>1710</v>
      </c>
      <c r="I1111" s="435"/>
      <c r="J1111" s="435">
        <f t="shared" si="157"/>
        <v>1710</v>
      </c>
      <c r="K1111" s="332"/>
      <c r="L1111" s="428"/>
      <c r="M1111" s="428"/>
      <c r="N1111" s="428"/>
      <c r="O1111" s="332"/>
      <c r="P1111" s="169">
        <f t="shared" si="154"/>
        <v>1710</v>
      </c>
      <c r="Q1111" s="169">
        <f t="shared" si="155"/>
        <v>0</v>
      </c>
      <c r="R1111" s="169">
        <f t="shared" si="156"/>
        <v>1710</v>
      </c>
    </row>
    <row r="1112" spans="2:18" x14ac:dyDescent="0.2">
      <c r="B1112" s="172">
        <f t="shared" si="153"/>
        <v>613</v>
      </c>
      <c r="C1112" s="144"/>
      <c r="D1112" s="145"/>
      <c r="E1112" s="170"/>
      <c r="F1112" s="288" t="s">
        <v>214</v>
      </c>
      <c r="G1112" s="205" t="s">
        <v>261</v>
      </c>
      <c r="H1112" s="435">
        <v>855</v>
      </c>
      <c r="I1112" s="435"/>
      <c r="J1112" s="435">
        <f t="shared" si="157"/>
        <v>855</v>
      </c>
      <c r="K1112" s="332"/>
      <c r="L1112" s="428"/>
      <c r="M1112" s="428"/>
      <c r="N1112" s="428"/>
      <c r="O1112" s="332"/>
      <c r="P1112" s="169">
        <f t="shared" si="154"/>
        <v>855</v>
      </c>
      <c r="Q1112" s="169">
        <f t="shared" si="155"/>
        <v>0</v>
      </c>
      <c r="R1112" s="169">
        <f t="shared" si="156"/>
        <v>855</v>
      </c>
    </row>
    <row r="1113" spans="2:18" x14ac:dyDescent="0.2">
      <c r="B1113" s="172">
        <f t="shared" si="153"/>
        <v>614</v>
      </c>
      <c r="C1113" s="144"/>
      <c r="D1113" s="145"/>
      <c r="E1113" s="170"/>
      <c r="F1113" s="130" t="s">
        <v>216</v>
      </c>
      <c r="G1113" s="194" t="s">
        <v>248</v>
      </c>
      <c r="H1113" s="435">
        <v>1995</v>
      </c>
      <c r="I1113" s="435"/>
      <c r="J1113" s="435">
        <f t="shared" si="157"/>
        <v>1995</v>
      </c>
      <c r="K1113" s="332"/>
      <c r="L1113" s="428"/>
      <c r="M1113" s="428"/>
      <c r="N1113" s="428"/>
      <c r="O1113" s="332"/>
      <c r="P1113" s="169">
        <f t="shared" si="154"/>
        <v>1995</v>
      </c>
      <c r="Q1113" s="169">
        <f t="shared" si="155"/>
        <v>0</v>
      </c>
      <c r="R1113" s="169">
        <f t="shared" si="156"/>
        <v>1995</v>
      </c>
    </row>
    <row r="1114" spans="2:18" x14ac:dyDescent="0.2">
      <c r="B1114" s="172">
        <f t="shared" si="153"/>
        <v>615</v>
      </c>
      <c r="C1114" s="144"/>
      <c r="D1114" s="145"/>
      <c r="E1114" s="170"/>
      <c r="F1114" s="145" t="s">
        <v>217</v>
      </c>
      <c r="G1114" s="202" t="s">
        <v>372</v>
      </c>
      <c r="H1114" s="393">
        <v>992</v>
      </c>
      <c r="I1114" s="393"/>
      <c r="J1114" s="393">
        <f t="shared" si="157"/>
        <v>992</v>
      </c>
      <c r="K1114" s="332"/>
      <c r="L1114" s="428"/>
      <c r="M1114" s="428"/>
      <c r="N1114" s="428"/>
      <c r="O1114" s="332"/>
      <c r="P1114" s="545">
        <f t="shared" si="154"/>
        <v>992</v>
      </c>
      <c r="Q1114" s="545">
        <f t="shared" si="155"/>
        <v>0</v>
      </c>
      <c r="R1114" s="545">
        <f t="shared" si="156"/>
        <v>992</v>
      </c>
    </row>
    <row r="1115" spans="2:18" ht="15" x14ac:dyDescent="0.25">
      <c r="B1115" s="172">
        <f t="shared" si="153"/>
        <v>616</v>
      </c>
      <c r="C1115" s="144"/>
      <c r="D1115" s="261" t="s">
        <v>469</v>
      </c>
      <c r="E1115" s="176"/>
      <c r="F1115" s="149" t="s">
        <v>380</v>
      </c>
      <c r="G1115" s="239"/>
      <c r="H1115" s="416">
        <f>H1116+H1127</f>
        <v>82893</v>
      </c>
      <c r="I1115" s="416">
        <f>I1116+I1127</f>
        <v>0</v>
      </c>
      <c r="J1115" s="416">
        <f t="shared" si="157"/>
        <v>82893</v>
      </c>
      <c r="K1115" s="330"/>
      <c r="L1115" s="421">
        <f>L1126</f>
        <v>16000</v>
      </c>
      <c r="M1115" s="421">
        <f>M1126</f>
        <v>0</v>
      </c>
      <c r="N1115" s="421">
        <f>M1115+L1115</f>
        <v>16000</v>
      </c>
      <c r="O1115" s="330"/>
      <c r="P1115" s="328">
        <f t="shared" si="154"/>
        <v>98893</v>
      </c>
      <c r="Q1115" s="328">
        <f t="shared" si="155"/>
        <v>0</v>
      </c>
      <c r="R1115" s="328">
        <f t="shared" si="156"/>
        <v>98893</v>
      </c>
    </row>
    <row r="1116" spans="2:18" ht="14.25" x14ac:dyDescent="0.2">
      <c r="B1116" s="172">
        <f t="shared" si="153"/>
        <v>617</v>
      </c>
      <c r="C1116" s="75"/>
      <c r="D1116" s="528"/>
      <c r="E1116" s="535" t="s">
        <v>690</v>
      </c>
      <c r="F1116" s="532" t="s">
        <v>693</v>
      </c>
      <c r="G1116" s="531"/>
      <c r="H1116" s="533">
        <f>H1117+H1118+H1119+H1125</f>
        <v>37282</v>
      </c>
      <c r="I1116" s="533">
        <f>I1117+I1118+I1119+I1125</f>
        <v>0</v>
      </c>
      <c r="J1116" s="533">
        <f t="shared" si="157"/>
        <v>37282</v>
      </c>
      <c r="K1116" s="335"/>
      <c r="L1116" s="530"/>
      <c r="M1116" s="530"/>
      <c r="N1116" s="530"/>
      <c r="O1116" s="335"/>
      <c r="P1116" s="534">
        <f t="shared" si="154"/>
        <v>37282</v>
      </c>
      <c r="Q1116" s="534">
        <f t="shared" si="155"/>
        <v>0</v>
      </c>
      <c r="R1116" s="534">
        <f t="shared" si="156"/>
        <v>37282</v>
      </c>
    </row>
    <row r="1117" spans="2:18" x14ac:dyDescent="0.2">
      <c r="B1117" s="172">
        <f t="shared" si="153"/>
        <v>618</v>
      </c>
      <c r="C1117" s="144"/>
      <c r="D1117" s="145"/>
      <c r="E1117" s="130"/>
      <c r="F1117" s="145" t="s">
        <v>211</v>
      </c>
      <c r="G1117" s="202" t="s">
        <v>506</v>
      </c>
      <c r="H1117" s="543">
        <f>21010+1051</f>
        <v>22061</v>
      </c>
      <c r="I1117" s="543"/>
      <c r="J1117" s="543">
        <f t="shared" si="157"/>
        <v>22061</v>
      </c>
      <c r="K1117" s="332"/>
      <c r="L1117" s="390"/>
      <c r="M1117" s="390"/>
      <c r="N1117" s="390"/>
      <c r="O1117" s="332"/>
      <c r="P1117" s="167">
        <f t="shared" si="154"/>
        <v>22061</v>
      </c>
      <c r="Q1117" s="167">
        <f t="shared" si="155"/>
        <v>0</v>
      </c>
      <c r="R1117" s="167">
        <f t="shared" si="156"/>
        <v>22061</v>
      </c>
    </row>
    <row r="1118" spans="2:18" x14ac:dyDescent="0.2">
      <c r="B1118" s="172">
        <f t="shared" si="153"/>
        <v>619</v>
      </c>
      <c r="C1118" s="144"/>
      <c r="D1118" s="145"/>
      <c r="E1118" s="130"/>
      <c r="F1118" s="145" t="s">
        <v>212</v>
      </c>
      <c r="G1118" s="202" t="s">
        <v>259</v>
      </c>
      <c r="H1118" s="543">
        <f>7920+396</f>
        <v>8316</v>
      </c>
      <c r="I1118" s="543"/>
      <c r="J1118" s="543">
        <f t="shared" si="157"/>
        <v>8316</v>
      </c>
      <c r="K1118" s="332"/>
      <c r="L1118" s="390"/>
      <c r="M1118" s="390"/>
      <c r="N1118" s="390"/>
      <c r="O1118" s="332"/>
      <c r="P1118" s="167">
        <f t="shared" si="154"/>
        <v>8316</v>
      </c>
      <c r="Q1118" s="167">
        <f t="shared" si="155"/>
        <v>0</v>
      </c>
      <c r="R1118" s="167">
        <f t="shared" si="156"/>
        <v>8316</v>
      </c>
    </row>
    <row r="1119" spans="2:18" x14ac:dyDescent="0.2">
      <c r="B1119" s="172">
        <f t="shared" si="153"/>
        <v>620</v>
      </c>
      <c r="C1119" s="144"/>
      <c r="D1119" s="145"/>
      <c r="E1119" s="130"/>
      <c r="F1119" s="145" t="s">
        <v>218</v>
      </c>
      <c r="G1119" s="202" t="s">
        <v>341</v>
      </c>
      <c r="H1119" s="543">
        <f>SUM(H1120:H1124)</f>
        <v>6435</v>
      </c>
      <c r="I1119" s="543">
        <f>SUM(I1120:I1124)</f>
        <v>0</v>
      </c>
      <c r="J1119" s="543">
        <f t="shared" si="157"/>
        <v>6435</v>
      </c>
      <c r="K1119" s="332"/>
      <c r="L1119" s="390"/>
      <c r="M1119" s="390"/>
      <c r="N1119" s="390"/>
      <c r="O1119" s="332"/>
      <c r="P1119" s="167">
        <f t="shared" si="154"/>
        <v>6435</v>
      </c>
      <c r="Q1119" s="167">
        <f t="shared" si="155"/>
        <v>0</v>
      </c>
      <c r="R1119" s="167">
        <f t="shared" si="156"/>
        <v>6435</v>
      </c>
    </row>
    <row r="1120" spans="2:18" x14ac:dyDescent="0.2">
      <c r="B1120" s="172">
        <f t="shared" si="153"/>
        <v>621</v>
      </c>
      <c r="C1120" s="144"/>
      <c r="D1120" s="145"/>
      <c r="E1120" s="130"/>
      <c r="F1120" s="130" t="s">
        <v>213</v>
      </c>
      <c r="G1120" s="194" t="s">
        <v>255</v>
      </c>
      <c r="H1120" s="389">
        <v>20</v>
      </c>
      <c r="I1120" s="389"/>
      <c r="J1120" s="389">
        <f t="shared" si="157"/>
        <v>20</v>
      </c>
      <c r="K1120" s="332"/>
      <c r="L1120" s="390"/>
      <c r="M1120" s="390"/>
      <c r="N1120" s="390"/>
      <c r="O1120" s="332"/>
      <c r="P1120" s="168">
        <f t="shared" si="154"/>
        <v>20</v>
      </c>
      <c r="Q1120" s="168">
        <f t="shared" si="155"/>
        <v>0</v>
      </c>
      <c r="R1120" s="168">
        <f t="shared" si="156"/>
        <v>20</v>
      </c>
    </row>
    <row r="1121" spans="2:18" x14ac:dyDescent="0.2">
      <c r="B1121" s="172">
        <f t="shared" si="153"/>
        <v>622</v>
      </c>
      <c r="C1121" s="144"/>
      <c r="D1121" s="145"/>
      <c r="E1121" s="130"/>
      <c r="F1121" s="130" t="s">
        <v>199</v>
      </c>
      <c r="G1121" s="194" t="s">
        <v>319</v>
      </c>
      <c r="H1121" s="389">
        <v>3195</v>
      </c>
      <c r="I1121" s="389"/>
      <c r="J1121" s="389">
        <f t="shared" si="157"/>
        <v>3195</v>
      </c>
      <c r="K1121" s="332"/>
      <c r="L1121" s="390"/>
      <c r="M1121" s="390"/>
      <c r="N1121" s="390"/>
      <c r="O1121" s="332"/>
      <c r="P1121" s="168">
        <f t="shared" si="154"/>
        <v>3195</v>
      </c>
      <c r="Q1121" s="168">
        <f t="shared" si="155"/>
        <v>0</v>
      </c>
      <c r="R1121" s="168">
        <f t="shared" si="156"/>
        <v>3195</v>
      </c>
    </row>
    <row r="1122" spans="2:18" x14ac:dyDescent="0.2">
      <c r="B1122" s="172">
        <f t="shared" si="153"/>
        <v>623</v>
      </c>
      <c r="C1122" s="144"/>
      <c r="D1122" s="145"/>
      <c r="E1122" s="130"/>
      <c r="F1122" s="130" t="s">
        <v>200</v>
      </c>
      <c r="G1122" s="194" t="s">
        <v>247</v>
      </c>
      <c r="H1122" s="389">
        <v>1215</v>
      </c>
      <c r="I1122" s="389"/>
      <c r="J1122" s="389">
        <f t="shared" si="157"/>
        <v>1215</v>
      </c>
      <c r="K1122" s="332"/>
      <c r="L1122" s="390"/>
      <c r="M1122" s="390"/>
      <c r="N1122" s="390"/>
      <c r="O1122" s="332"/>
      <c r="P1122" s="168">
        <f t="shared" si="154"/>
        <v>1215</v>
      </c>
      <c r="Q1122" s="168">
        <f t="shared" si="155"/>
        <v>0</v>
      </c>
      <c r="R1122" s="168">
        <f t="shared" si="156"/>
        <v>1215</v>
      </c>
    </row>
    <row r="1123" spans="2:18" x14ac:dyDescent="0.2">
      <c r="B1123" s="172">
        <f t="shared" si="153"/>
        <v>624</v>
      </c>
      <c r="C1123" s="144"/>
      <c r="D1123" s="145"/>
      <c r="E1123" s="130"/>
      <c r="F1123" s="130" t="s">
        <v>214</v>
      </c>
      <c r="G1123" s="194" t="s">
        <v>261</v>
      </c>
      <c r="H1123" s="389">
        <v>1170</v>
      </c>
      <c r="I1123" s="389"/>
      <c r="J1123" s="389">
        <f t="shared" si="157"/>
        <v>1170</v>
      </c>
      <c r="K1123" s="332"/>
      <c r="L1123" s="390"/>
      <c r="M1123" s="390"/>
      <c r="N1123" s="390"/>
      <c r="O1123" s="332"/>
      <c r="P1123" s="168">
        <f t="shared" si="154"/>
        <v>1170</v>
      </c>
      <c r="Q1123" s="168">
        <f t="shared" si="155"/>
        <v>0</v>
      </c>
      <c r="R1123" s="168">
        <f t="shared" si="156"/>
        <v>1170</v>
      </c>
    </row>
    <row r="1124" spans="2:18" x14ac:dyDescent="0.2">
      <c r="B1124" s="172">
        <f t="shared" si="153"/>
        <v>625</v>
      </c>
      <c r="C1124" s="144"/>
      <c r="D1124" s="145"/>
      <c r="E1124" s="130"/>
      <c r="F1124" s="130" t="s">
        <v>216</v>
      </c>
      <c r="G1124" s="194" t="s">
        <v>248</v>
      </c>
      <c r="H1124" s="389">
        <v>835</v>
      </c>
      <c r="I1124" s="389"/>
      <c r="J1124" s="389">
        <f t="shared" si="157"/>
        <v>835</v>
      </c>
      <c r="K1124" s="332"/>
      <c r="L1124" s="390"/>
      <c r="M1124" s="390"/>
      <c r="N1124" s="390"/>
      <c r="O1124" s="332"/>
      <c r="P1124" s="168">
        <f t="shared" si="154"/>
        <v>835</v>
      </c>
      <c r="Q1124" s="168">
        <f t="shared" si="155"/>
        <v>0</v>
      </c>
      <c r="R1124" s="168">
        <f t="shared" si="156"/>
        <v>835</v>
      </c>
    </row>
    <row r="1125" spans="2:18" x14ac:dyDescent="0.2">
      <c r="B1125" s="172">
        <f t="shared" si="153"/>
        <v>626</v>
      </c>
      <c r="C1125" s="144"/>
      <c r="D1125" s="145"/>
      <c r="E1125" s="130"/>
      <c r="F1125" s="145" t="s">
        <v>217</v>
      </c>
      <c r="G1125" s="202" t="s">
        <v>505</v>
      </c>
      <c r="H1125" s="543">
        <v>470</v>
      </c>
      <c r="I1125" s="543"/>
      <c r="J1125" s="543">
        <f t="shared" si="157"/>
        <v>470</v>
      </c>
      <c r="K1125" s="332"/>
      <c r="L1125" s="390"/>
      <c r="M1125" s="390"/>
      <c r="N1125" s="390"/>
      <c r="O1125" s="332"/>
      <c r="P1125" s="167">
        <f t="shared" si="154"/>
        <v>470</v>
      </c>
      <c r="Q1125" s="167">
        <f t="shared" si="155"/>
        <v>0</v>
      </c>
      <c r="R1125" s="167">
        <f t="shared" si="156"/>
        <v>470</v>
      </c>
    </row>
    <row r="1126" spans="2:18" x14ac:dyDescent="0.2">
      <c r="B1126" s="172">
        <f t="shared" si="153"/>
        <v>627</v>
      </c>
      <c r="C1126" s="144"/>
      <c r="D1126" s="145"/>
      <c r="E1126" s="170"/>
      <c r="F1126" s="282" t="s">
        <v>607</v>
      </c>
      <c r="G1126" s="202" t="s">
        <v>608</v>
      </c>
      <c r="H1126" s="543"/>
      <c r="I1126" s="543"/>
      <c r="J1126" s="543">
        <f t="shared" si="157"/>
        <v>0</v>
      </c>
      <c r="K1126" s="332"/>
      <c r="L1126" s="390">
        <v>16000</v>
      </c>
      <c r="M1126" s="390"/>
      <c r="N1126" s="390">
        <f>M1126+L1126</f>
        <v>16000</v>
      </c>
      <c r="O1126" s="332"/>
      <c r="P1126" s="167">
        <f t="shared" si="154"/>
        <v>16000</v>
      </c>
      <c r="Q1126" s="167">
        <f t="shared" si="155"/>
        <v>0</v>
      </c>
      <c r="R1126" s="167">
        <f t="shared" si="156"/>
        <v>16000</v>
      </c>
    </row>
    <row r="1127" spans="2:18" ht="14.25" x14ac:dyDescent="0.2">
      <c r="B1127" s="172">
        <f t="shared" si="153"/>
        <v>628</v>
      </c>
      <c r="C1127" s="75"/>
      <c r="D1127" s="528"/>
      <c r="E1127" s="535" t="s">
        <v>691</v>
      </c>
      <c r="F1127" s="532" t="s">
        <v>692</v>
      </c>
      <c r="G1127" s="531"/>
      <c r="H1127" s="537">
        <f>H1128+H1129+H1130+H1136</f>
        <v>45611</v>
      </c>
      <c r="I1127" s="537">
        <f>I1128+I1129+I1130+I1136</f>
        <v>0</v>
      </c>
      <c r="J1127" s="537">
        <f t="shared" si="157"/>
        <v>45611</v>
      </c>
      <c r="K1127" s="335"/>
      <c r="L1127" s="530"/>
      <c r="M1127" s="530"/>
      <c r="N1127" s="530"/>
      <c r="O1127" s="335"/>
      <c r="P1127" s="534">
        <f t="shared" si="154"/>
        <v>45611</v>
      </c>
      <c r="Q1127" s="534">
        <f t="shared" si="155"/>
        <v>0</v>
      </c>
      <c r="R1127" s="534">
        <f t="shared" si="156"/>
        <v>45611</v>
      </c>
    </row>
    <row r="1128" spans="2:18" x14ac:dyDescent="0.2">
      <c r="B1128" s="172">
        <f t="shared" si="153"/>
        <v>629</v>
      </c>
      <c r="C1128" s="144"/>
      <c r="D1128" s="145"/>
      <c r="E1128" s="170"/>
      <c r="F1128" s="145" t="s">
        <v>211</v>
      </c>
      <c r="G1128" s="202" t="s">
        <v>506</v>
      </c>
      <c r="H1128" s="543">
        <f>25745+1287</f>
        <v>27032</v>
      </c>
      <c r="I1128" s="543"/>
      <c r="J1128" s="543">
        <f t="shared" si="157"/>
        <v>27032</v>
      </c>
      <c r="K1128" s="332"/>
      <c r="L1128" s="428"/>
      <c r="M1128" s="428"/>
      <c r="N1128" s="428"/>
      <c r="O1128" s="332"/>
      <c r="P1128" s="545">
        <f t="shared" si="154"/>
        <v>27032</v>
      </c>
      <c r="Q1128" s="545">
        <f t="shared" si="155"/>
        <v>0</v>
      </c>
      <c r="R1128" s="545">
        <f t="shared" si="156"/>
        <v>27032</v>
      </c>
    </row>
    <row r="1129" spans="2:18" x14ac:dyDescent="0.2">
      <c r="B1129" s="172">
        <f t="shared" si="153"/>
        <v>630</v>
      </c>
      <c r="C1129" s="144"/>
      <c r="D1129" s="145"/>
      <c r="E1129" s="170"/>
      <c r="F1129" s="145" t="s">
        <v>212</v>
      </c>
      <c r="G1129" s="202" t="s">
        <v>259</v>
      </c>
      <c r="H1129" s="543">
        <f>9680+484</f>
        <v>10164</v>
      </c>
      <c r="I1129" s="543"/>
      <c r="J1129" s="543">
        <f t="shared" si="157"/>
        <v>10164</v>
      </c>
      <c r="K1129" s="332"/>
      <c r="L1129" s="428"/>
      <c r="M1129" s="428"/>
      <c r="N1129" s="428"/>
      <c r="O1129" s="332"/>
      <c r="P1129" s="545">
        <f t="shared" si="154"/>
        <v>10164</v>
      </c>
      <c r="Q1129" s="545">
        <f t="shared" si="155"/>
        <v>0</v>
      </c>
      <c r="R1129" s="545">
        <f t="shared" si="156"/>
        <v>10164</v>
      </c>
    </row>
    <row r="1130" spans="2:18" x14ac:dyDescent="0.2">
      <c r="B1130" s="172">
        <f t="shared" si="153"/>
        <v>631</v>
      </c>
      <c r="C1130" s="144"/>
      <c r="D1130" s="145"/>
      <c r="E1130" s="170"/>
      <c r="F1130" s="145" t="s">
        <v>218</v>
      </c>
      <c r="G1130" s="202" t="s">
        <v>341</v>
      </c>
      <c r="H1130" s="543">
        <f>SUM(H1131:H1135)</f>
        <v>7835</v>
      </c>
      <c r="I1130" s="543">
        <f>SUM(I1131:I1135)</f>
        <v>0</v>
      </c>
      <c r="J1130" s="543">
        <f t="shared" si="157"/>
        <v>7835</v>
      </c>
      <c r="K1130" s="332"/>
      <c r="L1130" s="428"/>
      <c r="M1130" s="428"/>
      <c r="N1130" s="428"/>
      <c r="O1130" s="332"/>
      <c r="P1130" s="545">
        <f t="shared" si="154"/>
        <v>7835</v>
      </c>
      <c r="Q1130" s="545">
        <f t="shared" si="155"/>
        <v>0</v>
      </c>
      <c r="R1130" s="545">
        <f t="shared" si="156"/>
        <v>7835</v>
      </c>
    </row>
    <row r="1131" spans="2:18" x14ac:dyDescent="0.2">
      <c r="B1131" s="172">
        <f t="shared" si="153"/>
        <v>632</v>
      </c>
      <c r="C1131" s="144"/>
      <c r="D1131" s="145"/>
      <c r="E1131" s="170"/>
      <c r="F1131" s="130" t="s">
        <v>213</v>
      </c>
      <c r="G1131" s="194" t="s">
        <v>255</v>
      </c>
      <c r="H1131" s="435">
        <v>30</v>
      </c>
      <c r="I1131" s="435"/>
      <c r="J1131" s="435">
        <f t="shared" si="157"/>
        <v>30</v>
      </c>
      <c r="K1131" s="332"/>
      <c r="L1131" s="428"/>
      <c r="M1131" s="428"/>
      <c r="N1131" s="428"/>
      <c r="O1131" s="332"/>
      <c r="P1131" s="169">
        <f t="shared" si="154"/>
        <v>30</v>
      </c>
      <c r="Q1131" s="169">
        <f t="shared" si="155"/>
        <v>0</v>
      </c>
      <c r="R1131" s="169">
        <f t="shared" si="156"/>
        <v>30</v>
      </c>
    </row>
    <row r="1132" spans="2:18" x14ac:dyDescent="0.2">
      <c r="B1132" s="172">
        <f t="shared" si="153"/>
        <v>633</v>
      </c>
      <c r="C1132" s="144"/>
      <c r="D1132" s="145"/>
      <c r="E1132" s="170"/>
      <c r="F1132" s="130" t="s">
        <v>199</v>
      </c>
      <c r="G1132" s="194" t="s">
        <v>319</v>
      </c>
      <c r="H1132" s="435">
        <v>3875</v>
      </c>
      <c r="I1132" s="435"/>
      <c r="J1132" s="435">
        <f t="shared" si="157"/>
        <v>3875</v>
      </c>
      <c r="K1132" s="332"/>
      <c r="L1132" s="428"/>
      <c r="M1132" s="428"/>
      <c r="N1132" s="428"/>
      <c r="O1132" s="332"/>
      <c r="P1132" s="169">
        <f t="shared" si="154"/>
        <v>3875</v>
      </c>
      <c r="Q1132" s="169">
        <f t="shared" si="155"/>
        <v>0</v>
      </c>
      <c r="R1132" s="169">
        <f t="shared" si="156"/>
        <v>3875</v>
      </c>
    </row>
    <row r="1133" spans="2:18" x14ac:dyDescent="0.2">
      <c r="B1133" s="172">
        <f t="shared" si="153"/>
        <v>634</v>
      </c>
      <c r="C1133" s="144"/>
      <c r="D1133" s="145"/>
      <c r="E1133" s="170"/>
      <c r="F1133" s="130" t="s">
        <v>200</v>
      </c>
      <c r="G1133" s="194" t="s">
        <v>247</v>
      </c>
      <c r="H1133" s="435">
        <v>1485</v>
      </c>
      <c r="I1133" s="435"/>
      <c r="J1133" s="435">
        <f t="shared" si="157"/>
        <v>1485</v>
      </c>
      <c r="K1133" s="332"/>
      <c r="L1133" s="428"/>
      <c r="M1133" s="428"/>
      <c r="N1133" s="428"/>
      <c r="O1133" s="332"/>
      <c r="P1133" s="169">
        <f t="shared" si="154"/>
        <v>1485</v>
      </c>
      <c r="Q1133" s="169">
        <f t="shared" si="155"/>
        <v>0</v>
      </c>
      <c r="R1133" s="169">
        <f t="shared" si="156"/>
        <v>1485</v>
      </c>
    </row>
    <row r="1134" spans="2:18" x14ac:dyDescent="0.2">
      <c r="B1134" s="172">
        <f t="shared" si="153"/>
        <v>635</v>
      </c>
      <c r="C1134" s="144"/>
      <c r="D1134" s="145"/>
      <c r="E1134" s="170"/>
      <c r="F1134" s="288" t="s">
        <v>214</v>
      </c>
      <c r="G1134" s="205" t="s">
        <v>261</v>
      </c>
      <c r="H1134" s="435">
        <v>1430</v>
      </c>
      <c r="I1134" s="435"/>
      <c r="J1134" s="435">
        <f t="shared" si="157"/>
        <v>1430</v>
      </c>
      <c r="K1134" s="332"/>
      <c r="L1134" s="428"/>
      <c r="M1134" s="428"/>
      <c r="N1134" s="428"/>
      <c r="O1134" s="332"/>
      <c r="P1134" s="169">
        <f t="shared" si="154"/>
        <v>1430</v>
      </c>
      <c r="Q1134" s="169">
        <f t="shared" si="155"/>
        <v>0</v>
      </c>
      <c r="R1134" s="169">
        <f t="shared" si="156"/>
        <v>1430</v>
      </c>
    </row>
    <row r="1135" spans="2:18" x14ac:dyDescent="0.2">
      <c r="B1135" s="172">
        <f t="shared" si="153"/>
        <v>636</v>
      </c>
      <c r="C1135" s="144"/>
      <c r="D1135" s="145"/>
      <c r="E1135" s="170"/>
      <c r="F1135" s="130" t="s">
        <v>216</v>
      </c>
      <c r="G1135" s="194" t="s">
        <v>248</v>
      </c>
      <c r="H1135" s="435">
        <v>1015</v>
      </c>
      <c r="I1135" s="435"/>
      <c r="J1135" s="435">
        <f t="shared" si="157"/>
        <v>1015</v>
      </c>
      <c r="K1135" s="332"/>
      <c r="L1135" s="428"/>
      <c r="M1135" s="428"/>
      <c r="N1135" s="428"/>
      <c r="O1135" s="332"/>
      <c r="P1135" s="169">
        <f t="shared" si="154"/>
        <v>1015</v>
      </c>
      <c r="Q1135" s="169">
        <f t="shared" si="155"/>
        <v>0</v>
      </c>
      <c r="R1135" s="169">
        <f t="shared" si="156"/>
        <v>1015</v>
      </c>
    </row>
    <row r="1136" spans="2:18" x14ac:dyDescent="0.2">
      <c r="B1136" s="172">
        <f t="shared" si="153"/>
        <v>637</v>
      </c>
      <c r="C1136" s="144"/>
      <c r="D1136" s="145"/>
      <c r="E1136" s="170"/>
      <c r="F1136" s="145" t="s">
        <v>217</v>
      </c>
      <c r="G1136" s="202" t="s">
        <v>372</v>
      </c>
      <c r="H1136" s="393">
        <v>580</v>
      </c>
      <c r="I1136" s="393"/>
      <c r="J1136" s="393">
        <f t="shared" si="157"/>
        <v>580</v>
      </c>
      <c r="K1136" s="332"/>
      <c r="L1136" s="428"/>
      <c r="M1136" s="428"/>
      <c r="N1136" s="428"/>
      <c r="O1136" s="332"/>
      <c r="P1136" s="545">
        <f t="shared" si="154"/>
        <v>580</v>
      </c>
      <c r="Q1136" s="545">
        <f t="shared" si="155"/>
        <v>0</v>
      </c>
      <c r="R1136" s="545">
        <f t="shared" si="156"/>
        <v>580</v>
      </c>
    </row>
    <row r="1137" spans="2:18" ht="15" x14ac:dyDescent="0.25">
      <c r="B1137" s="172">
        <f t="shared" si="153"/>
        <v>638</v>
      </c>
      <c r="C1137" s="144"/>
      <c r="D1137" s="261" t="s">
        <v>470</v>
      </c>
      <c r="E1137" s="176"/>
      <c r="F1137" s="149" t="s">
        <v>381</v>
      </c>
      <c r="G1137" s="239"/>
      <c r="H1137" s="416">
        <f>H1138+H1147</f>
        <v>73526</v>
      </c>
      <c r="I1137" s="416">
        <f>I1138+I1147</f>
        <v>0</v>
      </c>
      <c r="J1137" s="416">
        <f t="shared" si="157"/>
        <v>73526</v>
      </c>
      <c r="K1137" s="330"/>
      <c r="L1137" s="421"/>
      <c r="M1137" s="421"/>
      <c r="N1137" s="421"/>
      <c r="O1137" s="330"/>
      <c r="P1137" s="328">
        <f t="shared" si="154"/>
        <v>73526</v>
      </c>
      <c r="Q1137" s="328">
        <f t="shared" si="155"/>
        <v>0</v>
      </c>
      <c r="R1137" s="328">
        <f t="shared" si="156"/>
        <v>73526</v>
      </c>
    </row>
    <row r="1138" spans="2:18" ht="14.25" x14ac:dyDescent="0.2">
      <c r="B1138" s="172">
        <f t="shared" si="153"/>
        <v>639</v>
      </c>
      <c r="C1138" s="75"/>
      <c r="D1138" s="528"/>
      <c r="E1138" s="535" t="s">
        <v>690</v>
      </c>
      <c r="F1138" s="532" t="s">
        <v>693</v>
      </c>
      <c r="G1138" s="531"/>
      <c r="H1138" s="533">
        <f>H1139+H1140+H1141</f>
        <v>36762</v>
      </c>
      <c r="I1138" s="533">
        <f>I1139+I1140+I1141+I1146</f>
        <v>0</v>
      </c>
      <c r="J1138" s="533">
        <f t="shared" si="157"/>
        <v>36762</v>
      </c>
      <c r="K1138" s="335"/>
      <c r="L1138" s="530"/>
      <c r="M1138" s="530"/>
      <c r="N1138" s="530"/>
      <c r="O1138" s="335"/>
      <c r="P1138" s="534">
        <f t="shared" si="154"/>
        <v>36762</v>
      </c>
      <c r="Q1138" s="534">
        <f t="shared" si="155"/>
        <v>0</v>
      </c>
      <c r="R1138" s="534">
        <f t="shared" si="156"/>
        <v>36762</v>
      </c>
    </row>
    <row r="1139" spans="2:18" x14ac:dyDescent="0.2">
      <c r="B1139" s="172">
        <f t="shared" si="153"/>
        <v>640</v>
      </c>
      <c r="C1139" s="144"/>
      <c r="D1139" s="145"/>
      <c r="E1139" s="130"/>
      <c r="F1139" s="145" t="s">
        <v>211</v>
      </c>
      <c r="G1139" s="202" t="s">
        <v>506</v>
      </c>
      <c r="H1139" s="543">
        <f>16912+846</f>
        <v>17758</v>
      </c>
      <c r="I1139" s="543">
        <v>-75</v>
      </c>
      <c r="J1139" s="543">
        <f t="shared" si="157"/>
        <v>17683</v>
      </c>
      <c r="K1139" s="332"/>
      <c r="L1139" s="390"/>
      <c r="M1139" s="390"/>
      <c r="N1139" s="390"/>
      <c r="O1139" s="332"/>
      <c r="P1139" s="167">
        <f t="shared" si="154"/>
        <v>17758</v>
      </c>
      <c r="Q1139" s="167">
        <f t="shared" si="155"/>
        <v>-75</v>
      </c>
      <c r="R1139" s="167">
        <f t="shared" si="156"/>
        <v>17683</v>
      </c>
    </row>
    <row r="1140" spans="2:18" x14ac:dyDescent="0.2">
      <c r="B1140" s="172">
        <f t="shared" si="153"/>
        <v>641</v>
      </c>
      <c r="C1140" s="144"/>
      <c r="D1140" s="145"/>
      <c r="E1140" s="130"/>
      <c r="F1140" s="145" t="s">
        <v>212</v>
      </c>
      <c r="G1140" s="202" t="s">
        <v>259</v>
      </c>
      <c r="H1140" s="543">
        <f>5913+296</f>
        <v>6209</v>
      </c>
      <c r="I1140" s="543"/>
      <c r="J1140" s="543">
        <f t="shared" si="157"/>
        <v>6209</v>
      </c>
      <c r="K1140" s="332"/>
      <c r="L1140" s="390"/>
      <c r="M1140" s="390"/>
      <c r="N1140" s="390"/>
      <c r="O1140" s="332"/>
      <c r="P1140" s="167">
        <f t="shared" si="154"/>
        <v>6209</v>
      </c>
      <c r="Q1140" s="167">
        <f t="shared" si="155"/>
        <v>0</v>
      </c>
      <c r="R1140" s="167">
        <f t="shared" si="156"/>
        <v>6209</v>
      </c>
    </row>
    <row r="1141" spans="2:18" x14ac:dyDescent="0.2">
      <c r="B1141" s="172">
        <f t="shared" si="153"/>
        <v>642</v>
      </c>
      <c r="C1141" s="144"/>
      <c r="D1141" s="145"/>
      <c r="E1141" s="130"/>
      <c r="F1141" s="145" t="s">
        <v>218</v>
      </c>
      <c r="G1141" s="202" t="s">
        <v>341</v>
      </c>
      <c r="H1141" s="543">
        <f>SUM(H1142:H1145)</f>
        <v>12795</v>
      </c>
      <c r="I1141" s="543">
        <f>SUM(I1142:I1145)</f>
        <v>0</v>
      </c>
      <c r="J1141" s="543">
        <f t="shared" si="157"/>
        <v>12795</v>
      </c>
      <c r="K1141" s="332"/>
      <c r="L1141" s="390"/>
      <c r="M1141" s="390"/>
      <c r="N1141" s="390"/>
      <c r="O1141" s="332"/>
      <c r="P1141" s="167">
        <f t="shared" si="154"/>
        <v>12795</v>
      </c>
      <c r="Q1141" s="167">
        <f t="shared" si="155"/>
        <v>0</v>
      </c>
      <c r="R1141" s="167">
        <f t="shared" si="156"/>
        <v>12795</v>
      </c>
    </row>
    <row r="1142" spans="2:18" x14ac:dyDescent="0.2">
      <c r="B1142" s="172">
        <f t="shared" si="153"/>
        <v>643</v>
      </c>
      <c r="C1142" s="144"/>
      <c r="D1142" s="145"/>
      <c r="E1142" s="130"/>
      <c r="F1142" s="130" t="s">
        <v>199</v>
      </c>
      <c r="G1142" s="194" t="s">
        <v>319</v>
      </c>
      <c r="H1142" s="389">
        <v>8300</v>
      </c>
      <c r="I1142" s="389">
        <v>-2500</v>
      </c>
      <c r="J1142" s="389">
        <f t="shared" si="157"/>
        <v>5800</v>
      </c>
      <c r="K1142" s="332"/>
      <c r="L1142" s="390"/>
      <c r="M1142" s="390"/>
      <c r="N1142" s="390"/>
      <c r="O1142" s="332"/>
      <c r="P1142" s="168">
        <f t="shared" si="154"/>
        <v>8300</v>
      </c>
      <c r="Q1142" s="168">
        <f t="shared" si="155"/>
        <v>-2500</v>
      </c>
      <c r="R1142" s="168">
        <f t="shared" si="156"/>
        <v>5800</v>
      </c>
    </row>
    <row r="1143" spans="2:18" x14ac:dyDescent="0.2">
      <c r="B1143" s="172">
        <f t="shared" si="153"/>
        <v>644</v>
      </c>
      <c r="C1143" s="144"/>
      <c r="D1143" s="145"/>
      <c r="E1143" s="130"/>
      <c r="F1143" s="130" t="s">
        <v>200</v>
      </c>
      <c r="G1143" s="194" t="s">
        <v>247</v>
      </c>
      <c r="H1143" s="389">
        <v>1350</v>
      </c>
      <c r="I1143" s="389">
        <v>2000</v>
      </c>
      <c r="J1143" s="389">
        <f t="shared" si="157"/>
        <v>3350</v>
      </c>
      <c r="K1143" s="332"/>
      <c r="L1143" s="390"/>
      <c r="M1143" s="390"/>
      <c r="N1143" s="390"/>
      <c r="O1143" s="332"/>
      <c r="P1143" s="168">
        <f t="shared" si="154"/>
        <v>1350</v>
      </c>
      <c r="Q1143" s="168">
        <f t="shared" si="155"/>
        <v>2000</v>
      </c>
      <c r="R1143" s="168">
        <f t="shared" si="156"/>
        <v>3350</v>
      </c>
    </row>
    <row r="1144" spans="2:18" x14ac:dyDescent="0.2">
      <c r="B1144" s="172">
        <f t="shared" si="153"/>
        <v>645</v>
      </c>
      <c r="C1144" s="144"/>
      <c r="D1144" s="145"/>
      <c r="E1144" s="130"/>
      <c r="F1144" s="130" t="s">
        <v>214</v>
      </c>
      <c r="G1144" s="194" t="s">
        <v>261</v>
      </c>
      <c r="H1144" s="389">
        <v>2100</v>
      </c>
      <c r="I1144" s="389"/>
      <c r="J1144" s="389">
        <f t="shared" si="157"/>
        <v>2100</v>
      </c>
      <c r="K1144" s="332"/>
      <c r="L1144" s="390"/>
      <c r="M1144" s="390"/>
      <c r="N1144" s="390"/>
      <c r="O1144" s="332"/>
      <c r="P1144" s="168">
        <f t="shared" si="154"/>
        <v>2100</v>
      </c>
      <c r="Q1144" s="168">
        <f t="shared" si="155"/>
        <v>0</v>
      </c>
      <c r="R1144" s="168">
        <f t="shared" si="156"/>
        <v>2100</v>
      </c>
    </row>
    <row r="1145" spans="2:18" x14ac:dyDescent="0.2">
      <c r="B1145" s="172">
        <f t="shared" ref="B1145:B1161" si="158">B1144+1</f>
        <v>646</v>
      </c>
      <c r="C1145" s="144"/>
      <c r="D1145" s="145"/>
      <c r="E1145" s="130"/>
      <c r="F1145" s="130" t="s">
        <v>216</v>
      </c>
      <c r="G1145" s="194" t="s">
        <v>248</v>
      </c>
      <c r="H1145" s="389">
        <v>1045</v>
      </c>
      <c r="I1145" s="389">
        <v>500</v>
      </c>
      <c r="J1145" s="389">
        <f t="shared" si="157"/>
        <v>1545</v>
      </c>
      <c r="K1145" s="332"/>
      <c r="L1145" s="390"/>
      <c r="M1145" s="390"/>
      <c r="N1145" s="390"/>
      <c r="O1145" s="332"/>
      <c r="P1145" s="168">
        <f t="shared" si="154"/>
        <v>1045</v>
      </c>
      <c r="Q1145" s="168">
        <f t="shared" si="155"/>
        <v>500</v>
      </c>
      <c r="R1145" s="168">
        <f t="shared" si="156"/>
        <v>1545</v>
      </c>
    </row>
    <row r="1146" spans="2:18" x14ac:dyDescent="0.2">
      <c r="B1146" s="172">
        <f t="shared" si="158"/>
        <v>647</v>
      </c>
      <c r="C1146" s="144"/>
      <c r="D1146" s="166"/>
      <c r="E1146" s="170"/>
      <c r="F1146" s="282" t="s">
        <v>217</v>
      </c>
      <c r="G1146" s="202" t="s">
        <v>268</v>
      </c>
      <c r="H1146" s="543">
        <v>0</v>
      </c>
      <c r="I1146" s="543">
        <v>75</v>
      </c>
      <c r="J1146" s="543">
        <f t="shared" si="157"/>
        <v>75</v>
      </c>
      <c r="K1146" s="332"/>
      <c r="L1146" s="390"/>
      <c r="M1146" s="390"/>
      <c r="N1146" s="390"/>
      <c r="O1146" s="332"/>
      <c r="P1146" s="167">
        <f t="shared" si="154"/>
        <v>0</v>
      </c>
      <c r="Q1146" s="167">
        <f t="shared" si="155"/>
        <v>75</v>
      </c>
      <c r="R1146" s="167">
        <f t="shared" si="156"/>
        <v>75</v>
      </c>
    </row>
    <row r="1147" spans="2:18" ht="14.25" x14ac:dyDescent="0.2">
      <c r="B1147" s="172">
        <f t="shared" si="158"/>
        <v>648</v>
      </c>
      <c r="C1147" s="75"/>
      <c r="D1147" s="528"/>
      <c r="E1147" s="535" t="s">
        <v>691</v>
      </c>
      <c r="F1147" s="532" t="s">
        <v>692</v>
      </c>
      <c r="G1147" s="531"/>
      <c r="H1147" s="537">
        <f>H1148+H1149+H1150</f>
        <v>36764</v>
      </c>
      <c r="I1147" s="537">
        <f>I1148+I1149+I1150+I1155</f>
        <v>0</v>
      </c>
      <c r="J1147" s="537">
        <f t="shared" si="157"/>
        <v>36764</v>
      </c>
      <c r="K1147" s="335"/>
      <c r="L1147" s="530"/>
      <c r="M1147" s="530"/>
      <c r="N1147" s="530"/>
      <c r="O1147" s="335"/>
      <c r="P1147" s="534">
        <f t="shared" si="154"/>
        <v>36764</v>
      </c>
      <c r="Q1147" s="534">
        <f t="shared" si="155"/>
        <v>0</v>
      </c>
      <c r="R1147" s="534">
        <f t="shared" si="156"/>
        <v>36764</v>
      </c>
    </row>
    <row r="1148" spans="2:18" x14ac:dyDescent="0.2">
      <c r="B1148" s="172">
        <f t="shared" si="158"/>
        <v>649</v>
      </c>
      <c r="C1148" s="144"/>
      <c r="D1148" s="145"/>
      <c r="E1148" s="170"/>
      <c r="F1148" s="145" t="s">
        <v>211</v>
      </c>
      <c r="G1148" s="202" t="s">
        <v>506</v>
      </c>
      <c r="H1148" s="543">
        <f>16913+846</f>
        <v>17759</v>
      </c>
      <c r="I1148" s="543">
        <v>-75</v>
      </c>
      <c r="J1148" s="543">
        <f t="shared" si="157"/>
        <v>17684</v>
      </c>
      <c r="K1148" s="332"/>
      <c r="L1148" s="428"/>
      <c r="M1148" s="428"/>
      <c r="N1148" s="428"/>
      <c r="O1148" s="332"/>
      <c r="P1148" s="545">
        <f t="shared" si="154"/>
        <v>17759</v>
      </c>
      <c r="Q1148" s="545">
        <f t="shared" si="155"/>
        <v>-75</v>
      </c>
      <c r="R1148" s="545">
        <f t="shared" si="156"/>
        <v>17684</v>
      </c>
    </row>
    <row r="1149" spans="2:18" x14ac:dyDescent="0.2">
      <c r="B1149" s="172">
        <f t="shared" si="158"/>
        <v>650</v>
      </c>
      <c r="C1149" s="144"/>
      <c r="D1149" s="145"/>
      <c r="E1149" s="170"/>
      <c r="F1149" s="145" t="s">
        <v>212</v>
      </c>
      <c r="G1149" s="202" t="s">
        <v>259</v>
      </c>
      <c r="H1149" s="543">
        <f>5914+296</f>
        <v>6210</v>
      </c>
      <c r="I1149" s="543"/>
      <c r="J1149" s="543">
        <f t="shared" si="157"/>
        <v>6210</v>
      </c>
      <c r="K1149" s="332"/>
      <c r="L1149" s="428"/>
      <c r="M1149" s="428"/>
      <c r="N1149" s="428"/>
      <c r="O1149" s="332"/>
      <c r="P1149" s="545">
        <f t="shared" si="154"/>
        <v>6210</v>
      </c>
      <c r="Q1149" s="545">
        <f t="shared" si="155"/>
        <v>0</v>
      </c>
      <c r="R1149" s="545">
        <f t="shared" si="156"/>
        <v>6210</v>
      </c>
    </row>
    <row r="1150" spans="2:18" x14ac:dyDescent="0.2">
      <c r="B1150" s="172">
        <f t="shared" si="158"/>
        <v>651</v>
      </c>
      <c r="C1150" s="144"/>
      <c r="D1150" s="145"/>
      <c r="E1150" s="170"/>
      <c r="F1150" s="145" t="s">
        <v>218</v>
      </c>
      <c r="G1150" s="202" t="s">
        <v>341</v>
      </c>
      <c r="H1150" s="543">
        <f>SUM(H1151:H1154)</f>
        <v>12795</v>
      </c>
      <c r="I1150" s="543">
        <f>SUM(I1151:I1154)</f>
        <v>0</v>
      </c>
      <c r="J1150" s="543">
        <f t="shared" si="157"/>
        <v>12795</v>
      </c>
      <c r="K1150" s="332"/>
      <c r="L1150" s="428"/>
      <c r="M1150" s="428"/>
      <c r="N1150" s="428"/>
      <c r="O1150" s="332"/>
      <c r="P1150" s="545">
        <f t="shared" si="154"/>
        <v>12795</v>
      </c>
      <c r="Q1150" s="545">
        <f t="shared" si="155"/>
        <v>0</v>
      </c>
      <c r="R1150" s="545">
        <f t="shared" si="156"/>
        <v>12795</v>
      </c>
    </row>
    <row r="1151" spans="2:18" x14ac:dyDescent="0.2">
      <c r="B1151" s="172">
        <f t="shared" si="158"/>
        <v>652</v>
      </c>
      <c r="C1151" s="144"/>
      <c r="D1151" s="145"/>
      <c r="E1151" s="170"/>
      <c r="F1151" s="130" t="s">
        <v>199</v>
      </c>
      <c r="G1151" s="194" t="s">
        <v>319</v>
      </c>
      <c r="H1151" s="435">
        <v>8300</v>
      </c>
      <c r="I1151" s="435">
        <v>-2500</v>
      </c>
      <c r="J1151" s="435">
        <f t="shared" si="157"/>
        <v>5800</v>
      </c>
      <c r="K1151" s="332"/>
      <c r="L1151" s="428"/>
      <c r="M1151" s="428"/>
      <c r="N1151" s="428"/>
      <c r="O1151" s="332"/>
      <c r="P1151" s="169">
        <f t="shared" si="154"/>
        <v>8300</v>
      </c>
      <c r="Q1151" s="169">
        <f t="shared" si="155"/>
        <v>-2500</v>
      </c>
      <c r="R1151" s="169">
        <f t="shared" si="156"/>
        <v>5800</v>
      </c>
    </row>
    <row r="1152" spans="2:18" x14ac:dyDescent="0.2">
      <c r="B1152" s="172">
        <f t="shared" si="158"/>
        <v>653</v>
      </c>
      <c r="C1152" s="144"/>
      <c r="D1152" s="145"/>
      <c r="E1152" s="170"/>
      <c r="F1152" s="130" t="s">
        <v>200</v>
      </c>
      <c r="G1152" s="194" t="s">
        <v>247</v>
      </c>
      <c r="H1152" s="435">
        <v>1350</v>
      </c>
      <c r="I1152" s="435">
        <v>2000</v>
      </c>
      <c r="J1152" s="435">
        <f t="shared" si="157"/>
        <v>3350</v>
      </c>
      <c r="K1152" s="332"/>
      <c r="L1152" s="428"/>
      <c r="M1152" s="428"/>
      <c r="N1152" s="428"/>
      <c r="O1152" s="332"/>
      <c r="P1152" s="169">
        <f t="shared" si="154"/>
        <v>1350</v>
      </c>
      <c r="Q1152" s="169">
        <f t="shared" si="155"/>
        <v>2000</v>
      </c>
      <c r="R1152" s="169">
        <f t="shared" si="156"/>
        <v>3350</v>
      </c>
    </row>
    <row r="1153" spans="2:18" x14ac:dyDescent="0.2">
      <c r="B1153" s="172">
        <f t="shared" si="158"/>
        <v>654</v>
      </c>
      <c r="C1153" s="144"/>
      <c r="D1153" s="145"/>
      <c r="E1153" s="170"/>
      <c r="F1153" s="288" t="s">
        <v>214</v>
      </c>
      <c r="G1153" s="205" t="s">
        <v>261</v>
      </c>
      <c r="H1153" s="435">
        <v>2100</v>
      </c>
      <c r="I1153" s="435"/>
      <c r="J1153" s="435">
        <f t="shared" si="157"/>
        <v>2100</v>
      </c>
      <c r="K1153" s="332"/>
      <c r="L1153" s="428"/>
      <c r="M1153" s="428"/>
      <c r="N1153" s="428"/>
      <c r="O1153" s="332"/>
      <c r="P1153" s="169">
        <f t="shared" ref="P1153:P1217" si="159">H1153+L1153</f>
        <v>2100</v>
      </c>
      <c r="Q1153" s="169">
        <f t="shared" ref="Q1153:Q1217" si="160">I1153+M1153</f>
        <v>0</v>
      </c>
      <c r="R1153" s="169">
        <f t="shared" ref="R1153:R1217" si="161">Q1153+P1153</f>
        <v>2100</v>
      </c>
    </row>
    <row r="1154" spans="2:18" x14ac:dyDescent="0.2">
      <c r="B1154" s="172">
        <f t="shared" si="158"/>
        <v>655</v>
      </c>
      <c r="C1154" s="144"/>
      <c r="D1154" s="145"/>
      <c r="E1154" s="170"/>
      <c r="F1154" s="130" t="s">
        <v>216</v>
      </c>
      <c r="G1154" s="194" t="s">
        <v>248</v>
      </c>
      <c r="H1154" s="435">
        <v>1045</v>
      </c>
      <c r="I1154" s="435">
        <v>500</v>
      </c>
      <c r="J1154" s="435">
        <f t="shared" si="157"/>
        <v>1545</v>
      </c>
      <c r="K1154" s="332"/>
      <c r="L1154" s="428"/>
      <c r="M1154" s="428"/>
      <c r="N1154" s="428"/>
      <c r="O1154" s="332"/>
      <c r="P1154" s="169">
        <f t="shared" si="159"/>
        <v>1045</v>
      </c>
      <c r="Q1154" s="169">
        <f t="shared" si="160"/>
        <v>500</v>
      </c>
      <c r="R1154" s="169">
        <f t="shared" si="161"/>
        <v>1545</v>
      </c>
    </row>
    <row r="1155" spans="2:18" x14ac:dyDescent="0.2">
      <c r="B1155" s="172">
        <f t="shared" si="158"/>
        <v>656</v>
      </c>
      <c r="C1155" s="144"/>
      <c r="D1155" s="145"/>
      <c r="E1155" s="170"/>
      <c r="F1155" s="282" t="s">
        <v>217</v>
      </c>
      <c r="G1155" s="202" t="s">
        <v>268</v>
      </c>
      <c r="H1155" s="393">
        <v>0</v>
      </c>
      <c r="I1155" s="393">
        <v>75</v>
      </c>
      <c r="J1155" s="393">
        <f t="shared" si="157"/>
        <v>75</v>
      </c>
      <c r="K1155" s="332"/>
      <c r="L1155" s="390"/>
      <c r="M1155" s="390"/>
      <c r="N1155" s="390"/>
      <c r="O1155" s="332"/>
      <c r="P1155" s="167">
        <f t="shared" si="159"/>
        <v>0</v>
      </c>
      <c r="Q1155" s="167">
        <f t="shared" si="160"/>
        <v>75</v>
      </c>
      <c r="R1155" s="167">
        <f t="shared" si="161"/>
        <v>75</v>
      </c>
    </row>
    <row r="1156" spans="2:18" ht="15" x14ac:dyDescent="0.25">
      <c r="B1156" s="172">
        <f t="shared" si="158"/>
        <v>657</v>
      </c>
      <c r="C1156" s="144"/>
      <c r="D1156" s="261" t="s">
        <v>471</v>
      </c>
      <c r="E1156" s="176"/>
      <c r="F1156" s="149" t="s">
        <v>382</v>
      </c>
      <c r="G1156" s="239"/>
      <c r="H1156" s="416">
        <f>H1157+H1166</f>
        <v>64761</v>
      </c>
      <c r="I1156" s="416">
        <f>I1157+I1166</f>
        <v>0</v>
      </c>
      <c r="J1156" s="416">
        <f t="shared" si="157"/>
        <v>64761</v>
      </c>
      <c r="K1156" s="330"/>
      <c r="L1156" s="421"/>
      <c r="M1156" s="421"/>
      <c r="N1156" s="421"/>
      <c r="O1156" s="330"/>
      <c r="P1156" s="328">
        <f t="shared" si="159"/>
        <v>64761</v>
      </c>
      <c r="Q1156" s="328">
        <f t="shared" si="160"/>
        <v>0</v>
      </c>
      <c r="R1156" s="328">
        <f t="shared" si="161"/>
        <v>64761</v>
      </c>
    </row>
    <row r="1157" spans="2:18" ht="14.25" x14ac:dyDescent="0.2">
      <c r="B1157" s="172">
        <f t="shared" si="158"/>
        <v>658</v>
      </c>
      <c r="C1157" s="75"/>
      <c r="D1157" s="528"/>
      <c r="E1157" s="535" t="s">
        <v>690</v>
      </c>
      <c r="F1157" s="532" t="s">
        <v>693</v>
      </c>
      <c r="G1157" s="531"/>
      <c r="H1157" s="533">
        <f>H1158+H1160+H1159+H1165</f>
        <v>32380</v>
      </c>
      <c r="I1157" s="533">
        <f>I1158+I1160+I1159+I1165</f>
        <v>0</v>
      </c>
      <c r="J1157" s="533">
        <f t="shared" si="157"/>
        <v>32380</v>
      </c>
      <c r="K1157" s="335"/>
      <c r="L1157" s="530"/>
      <c r="M1157" s="530"/>
      <c r="N1157" s="530"/>
      <c r="O1157" s="335"/>
      <c r="P1157" s="534">
        <f t="shared" si="159"/>
        <v>32380</v>
      </c>
      <c r="Q1157" s="534">
        <f t="shared" si="160"/>
        <v>0</v>
      </c>
      <c r="R1157" s="534">
        <f t="shared" si="161"/>
        <v>32380</v>
      </c>
    </row>
    <row r="1158" spans="2:18" x14ac:dyDescent="0.2">
      <c r="B1158" s="172">
        <f t="shared" si="158"/>
        <v>659</v>
      </c>
      <c r="C1158" s="144"/>
      <c r="D1158" s="145"/>
      <c r="E1158" s="130"/>
      <c r="F1158" s="145" t="s">
        <v>211</v>
      </c>
      <c r="G1158" s="202" t="s">
        <v>506</v>
      </c>
      <c r="H1158" s="543">
        <f>18007+900</f>
        <v>18907</v>
      </c>
      <c r="I1158" s="543">
        <v>600</v>
      </c>
      <c r="J1158" s="543">
        <f t="shared" si="157"/>
        <v>19507</v>
      </c>
      <c r="K1158" s="332"/>
      <c r="L1158" s="390"/>
      <c r="M1158" s="390"/>
      <c r="N1158" s="390"/>
      <c r="O1158" s="332"/>
      <c r="P1158" s="167">
        <f t="shared" si="159"/>
        <v>18907</v>
      </c>
      <c r="Q1158" s="167">
        <f t="shared" si="160"/>
        <v>600</v>
      </c>
      <c r="R1158" s="167">
        <f t="shared" si="161"/>
        <v>19507</v>
      </c>
    </row>
    <row r="1159" spans="2:18" x14ac:dyDescent="0.2">
      <c r="B1159" s="172">
        <f t="shared" si="158"/>
        <v>660</v>
      </c>
      <c r="C1159" s="144"/>
      <c r="D1159" s="145"/>
      <c r="E1159" s="130"/>
      <c r="F1159" s="145" t="s">
        <v>212</v>
      </c>
      <c r="G1159" s="202" t="s">
        <v>259</v>
      </c>
      <c r="H1159" s="543">
        <f>6779+339</f>
        <v>7118</v>
      </c>
      <c r="I1159" s="543">
        <v>-600</v>
      </c>
      <c r="J1159" s="543">
        <f t="shared" si="157"/>
        <v>6518</v>
      </c>
      <c r="K1159" s="332"/>
      <c r="L1159" s="390"/>
      <c r="M1159" s="390"/>
      <c r="N1159" s="390"/>
      <c r="O1159" s="332"/>
      <c r="P1159" s="167">
        <f t="shared" si="159"/>
        <v>7118</v>
      </c>
      <c r="Q1159" s="167">
        <f t="shared" si="160"/>
        <v>-600</v>
      </c>
      <c r="R1159" s="167">
        <f t="shared" si="161"/>
        <v>6518</v>
      </c>
    </row>
    <row r="1160" spans="2:18" x14ac:dyDescent="0.2">
      <c r="B1160" s="172">
        <f t="shared" si="158"/>
        <v>661</v>
      </c>
      <c r="C1160" s="144"/>
      <c r="D1160" s="145"/>
      <c r="E1160" s="130"/>
      <c r="F1160" s="145" t="s">
        <v>218</v>
      </c>
      <c r="G1160" s="202" t="s">
        <v>341</v>
      </c>
      <c r="H1160" s="543">
        <f>SUM(H1161:H1164)</f>
        <v>6255</v>
      </c>
      <c r="I1160" s="543">
        <f>SUM(I1161:I1164)</f>
        <v>0</v>
      </c>
      <c r="J1160" s="543">
        <f t="shared" si="157"/>
        <v>6255</v>
      </c>
      <c r="K1160" s="332"/>
      <c r="L1160" s="390"/>
      <c r="M1160" s="390"/>
      <c r="N1160" s="390"/>
      <c r="O1160" s="332"/>
      <c r="P1160" s="167">
        <f t="shared" si="159"/>
        <v>6255</v>
      </c>
      <c r="Q1160" s="167">
        <f t="shared" si="160"/>
        <v>0</v>
      </c>
      <c r="R1160" s="167">
        <f t="shared" si="161"/>
        <v>6255</v>
      </c>
    </row>
    <row r="1161" spans="2:18" x14ac:dyDescent="0.2">
      <c r="B1161" s="172">
        <f t="shared" si="158"/>
        <v>662</v>
      </c>
      <c r="C1161" s="144"/>
      <c r="D1161" s="145"/>
      <c r="E1161" s="130"/>
      <c r="F1161" s="130" t="s">
        <v>199</v>
      </c>
      <c r="G1161" s="194" t="s">
        <v>319</v>
      </c>
      <c r="H1161" s="389">
        <v>4445</v>
      </c>
      <c r="I1161" s="389">
        <v>-560</v>
      </c>
      <c r="J1161" s="389">
        <f t="shared" si="157"/>
        <v>3885</v>
      </c>
      <c r="K1161" s="332"/>
      <c r="L1161" s="390"/>
      <c r="M1161" s="390"/>
      <c r="N1161" s="390"/>
      <c r="O1161" s="332"/>
      <c r="P1161" s="168">
        <f t="shared" si="159"/>
        <v>4445</v>
      </c>
      <c r="Q1161" s="168">
        <f t="shared" si="160"/>
        <v>-560</v>
      </c>
      <c r="R1161" s="168">
        <f t="shared" si="161"/>
        <v>3885</v>
      </c>
    </row>
    <row r="1162" spans="2:18" x14ac:dyDescent="0.2">
      <c r="B1162" s="172">
        <f t="shared" ref="B1162:B1210" si="162">B1161+1</f>
        <v>663</v>
      </c>
      <c r="C1162" s="144"/>
      <c r="D1162" s="145"/>
      <c r="E1162" s="130"/>
      <c r="F1162" s="130" t="s">
        <v>200</v>
      </c>
      <c r="G1162" s="194" t="s">
        <v>247</v>
      </c>
      <c r="H1162" s="389">
        <v>500</v>
      </c>
      <c r="I1162" s="389">
        <v>180</v>
      </c>
      <c r="J1162" s="389">
        <f t="shared" si="157"/>
        <v>680</v>
      </c>
      <c r="K1162" s="332"/>
      <c r="L1162" s="428"/>
      <c r="M1162" s="428"/>
      <c r="N1162" s="428"/>
      <c r="O1162" s="332"/>
      <c r="P1162" s="169">
        <f t="shared" si="159"/>
        <v>500</v>
      </c>
      <c r="Q1162" s="169">
        <f t="shared" si="160"/>
        <v>180</v>
      </c>
      <c r="R1162" s="169">
        <f t="shared" si="161"/>
        <v>680</v>
      </c>
    </row>
    <row r="1163" spans="2:18" x14ac:dyDescent="0.2">
      <c r="B1163" s="172">
        <f t="shared" si="162"/>
        <v>664</v>
      </c>
      <c r="C1163" s="144"/>
      <c r="D1163" s="145"/>
      <c r="E1163" s="130"/>
      <c r="F1163" s="130" t="s">
        <v>214</v>
      </c>
      <c r="G1163" s="194" t="s">
        <v>261</v>
      </c>
      <c r="H1163" s="425">
        <v>200</v>
      </c>
      <c r="I1163" s="425"/>
      <c r="J1163" s="425">
        <f t="shared" si="157"/>
        <v>200</v>
      </c>
      <c r="K1163" s="332"/>
      <c r="L1163" s="432"/>
      <c r="M1163" s="432"/>
      <c r="N1163" s="432"/>
      <c r="O1163" s="332"/>
      <c r="P1163" s="267">
        <f t="shared" si="159"/>
        <v>200</v>
      </c>
      <c r="Q1163" s="267">
        <f t="shared" si="160"/>
        <v>0</v>
      </c>
      <c r="R1163" s="267">
        <f t="shared" si="161"/>
        <v>200</v>
      </c>
    </row>
    <row r="1164" spans="2:18" x14ac:dyDescent="0.2">
      <c r="B1164" s="172">
        <f t="shared" si="162"/>
        <v>665</v>
      </c>
      <c r="C1164" s="129"/>
      <c r="D1164" s="130"/>
      <c r="E1164" s="130"/>
      <c r="F1164" s="130" t="s">
        <v>216</v>
      </c>
      <c r="G1164" s="194" t="s">
        <v>248</v>
      </c>
      <c r="H1164" s="389">
        <v>1110</v>
      </c>
      <c r="I1164" s="389">
        <v>380</v>
      </c>
      <c r="J1164" s="389">
        <f t="shared" ref="J1164:J1219" si="163">I1164+H1164</f>
        <v>1490</v>
      </c>
      <c r="K1164" s="334"/>
      <c r="L1164" s="430"/>
      <c r="M1164" s="430"/>
      <c r="N1164" s="430"/>
      <c r="O1164" s="334"/>
      <c r="P1164" s="168">
        <f t="shared" si="159"/>
        <v>1110</v>
      </c>
      <c r="Q1164" s="168">
        <f t="shared" si="160"/>
        <v>380</v>
      </c>
      <c r="R1164" s="168">
        <f t="shared" si="161"/>
        <v>1490</v>
      </c>
    </row>
    <row r="1165" spans="2:18" x14ac:dyDescent="0.2">
      <c r="B1165" s="172">
        <f t="shared" si="162"/>
        <v>666</v>
      </c>
      <c r="C1165" s="129"/>
      <c r="D1165" s="129"/>
      <c r="E1165" s="133"/>
      <c r="F1165" s="145" t="s">
        <v>217</v>
      </c>
      <c r="G1165" s="202" t="s">
        <v>508</v>
      </c>
      <c r="H1165" s="543">
        <v>100</v>
      </c>
      <c r="I1165" s="543"/>
      <c r="J1165" s="543">
        <f t="shared" si="163"/>
        <v>100</v>
      </c>
      <c r="K1165" s="334"/>
      <c r="L1165" s="544"/>
      <c r="M1165" s="544"/>
      <c r="N1165" s="544"/>
      <c r="O1165" s="334"/>
      <c r="P1165" s="545">
        <f t="shared" si="159"/>
        <v>100</v>
      </c>
      <c r="Q1165" s="545">
        <f t="shared" si="160"/>
        <v>0</v>
      </c>
      <c r="R1165" s="545">
        <f t="shared" si="161"/>
        <v>100</v>
      </c>
    </row>
    <row r="1166" spans="2:18" ht="14.25" x14ac:dyDescent="0.2">
      <c r="B1166" s="172">
        <f t="shared" si="162"/>
        <v>667</v>
      </c>
      <c r="C1166" s="75"/>
      <c r="D1166" s="528"/>
      <c r="E1166" s="535" t="s">
        <v>691</v>
      </c>
      <c r="F1166" s="532" t="s">
        <v>692</v>
      </c>
      <c r="G1166" s="531"/>
      <c r="H1166" s="537">
        <f>H1167+H1168+H1169+H1174</f>
        <v>32381</v>
      </c>
      <c r="I1166" s="537">
        <f>I1167+I1168+I1169+I1174</f>
        <v>0</v>
      </c>
      <c r="J1166" s="537">
        <f t="shared" si="163"/>
        <v>32381</v>
      </c>
      <c r="K1166" s="335"/>
      <c r="L1166" s="530"/>
      <c r="M1166" s="530"/>
      <c r="N1166" s="530"/>
      <c r="O1166" s="335"/>
      <c r="P1166" s="534">
        <f t="shared" si="159"/>
        <v>32381</v>
      </c>
      <c r="Q1166" s="534">
        <f t="shared" si="160"/>
        <v>0</v>
      </c>
      <c r="R1166" s="534">
        <f t="shared" si="161"/>
        <v>32381</v>
      </c>
    </row>
    <row r="1167" spans="2:18" x14ac:dyDescent="0.2">
      <c r="B1167" s="172">
        <f t="shared" si="162"/>
        <v>668</v>
      </c>
      <c r="C1167" s="144"/>
      <c r="D1167" s="145"/>
      <c r="E1167" s="170"/>
      <c r="F1167" s="145" t="s">
        <v>211</v>
      </c>
      <c r="G1167" s="202" t="s">
        <v>506</v>
      </c>
      <c r="H1167" s="543">
        <f>18008+900</f>
        <v>18908</v>
      </c>
      <c r="I1167" s="543">
        <v>900</v>
      </c>
      <c r="J1167" s="543">
        <f t="shared" si="163"/>
        <v>19808</v>
      </c>
      <c r="K1167" s="332"/>
      <c r="L1167" s="428"/>
      <c r="M1167" s="428"/>
      <c r="N1167" s="428"/>
      <c r="O1167" s="332"/>
      <c r="P1167" s="545">
        <f t="shared" si="159"/>
        <v>18908</v>
      </c>
      <c r="Q1167" s="545">
        <f t="shared" si="160"/>
        <v>900</v>
      </c>
      <c r="R1167" s="545">
        <f t="shared" si="161"/>
        <v>19808</v>
      </c>
    </row>
    <row r="1168" spans="2:18" x14ac:dyDescent="0.2">
      <c r="B1168" s="172">
        <f t="shared" si="162"/>
        <v>669</v>
      </c>
      <c r="C1168" s="144"/>
      <c r="D1168" s="145"/>
      <c r="E1168" s="170"/>
      <c r="F1168" s="145" t="s">
        <v>212</v>
      </c>
      <c r="G1168" s="202" t="s">
        <v>259</v>
      </c>
      <c r="H1168" s="543">
        <f>6779+339</f>
        <v>7118</v>
      </c>
      <c r="I1168" s="543">
        <v>-1300</v>
      </c>
      <c r="J1168" s="543">
        <f t="shared" si="163"/>
        <v>5818</v>
      </c>
      <c r="K1168" s="332"/>
      <c r="L1168" s="428"/>
      <c r="M1168" s="428"/>
      <c r="N1168" s="428"/>
      <c r="O1168" s="332"/>
      <c r="P1168" s="545">
        <f t="shared" si="159"/>
        <v>7118</v>
      </c>
      <c r="Q1168" s="545">
        <f t="shared" si="160"/>
        <v>-1300</v>
      </c>
      <c r="R1168" s="545">
        <f t="shared" si="161"/>
        <v>5818</v>
      </c>
    </row>
    <row r="1169" spans="2:18" x14ac:dyDescent="0.2">
      <c r="B1169" s="172">
        <f t="shared" si="162"/>
        <v>670</v>
      </c>
      <c r="C1169" s="144"/>
      <c r="D1169" s="145"/>
      <c r="E1169" s="170"/>
      <c r="F1169" s="145" t="s">
        <v>218</v>
      </c>
      <c r="G1169" s="202" t="s">
        <v>341</v>
      </c>
      <c r="H1169" s="543">
        <f>SUM(H1170:H1173)</f>
        <v>6255</v>
      </c>
      <c r="I1169" s="543">
        <f>SUM(I1170:I1173)</f>
        <v>400</v>
      </c>
      <c r="J1169" s="543">
        <f t="shared" si="163"/>
        <v>6655</v>
      </c>
      <c r="K1169" s="332"/>
      <c r="L1169" s="428"/>
      <c r="M1169" s="428"/>
      <c r="N1169" s="428"/>
      <c r="O1169" s="332"/>
      <c r="P1169" s="545">
        <f t="shared" si="159"/>
        <v>6255</v>
      </c>
      <c r="Q1169" s="545">
        <f t="shared" si="160"/>
        <v>400</v>
      </c>
      <c r="R1169" s="545">
        <f t="shared" si="161"/>
        <v>6655</v>
      </c>
    </row>
    <row r="1170" spans="2:18" x14ac:dyDescent="0.2">
      <c r="B1170" s="172">
        <f t="shared" si="162"/>
        <v>671</v>
      </c>
      <c r="C1170" s="144"/>
      <c r="D1170" s="145"/>
      <c r="E1170" s="170"/>
      <c r="F1170" s="130" t="s">
        <v>199</v>
      </c>
      <c r="G1170" s="194" t="s">
        <v>319</v>
      </c>
      <c r="H1170" s="435">
        <v>4445</v>
      </c>
      <c r="I1170" s="435">
        <v>-160</v>
      </c>
      <c r="J1170" s="435">
        <f t="shared" si="163"/>
        <v>4285</v>
      </c>
      <c r="K1170" s="332"/>
      <c r="L1170" s="428"/>
      <c r="M1170" s="428"/>
      <c r="N1170" s="428"/>
      <c r="O1170" s="332"/>
      <c r="P1170" s="169">
        <f t="shared" si="159"/>
        <v>4445</v>
      </c>
      <c r="Q1170" s="169">
        <f t="shared" si="160"/>
        <v>-160</v>
      </c>
      <c r="R1170" s="169">
        <f t="shared" si="161"/>
        <v>4285</v>
      </c>
    </row>
    <row r="1171" spans="2:18" x14ac:dyDescent="0.2">
      <c r="B1171" s="172">
        <f t="shared" si="162"/>
        <v>672</v>
      </c>
      <c r="C1171" s="144"/>
      <c r="D1171" s="145"/>
      <c r="E1171" s="170"/>
      <c r="F1171" s="130" t="s">
        <v>200</v>
      </c>
      <c r="G1171" s="194" t="s">
        <v>247</v>
      </c>
      <c r="H1171" s="435">
        <v>500</v>
      </c>
      <c r="I1171" s="435">
        <v>180</v>
      </c>
      <c r="J1171" s="435">
        <f t="shared" si="163"/>
        <v>680</v>
      </c>
      <c r="K1171" s="332"/>
      <c r="L1171" s="428"/>
      <c r="M1171" s="428"/>
      <c r="N1171" s="428"/>
      <c r="O1171" s="332"/>
      <c r="P1171" s="169">
        <f t="shared" si="159"/>
        <v>500</v>
      </c>
      <c r="Q1171" s="169">
        <f t="shared" si="160"/>
        <v>180</v>
      </c>
      <c r="R1171" s="169">
        <f t="shared" si="161"/>
        <v>680</v>
      </c>
    </row>
    <row r="1172" spans="2:18" x14ac:dyDescent="0.2">
      <c r="B1172" s="172">
        <f t="shared" si="162"/>
        <v>673</v>
      </c>
      <c r="C1172" s="144"/>
      <c r="D1172" s="145"/>
      <c r="E1172" s="170"/>
      <c r="F1172" s="288" t="s">
        <v>214</v>
      </c>
      <c r="G1172" s="205" t="s">
        <v>261</v>
      </c>
      <c r="H1172" s="389">
        <v>200</v>
      </c>
      <c r="I1172" s="389"/>
      <c r="J1172" s="389">
        <f t="shared" si="163"/>
        <v>200</v>
      </c>
      <c r="K1172" s="332"/>
      <c r="L1172" s="428"/>
      <c r="M1172" s="428"/>
      <c r="N1172" s="428"/>
      <c r="O1172" s="332"/>
      <c r="P1172" s="169">
        <f t="shared" si="159"/>
        <v>200</v>
      </c>
      <c r="Q1172" s="169">
        <f t="shared" si="160"/>
        <v>0</v>
      </c>
      <c r="R1172" s="169">
        <f t="shared" si="161"/>
        <v>200</v>
      </c>
    </row>
    <row r="1173" spans="2:18" x14ac:dyDescent="0.2">
      <c r="B1173" s="172">
        <f t="shared" si="162"/>
        <v>674</v>
      </c>
      <c r="C1173" s="144"/>
      <c r="D1173" s="145"/>
      <c r="E1173" s="170"/>
      <c r="F1173" s="130" t="s">
        <v>216</v>
      </c>
      <c r="G1173" s="194" t="s">
        <v>248</v>
      </c>
      <c r="H1173" s="389">
        <v>1110</v>
      </c>
      <c r="I1173" s="389">
        <v>380</v>
      </c>
      <c r="J1173" s="389">
        <f t="shared" si="163"/>
        <v>1490</v>
      </c>
      <c r="K1173" s="332"/>
      <c r="L1173" s="428"/>
      <c r="M1173" s="428"/>
      <c r="N1173" s="428"/>
      <c r="O1173" s="332"/>
      <c r="P1173" s="169">
        <f t="shared" si="159"/>
        <v>1110</v>
      </c>
      <c r="Q1173" s="169">
        <f t="shared" si="160"/>
        <v>380</v>
      </c>
      <c r="R1173" s="169">
        <f t="shared" si="161"/>
        <v>1490</v>
      </c>
    </row>
    <row r="1174" spans="2:18" x14ac:dyDescent="0.2">
      <c r="B1174" s="172">
        <f t="shared" si="162"/>
        <v>675</v>
      </c>
      <c r="C1174" s="144"/>
      <c r="D1174" s="145"/>
      <c r="E1174" s="170"/>
      <c r="F1174" s="145" t="s">
        <v>217</v>
      </c>
      <c r="G1174" s="202" t="s">
        <v>372</v>
      </c>
      <c r="H1174" s="543">
        <v>100</v>
      </c>
      <c r="I1174" s="543"/>
      <c r="J1174" s="543">
        <f t="shared" si="163"/>
        <v>100</v>
      </c>
      <c r="K1174" s="332"/>
      <c r="L1174" s="428"/>
      <c r="M1174" s="428"/>
      <c r="N1174" s="428"/>
      <c r="O1174" s="332"/>
      <c r="P1174" s="545">
        <f t="shared" si="159"/>
        <v>100</v>
      </c>
      <c r="Q1174" s="545">
        <f t="shared" si="160"/>
        <v>0</v>
      </c>
      <c r="R1174" s="545">
        <f t="shared" si="161"/>
        <v>100</v>
      </c>
    </row>
    <row r="1175" spans="2:18" ht="15" x14ac:dyDescent="0.25">
      <c r="B1175" s="172">
        <f t="shared" si="162"/>
        <v>676</v>
      </c>
      <c r="C1175" s="129"/>
      <c r="D1175" s="263">
        <v>20</v>
      </c>
      <c r="E1175" s="268"/>
      <c r="F1175" s="265" t="s">
        <v>383</v>
      </c>
      <c r="G1175" s="266"/>
      <c r="H1175" s="418">
        <f>H1176+H1185</f>
        <v>70589</v>
      </c>
      <c r="I1175" s="418">
        <f>I1176+I1185</f>
        <v>0</v>
      </c>
      <c r="J1175" s="418">
        <f t="shared" si="163"/>
        <v>70589</v>
      </c>
      <c r="K1175" s="335"/>
      <c r="L1175" s="439">
        <f>L1176+L1185</f>
        <v>13500</v>
      </c>
      <c r="M1175" s="439">
        <f>M1176+M1185</f>
        <v>0</v>
      </c>
      <c r="N1175" s="439">
        <f>M1175+L1175</f>
        <v>13500</v>
      </c>
      <c r="O1175" s="335"/>
      <c r="P1175" s="337">
        <f t="shared" si="159"/>
        <v>84089</v>
      </c>
      <c r="Q1175" s="337">
        <f t="shared" si="160"/>
        <v>0</v>
      </c>
      <c r="R1175" s="337">
        <f t="shared" si="161"/>
        <v>84089</v>
      </c>
    </row>
    <row r="1176" spans="2:18" ht="14.25" x14ac:dyDescent="0.2">
      <c r="B1176" s="172">
        <f t="shared" si="162"/>
        <v>677</v>
      </c>
      <c r="C1176" s="75"/>
      <c r="D1176" s="528"/>
      <c r="E1176" s="535" t="s">
        <v>690</v>
      </c>
      <c r="F1176" s="532" t="s">
        <v>693</v>
      </c>
      <c r="G1176" s="531"/>
      <c r="H1176" s="533">
        <f>H1177+H1178+H1179+H1183</f>
        <v>31654</v>
      </c>
      <c r="I1176" s="533">
        <f>I1177+I1178+I1179+I1183</f>
        <v>0</v>
      </c>
      <c r="J1176" s="533">
        <f t="shared" si="163"/>
        <v>31654</v>
      </c>
      <c r="K1176" s="335"/>
      <c r="L1176" s="667">
        <f>L1184</f>
        <v>3500</v>
      </c>
      <c r="M1176" s="667">
        <f>M1184</f>
        <v>0</v>
      </c>
      <c r="N1176" s="667">
        <f>M1176+L1176</f>
        <v>3500</v>
      </c>
      <c r="O1176" s="335"/>
      <c r="P1176" s="534">
        <f t="shared" si="159"/>
        <v>35154</v>
      </c>
      <c r="Q1176" s="534">
        <f t="shared" si="160"/>
        <v>0</v>
      </c>
      <c r="R1176" s="534">
        <f t="shared" si="161"/>
        <v>35154</v>
      </c>
    </row>
    <row r="1177" spans="2:18" x14ac:dyDescent="0.2">
      <c r="B1177" s="172">
        <f t="shared" si="162"/>
        <v>678</v>
      </c>
      <c r="C1177" s="129"/>
      <c r="D1177" s="129"/>
      <c r="E1177" s="133"/>
      <c r="F1177" s="145" t="s">
        <v>211</v>
      </c>
      <c r="G1177" s="202" t="s">
        <v>506</v>
      </c>
      <c r="H1177" s="543">
        <f>17505+875</f>
        <v>18380</v>
      </c>
      <c r="I1177" s="543"/>
      <c r="J1177" s="543">
        <f t="shared" si="163"/>
        <v>18380</v>
      </c>
      <c r="K1177" s="334"/>
      <c r="L1177" s="544"/>
      <c r="M1177" s="544"/>
      <c r="N1177" s="544"/>
      <c r="O1177" s="334"/>
      <c r="P1177" s="545">
        <f t="shared" si="159"/>
        <v>18380</v>
      </c>
      <c r="Q1177" s="545">
        <f t="shared" si="160"/>
        <v>0</v>
      </c>
      <c r="R1177" s="545">
        <f t="shared" si="161"/>
        <v>18380</v>
      </c>
    </row>
    <row r="1178" spans="2:18" x14ac:dyDescent="0.2">
      <c r="B1178" s="172">
        <f t="shared" si="162"/>
        <v>679</v>
      </c>
      <c r="C1178" s="129"/>
      <c r="D1178" s="129"/>
      <c r="E1178" s="133"/>
      <c r="F1178" s="145" t="s">
        <v>212</v>
      </c>
      <c r="G1178" s="202" t="s">
        <v>259</v>
      </c>
      <c r="H1178" s="543">
        <f>6357+318</f>
        <v>6675</v>
      </c>
      <c r="I1178" s="543"/>
      <c r="J1178" s="543">
        <f t="shared" si="163"/>
        <v>6675</v>
      </c>
      <c r="K1178" s="334"/>
      <c r="L1178" s="544"/>
      <c r="M1178" s="544"/>
      <c r="N1178" s="544"/>
      <c r="O1178" s="334"/>
      <c r="P1178" s="545">
        <f t="shared" si="159"/>
        <v>6675</v>
      </c>
      <c r="Q1178" s="545">
        <f t="shared" si="160"/>
        <v>0</v>
      </c>
      <c r="R1178" s="545">
        <f t="shared" si="161"/>
        <v>6675</v>
      </c>
    </row>
    <row r="1179" spans="2:18" x14ac:dyDescent="0.2">
      <c r="B1179" s="172">
        <f t="shared" si="162"/>
        <v>680</v>
      </c>
      <c r="C1179" s="129"/>
      <c r="D1179" s="129"/>
      <c r="E1179" s="133"/>
      <c r="F1179" s="145" t="s">
        <v>218</v>
      </c>
      <c r="G1179" s="202" t="s">
        <v>341</v>
      </c>
      <c r="H1179" s="543">
        <f>SUM(H1180:H1182)</f>
        <v>6579</v>
      </c>
      <c r="I1179" s="543">
        <f>SUM(I1180:I1182)</f>
        <v>0</v>
      </c>
      <c r="J1179" s="543">
        <f t="shared" si="163"/>
        <v>6579</v>
      </c>
      <c r="K1179" s="334"/>
      <c r="L1179" s="544"/>
      <c r="M1179" s="544"/>
      <c r="N1179" s="544"/>
      <c r="O1179" s="334"/>
      <c r="P1179" s="545">
        <f t="shared" si="159"/>
        <v>6579</v>
      </c>
      <c r="Q1179" s="545">
        <f t="shared" si="160"/>
        <v>0</v>
      </c>
      <c r="R1179" s="545">
        <f t="shared" si="161"/>
        <v>6579</v>
      </c>
    </row>
    <row r="1180" spans="2:18" x14ac:dyDescent="0.2">
      <c r="B1180" s="172">
        <f t="shared" si="162"/>
        <v>681</v>
      </c>
      <c r="C1180" s="129"/>
      <c r="D1180" s="129"/>
      <c r="E1180" s="133"/>
      <c r="F1180" s="130" t="s">
        <v>199</v>
      </c>
      <c r="G1180" s="194" t="s">
        <v>319</v>
      </c>
      <c r="H1180" s="389">
        <v>2147</v>
      </c>
      <c r="I1180" s="389"/>
      <c r="J1180" s="389">
        <f t="shared" si="163"/>
        <v>2147</v>
      </c>
      <c r="K1180" s="334"/>
      <c r="L1180" s="544"/>
      <c r="M1180" s="544"/>
      <c r="N1180" s="544"/>
      <c r="O1180" s="334"/>
      <c r="P1180" s="169">
        <f t="shared" si="159"/>
        <v>2147</v>
      </c>
      <c r="Q1180" s="169">
        <f t="shared" si="160"/>
        <v>0</v>
      </c>
      <c r="R1180" s="169">
        <f t="shared" si="161"/>
        <v>2147</v>
      </c>
    </row>
    <row r="1181" spans="2:18" x14ac:dyDescent="0.2">
      <c r="B1181" s="172">
        <f t="shared" si="162"/>
        <v>682</v>
      </c>
      <c r="C1181" s="129"/>
      <c r="D1181" s="129"/>
      <c r="E1181" s="133"/>
      <c r="F1181" s="130" t="s">
        <v>200</v>
      </c>
      <c r="G1181" s="194" t="s">
        <v>247</v>
      </c>
      <c r="H1181" s="389">
        <v>2970</v>
      </c>
      <c r="I1181" s="389"/>
      <c r="J1181" s="389">
        <f t="shared" si="163"/>
        <v>2970</v>
      </c>
      <c r="K1181" s="334"/>
      <c r="L1181" s="544"/>
      <c r="M1181" s="544"/>
      <c r="N1181" s="544"/>
      <c r="O1181" s="334"/>
      <c r="P1181" s="169">
        <f t="shared" si="159"/>
        <v>2970</v>
      </c>
      <c r="Q1181" s="169">
        <f t="shared" si="160"/>
        <v>0</v>
      </c>
      <c r="R1181" s="169">
        <f t="shared" si="161"/>
        <v>2970</v>
      </c>
    </row>
    <row r="1182" spans="2:18" x14ac:dyDescent="0.2">
      <c r="B1182" s="172">
        <f t="shared" si="162"/>
        <v>683</v>
      </c>
      <c r="C1182" s="129"/>
      <c r="D1182" s="129"/>
      <c r="E1182" s="133"/>
      <c r="F1182" s="130" t="s">
        <v>216</v>
      </c>
      <c r="G1182" s="194" t="s">
        <v>248</v>
      </c>
      <c r="H1182" s="389">
        <v>1462</v>
      </c>
      <c r="I1182" s="389"/>
      <c r="J1182" s="389">
        <f t="shared" si="163"/>
        <v>1462</v>
      </c>
      <c r="K1182" s="334"/>
      <c r="L1182" s="544"/>
      <c r="M1182" s="544"/>
      <c r="N1182" s="544"/>
      <c r="O1182" s="334"/>
      <c r="P1182" s="169">
        <f t="shared" si="159"/>
        <v>1462</v>
      </c>
      <c r="Q1182" s="169">
        <f t="shared" si="160"/>
        <v>0</v>
      </c>
      <c r="R1182" s="169">
        <f t="shared" si="161"/>
        <v>1462</v>
      </c>
    </row>
    <row r="1183" spans="2:18" x14ac:dyDescent="0.2">
      <c r="B1183" s="172">
        <f t="shared" si="162"/>
        <v>684</v>
      </c>
      <c r="C1183" s="129"/>
      <c r="D1183" s="129"/>
      <c r="E1183" s="133"/>
      <c r="F1183" s="145" t="s">
        <v>217</v>
      </c>
      <c r="G1183" s="202" t="s">
        <v>385</v>
      </c>
      <c r="H1183" s="543">
        <v>20</v>
      </c>
      <c r="I1183" s="543"/>
      <c r="J1183" s="543">
        <f t="shared" si="163"/>
        <v>20</v>
      </c>
      <c r="K1183" s="334"/>
      <c r="L1183" s="544"/>
      <c r="M1183" s="544"/>
      <c r="N1183" s="544"/>
      <c r="O1183" s="334"/>
      <c r="P1183" s="545">
        <f t="shared" si="159"/>
        <v>20</v>
      </c>
      <c r="Q1183" s="545">
        <f t="shared" si="160"/>
        <v>0</v>
      </c>
      <c r="R1183" s="545">
        <f t="shared" si="161"/>
        <v>20</v>
      </c>
    </row>
    <row r="1184" spans="2:18" x14ac:dyDescent="0.2">
      <c r="B1184" s="172">
        <f t="shared" si="162"/>
        <v>685</v>
      </c>
      <c r="C1184" s="129"/>
      <c r="D1184" s="161"/>
      <c r="E1184" s="163"/>
      <c r="F1184" s="282" t="s">
        <v>607</v>
      </c>
      <c r="G1184" s="202" t="s">
        <v>733</v>
      </c>
      <c r="H1184" s="543"/>
      <c r="I1184" s="543"/>
      <c r="J1184" s="543">
        <f t="shared" si="163"/>
        <v>0</v>
      </c>
      <c r="K1184" s="334"/>
      <c r="L1184" s="428">
        <v>3500</v>
      </c>
      <c r="M1184" s="428"/>
      <c r="N1184" s="428">
        <f>M1184+L1184</f>
        <v>3500</v>
      </c>
      <c r="O1184" s="334"/>
      <c r="P1184" s="545">
        <f t="shared" si="159"/>
        <v>3500</v>
      </c>
      <c r="Q1184" s="545">
        <f t="shared" si="160"/>
        <v>0</v>
      </c>
      <c r="R1184" s="545">
        <f t="shared" si="161"/>
        <v>3500</v>
      </c>
    </row>
    <row r="1185" spans="2:18" ht="15" x14ac:dyDescent="0.25">
      <c r="B1185" s="172">
        <f t="shared" si="162"/>
        <v>686</v>
      </c>
      <c r="C1185" s="75"/>
      <c r="D1185" s="528"/>
      <c r="E1185" s="535" t="s">
        <v>691</v>
      </c>
      <c r="F1185" s="532" t="s">
        <v>692</v>
      </c>
      <c r="G1185" s="531"/>
      <c r="H1185" s="537">
        <f>H1186+H1187+H1188+H1194</f>
        <v>38935</v>
      </c>
      <c r="I1185" s="537">
        <f>I1186+I1187+I1188+I1194</f>
        <v>0</v>
      </c>
      <c r="J1185" s="537">
        <f t="shared" si="163"/>
        <v>38935</v>
      </c>
      <c r="K1185" s="335"/>
      <c r="L1185" s="530">
        <f>L1195</f>
        <v>10000</v>
      </c>
      <c r="M1185" s="750">
        <f>M1195</f>
        <v>0</v>
      </c>
      <c r="N1185" s="750">
        <f>M1185+L1185</f>
        <v>10000</v>
      </c>
      <c r="O1185" s="335"/>
      <c r="P1185" s="534">
        <f t="shared" si="159"/>
        <v>48935</v>
      </c>
      <c r="Q1185" s="534">
        <f t="shared" si="160"/>
        <v>0</v>
      </c>
      <c r="R1185" s="534">
        <f t="shared" si="161"/>
        <v>48935</v>
      </c>
    </row>
    <row r="1186" spans="2:18" x14ac:dyDescent="0.2">
      <c r="B1186" s="172">
        <f t="shared" si="162"/>
        <v>687</v>
      </c>
      <c r="C1186" s="144"/>
      <c r="D1186" s="145"/>
      <c r="E1186" s="170"/>
      <c r="F1186" s="145" t="s">
        <v>211</v>
      </c>
      <c r="G1186" s="202" t="s">
        <v>506</v>
      </c>
      <c r="H1186" s="543">
        <f>21452+1073</f>
        <v>22525</v>
      </c>
      <c r="I1186" s="543">
        <v>-3000</v>
      </c>
      <c r="J1186" s="543">
        <f t="shared" si="163"/>
        <v>19525</v>
      </c>
      <c r="K1186" s="332"/>
      <c r="L1186" s="428"/>
      <c r="M1186" s="428"/>
      <c r="N1186" s="428"/>
      <c r="O1186" s="332"/>
      <c r="P1186" s="545">
        <f t="shared" si="159"/>
        <v>22525</v>
      </c>
      <c r="Q1186" s="545">
        <f t="shared" si="160"/>
        <v>-3000</v>
      </c>
      <c r="R1186" s="545">
        <f t="shared" si="161"/>
        <v>19525</v>
      </c>
    </row>
    <row r="1187" spans="2:18" x14ac:dyDescent="0.2">
      <c r="B1187" s="172">
        <f t="shared" si="162"/>
        <v>688</v>
      </c>
      <c r="C1187" s="144"/>
      <c r="D1187" s="145"/>
      <c r="E1187" s="170"/>
      <c r="F1187" s="145" t="s">
        <v>212</v>
      </c>
      <c r="G1187" s="202" t="s">
        <v>259</v>
      </c>
      <c r="H1187" s="543">
        <f>7770+389</f>
        <v>8159</v>
      </c>
      <c r="I1187" s="543"/>
      <c r="J1187" s="543">
        <f t="shared" si="163"/>
        <v>8159</v>
      </c>
      <c r="K1187" s="332"/>
      <c r="L1187" s="428"/>
      <c r="M1187" s="428"/>
      <c r="N1187" s="428"/>
      <c r="O1187" s="332"/>
      <c r="P1187" s="545">
        <f t="shared" si="159"/>
        <v>8159</v>
      </c>
      <c r="Q1187" s="545">
        <f t="shared" si="160"/>
        <v>0</v>
      </c>
      <c r="R1187" s="545">
        <f t="shared" si="161"/>
        <v>8159</v>
      </c>
    </row>
    <row r="1188" spans="2:18" x14ac:dyDescent="0.2">
      <c r="B1188" s="172">
        <f t="shared" si="162"/>
        <v>689</v>
      </c>
      <c r="C1188" s="144"/>
      <c r="D1188" s="145"/>
      <c r="E1188" s="170"/>
      <c r="F1188" s="145" t="s">
        <v>218</v>
      </c>
      <c r="G1188" s="202" t="s">
        <v>341</v>
      </c>
      <c r="H1188" s="543">
        <f>SUM(H1189:H1193)</f>
        <v>8221</v>
      </c>
      <c r="I1188" s="543">
        <f>SUM(I1189:I1193)</f>
        <v>3000</v>
      </c>
      <c r="J1188" s="543">
        <f t="shared" si="163"/>
        <v>11221</v>
      </c>
      <c r="K1188" s="332"/>
      <c r="L1188" s="428"/>
      <c r="M1188" s="428"/>
      <c r="N1188" s="428"/>
      <c r="O1188" s="332"/>
      <c r="P1188" s="545">
        <f t="shared" si="159"/>
        <v>8221</v>
      </c>
      <c r="Q1188" s="545">
        <f t="shared" si="160"/>
        <v>3000</v>
      </c>
      <c r="R1188" s="545">
        <f t="shared" si="161"/>
        <v>11221</v>
      </c>
    </row>
    <row r="1189" spans="2:18" x14ac:dyDescent="0.2">
      <c r="B1189" s="172">
        <f t="shared" si="162"/>
        <v>690</v>
      </c>
      <c r="C1189" s="144"/>
      <c r="D1189" s="145"/>
      <c r="E1189" s="170"/>
      <c r="F1189" s="130" t="s">
        <v>213</v>
      </c>
      <c r="G1189" s="194" t="s">
        <v>255</v>
      </c>
      <c r="H1189" s="435">
        <v>50</v>
      </c>
      <c r="I1189" s="435"/>
      <c r="J1189" s="435">
        <f t="shared" si="163"/>
        <v>50</v>
      </c>
      <c r="K1189" s="332"/>
      <c r="L1189" s="428"/>
      <c r="M1189" s="428"/>
      <c r="N1189" s="428"/>
      <c r="O1189" s="332"/>
      <c r="P1189" s="169">
        <f t="shared" si="159"/>
        <v>50</v>
      </c>
      <c r="Q1189" s="169">
        <f t="shared" si="160"/>
        <v>0</v>
      </c>
      <c r="R1189" s="169">
        <f t="shared" si="161"/>
        <v>50</v>
      </c>
    </row>
    <row r="1190" spans="2:18" x14ac:dyDescent="0.2">
      <c r="B1190" s="172">
        <f t="shared" si="162"/>
        <v>691</v>
      </c>
      <c r="C1190" s="144"/>
      <c r="D1190" s="145"/>
      <c r="E1190" s="170"/>
      <c r="F1190" s="130" t="s">
        <v>199</v>
      </c>
      <c r="G1190" s="194" t="s">
        <v>319</v>
      </c>
      <c r="H1190" s="435">
        <v>2623</v>
      </c>
      <c r="I1190" s="435">
        <v>1000</v>
      </c>
      <c r="J1190" s="435">
        <f t="shared" si="163"/>
        <v>3623</v>
      </c>
      <c r="K1190" s="332"/>
      <c r="L1190" s="428"/>
      <c r="M1190" s="428"/>
      <c r="N1190" s="428"/>
      <c r="O1190" s="332"/>
      <c r="P1190" s="169">
        <f t="shared" si="159"/>
        <v>2623</v>
      </c>
      <c r="Q1190" s="169">
        <f t="shared" si="160"/>
        <v>1000</v>
      </c>
      <c r="R1190" s="169">
        <f t="shared" si="161"/>
        <v>3623</v>
      </c>
    </row>
    <row r="1191" spans="2:18" x14ac:dyDescent="0.2">
      <c r="B1191" s="172">
        <f t="shared" si="162"/>
        <v>692</v>
      </c>
      <c r="C1191" s="144"/>
      <c r="D1191" s="145"/>
      <c r="E1191" s="170"/>
      <c r="F1191" s="130" t="s">
        <v>200</v>
      </c>
      <c r="G1191" s="194" t="s">
        <v>247</v>
      </c>
      <c r="H1191" s="435">
        <v>3680</v>
      </c>
      <c r="I1191" s="435">
        <v>2000</v>
      </c>
      <c r="J1191" s="435">
        <f t="shared" si="163"/>
        <v>5680</v>
      </c>
      <c r="K1191" s="332"/>
      <c r="L1191" s="428"/>
      <c r="M1191" s="428"/>
      <c r="N1191" s="428"/>
      <c r="O1191" s="332"/>
      <c r="P1191" s="169">
        <f t="shared" si="159"/>
        <v>3680</v>
      </c>
      <c r="Q1191" s="169">
        <f t="shared" si="160"/>
        <v>2000</v>
      </c>
      <c r="R1191" s="169">
        <f t="shared" si="161"/>
        <v>5680</v>
      </c>
    </row>
    <row r="1192" spans="2:18" x14ac:dyDescent="0.2">
      <c r="B1192" s="172">
        <f t="shared" si="162"/>
        <v>693</v>
      </c>
      <c r="C1192" s="144"/>
      <c r="D1192" s="145"/>
      <c r="E1192" s="170"/>
      <c r="F1192" s="288" t="s">
        <v>214</v>
      </c>
      <c r="G1192" s="205" t="s">
        <v>261</v>
      </c>
      <c r="H1192" s="389">
        <v>80</v>
      </c>
      <c r="I1192" s="389"/>
      <c r="J1192" s="389">
        <f t="shared" si="163"/>
        <v>80</v>
      </c>
      <c r="K1192" s="332"/>
      <c r="L1192" s="428"/>
      <c r="M1192" s="428"/>
      <c r="N1192" s="428"/>
      <c r="O1192" s="332"/>
      <c r="P1192" s="169">
        <f t="shared" si="159"/>
        <v>80</v>
      </c>
      <c r="Q1192" s="169">
        <f t="shared" si="160"/>
        <v>0</v>
      </c>
      <c r="R1192" s="169">
        <f t="shared" si="161"/>
        <v>80</v>
      </c>
    </row>
    <row r="1193" spans="2:18" x14ac:dyDescent="0.2">
      <c r="B1193" s="172">
        <f t="shared" si="162"/>
        <v>694</v>
      </c>
      <c r="C1193" s="144"/>
      <c r="D1193" s="145"/>
      <c r="E1193" s="170"/>
      <c r="F1193" s="130" t="s">
        <v>216</v>
      </c>
      <c r="G1193" s="194" t="s">
        <v>248</v>
      </c>
      <c r="H1193" s="389">
        <v>1788</v>
      </c>
      <c r="I1193" s="389"/>
      <c r="J1193" s="389">
        <f t="shared" si="163"/>
        <v>1788</v>
      </c>
      <c r="K1193" s="332"/>
      <c r="L1193" s="428"/>
      <c r="M1193" s="428"/>
      <c r="N1193" s="428"/>
      <c r="O1193" s="332"/>
      <c r="P1193" s="169">
        <f t="shared" si="159"/>
        <v>1788</v>
      </c>
      <c r="Q1193" s="169">
        <f t="shared" si="160"/>
        <v>0</v>
      </c>
      <c r="R1193" s="169">
        <f t="shared" si="161"/>
        <v>1788</v>
      </c>
    </row>
    <row r="1194" spans="2:18" x14ac:dyDescent="0.2">
      <c r="B1194" s="172">
        <f t="shared" si="162"/>
        <v>695</v>
      </c>
      <c r="C1194" s="144"/>
      <c r="D1194" s="145"/>
      <c r="E1194" s="170"/>
      <c r="F1194" s="145" t="s">
        <v>217</v>
      </c>
      <c r="G1194" s="202" t="s">
        <v>372</v>
      </c>
      <c r="H1194" s="543">
        <v>30</v>
      </c>
      <c r="I1194" s="543"/>
      <c r="J1194" s="543">
        <f t="shared" si="163"/>
        <v>30</v>
      </c>
      <c r="K1194" s="332"/>
      <c r="L1194" s="428"/>
      <c r="M1194" s="428"/>
      <c r="N1194" s="428"/>
      <c r="O1194" s="332"/>
      <c r="P1194" s="545">
        <f t="shared" si="159"/>
        <v>30</v>
      </c>
      <c r="Q1194" s="545">
        <f t="shared" si="160"/>
        <v>0</v>
      </c>
      <c r="R1194" s="545">
        <f t="shared" si="161"/>
        <v>30</v>
      </c>
    </row>
    <row r="1195" spans="2:18" x14ac:dyDescent="0.2">
      <c r="B1195" s="172">
        <f t="shared" si="162"/>
        <v>696</v>
      </c>
      <c r="C1195" s="144"/>
      <c r="D1195" s="669"/>
      <c r="E1195" s="170"/>
      <c r="F1195" s="166" t="s">
        <v>607</v>
      </c>
      <c r="G1195" s="202" t="s">
        <v>608</v>
      </c>
      <c r="H1195" s="543"/>
      <c r="I1195" s="543"/>
      <c r="J1195" s="543">
        <f t="shared" si="163"/>
        <v>0</v>
      </c>
      <c r="K1195" s="332"/>
      <c r="L1195" s="428">
        <v>10000</v>
      </c>
      <c r="M1195" s="428"/>
      <c r="N1195" s="428">
        <f>M1195+L1195</f>
        <v>10000</v>
      </c>
      <c r="O1195" s="332"/>
      <c r="P1195" s="545">
        <f t="shared" si="159"/>
        <v>10000</v>
      </c>
      <c r="Q1195" s="545">
        <f t="shared" si="160"/>
        <v>0</v>
      </c>
      <c r="R1195" s="545">
        <f t="shared" si="161"/>
        <v>10000</v>
      </c>
    </row>
    <row r="1196" spans="2:18" ht="15" x14ac:dyDescent="0.25">
      <c r="B1196" s="172">
        <f t="shared" si="162"/>
        <v>697</v>
      </c>
      <c r="C1196" s="129"/>
      <c r="D1196" s="263">
        <v>21</v>
      </c>
      <c r="E1196" s="176"/>
      <c r="F1196" s="149" t="s">
        <v>415</v>
      </c>
      <c r="G1196" s="239"/>
      <c r="H1196" s="416">
        <f>H1197+H1207</f>
        <v>93238</v>
      </c>
      <c r="I1196" s="416">
        <f>I1197+I1207</f>
        <v>0</v>
      </c>
      <c r="J1196" s="416">
        <f t="shared" si="163"/>
        <v>93238</v>
      </c>
      <c r="K1196" s="335"/>
      <c r="L1196" s="502">
        <f>L1197+L1207</f>
        <v>22000</v>
      </c>
      <c r="M1196" s="502">
        <f>M1197+M1207</f>
        <v>0</v>
      </c>
      <c r="N1196" s="502">
        <f>M1196+L1196</f>
        <v>22000</v>
      </c>
      <c r="O1196" s="335"/>
      <c r="P1196" s="336">
        <f t="shared" si="159"/>
        <v>115238</v>
      </c>
      <c r="Q1196" s="336">
        <f t="shared" si="160"/>
        <v>0</v>
      </c>
      <c r="R1196" s="336">
        <f t="shared" si="161"/>
        <v>115238</v>
      </c>
    </row>
    <row r="1197" spans="2:18" ht="14.25" x14ac:dyDescent="0.2">
      <c r="B1197" s="172">
        <f t="shared" si="162"/>
        <v>698</v>
      </c>
      <c r="C1197" s="75"/>
      <c r="D1197" s="528"/>
      <c r="E1197" s="535" t="s">
        <v>690</v>
      </c>
      <c r="F1197" s="532" t="s">
        <v>693</v>
      </c>
      <c r="G1197" s="531"/>
      <c r="H1197" s="533">
        <f>H1198+H1199+H1200+H1205</f>
        <v>42343</v>
      </c>
      <c r="I1197" s="533">
        <f>I1198+I1199+I1200+I1205</f>
        <v>-150</v>
      </c>
      <c r="J1197" s="533">
        <f t="shared" si="163"/>
        <v>42193</v>
      </c>
      <c r="K1197" s="335"/>
      <c r="L1197" s="667">
        <f>L1206</f>
        <v>22000</v>
      </c>
      <c r="M1197" s="667">
        <f>M1206</f>
        <v>0</v>
      </c>
      <c r="N1197" s="667">
        <f>M1197+L1197</f>
        <v>22000</v>
      </c>
      <c r="O1197" s="335"/>
      <c r="P1197" s="534">
        <f t="shared" si="159"/>
        <v>64343</v>
      </c>
      <c r="Q1197" s="534">
        <f t="shared" si="160"/>
        <v>-150</v>
      </c>
      <c r="R1197" s="534">
        <f t="shared" si="161"/>
        <v>64193</v>
      </c>
    </row>
    <row r="1198" spans="2:18" x14ac:dyDescent="0.2">
      <c r="B1198" s="172">
        <f t="shared" si="162"/>
        <v>699</v>
      </c>
      <c r="C1198" s="129"/>
      <c r="D1198" s="129"/>
      <c r="E1198" s="133"/>
      <c r="F1198" s="145" t="s">
        <v>211</v>
      </c>
      <c r="G1198" s="202" t="s">
        <v>506</v>
      </c>
      <c r="H1198" s="543">
        <f>17775+889</f>
        <v>18664</v>
      </c>
      <c r="I1198" s="543"/>
      <c r="J1198" s="543">
        <f t="shared" si="163"/>
        <v>18664</v>
      </c>
      <c r="K1198" s="334"/>
      <c r="L1198" s="544"/>
      <c r="M1198" s="544"/>
      <c r="N1198" s="544"/>
      <c r="O1198" s="334"/>
      <c r="P1198" s="545">
        <f t="shared" si="159"/>
        <v>18664</v>
      </c>
      <c r="Q1198" s="545">
        <f t="shared" si="160"/>
        <v>0</v>
      </c>
      <c r="R1198" s="545">
        <f t="shared" si="161"/>
        <v>18664</v>
      </c>
    </row>
    <row r="1199" spans="2:18" x14ac:dyDescent="0.2">
      <c r="B1199" s="172">
        <f t="shared" si="162"/>
        <v>700</v>
      </c>
      <c r="C1199" s="129"/>
      <c r="D1199" s="129"/>
      <c r="E1199" s="133"/>
      <c r="F1199" s="145" t="s">
        <v>212</v>
      </c>
      <c r="G1199" s="202" t="s">
        <v>259</v>
      </c>
      <c r="H1199" s="543">
        <f>6218+311</f>
        <v>6529</v>
      </c>
      <c r="I1199" s="543"/>
      <c r="J1199" s="543">
        <f t="shared" si="163"/>
        <v>6529</v>
      </c>
      <c r="K1199" s="334"/>
      <c r="L1199" s="544"/>
      <c r="M1199" s="544"/>
      <c r="N1199" s="544"/>
      <c r="O1199" s="334"/>
      <c r="P1199" s="545">
        <f t="shared" si="159"/>
        <v>6529</v>
      </c>
      <c r="Q1199" s="545">
        <f t="shared" si="160"/>
        <v>0</v>
      </c>
      <c r="R1199" s="545">
        <f t="shared" si="161"/>
        <v>6529</v>
      </c>
    </row>
    <row r="1200" spans="2:18" x14ac:dyDescent="0.2">
      <c r="B1200" s="172">
        <f t="shared" si="162"/>
        <v>701</v>
      </c>
      <c r="C1200" s="129"/>
      <c r="D1200" s="129"/>
      <c r="E1200" s="133"/>
      <c r="F1200" s="145" t="s">
        <v>218</v>
      </c>
      <c r="G1200" s="202" t="s">
        <v>341</v>
      </c>
      <c r="H1200" s="543">
        <f>SUM(H1201:H1204)</f>
        <v>17050</v>
      </c>
      <c r="I1200" s="543">
        <f>SUM(I1201:I1204)</f>
        <v>-150</v>
      </c>
      <c r="J1200" s="543">
        <f t="shared" si="163"/>
        <v>16900</v>
      </c>
      <c r="K1200" s="334"/>
      <c r="L1200" s="544"/>
      <c r="M1200" s="544"/>
      <c r="N1200" s="544"/>
      <c r="O1200" s="334"/>
      <c r="P1200" s="545">
        <f t="shared" si="159"/>
        <v>17050</v>
      </c>
      <c r="Q1200" s="545">
        <f t="shared" si="160"/>
        <v>-150</v>
      </c>
      <c r="R1200" s="545">
        <f t="shared" si="161"/>
        <v>16900</v>
      </c>
    </row>
    <row r="1201" spans="2:18" x14ac:dyDescent="0.2">
      <c r="B1201" s="172">
        <f t="shared" si="162"/>
        <v>702</v>
      </c>
      <c r="C1201" s="129"/>
      <c r="D1201" s="129"/>
      <c r="E1201" s="133"/>
      <c r="F1201" s="130" t="s">
        <v>199</v>
      </c>
      <c r="G1201" s="194" t="s">
        <v>319</v>
      </c>
      <c r="H1201" s="389">
        <v>12840</v>
      </c>
      <c r="I1201" s="389"/>
      <c r="J1201" s="389">
        <f t="shared" si="163"/>
        <v>12840</v>
      </c>
      <c r="K1201" s="334"/>
      <c r="L1201" s="544"/>
      <c r="M1201" s="544"/>
      <c r="N1201" s="544"/>
      <c r="O1201" s="334"/>
      <c r="P1201" s="169">
        <f t="shared" si="159"/>
        <v>12840</v>
      </c>
      <c r="Q1201" s="169">
        <f t="shared" si="160"/>
        <v>0</v>
      </c>
      <c r="R1201" s="169">
        <f t="shared" si="161"/>
        <v>12840</v>
      </c>
    </row>
    <row r="1202" spans="2:18" x14ac:dyDescent="0.2">
      <c r="B1202" s="172">
        <f t="shared" si="162"/>
        <v>703</v>
      </c>
      <c r="C1202" s="129"/>
      <c r="D1202" s="129"/>
      <c r="E1202" s="133"/>
      <c r="F1202" s="130" t="s">
        <v>200</v>
      </c>
      <c r="G1202" s="194" t="s">
        <v>247</v>
      </c>
      <c r="H1202" s="389">
        <v>1625</v>
      </c>
      <c r="I1202" s="389"/>
      <c r="J1202" s="389">
        <f t="shared" si="163"/>
        <v>1625</v>
      </c>
      <c r="K1202" s="334"/>
      <c r="L1202" s="544"/>
      <c r="M1202" s="544"/>
      <c r="N1202" s="544"/>
      <c r="O1202" s="334"/>
      <c r="P1202" s="169">
        <f t="shared" si="159"/>
        <v>1625</v>
      </c>
      <c r="Q1202" s="169">
        <f t="shared" si="160"/>
        <v>0</v>
      </c>
      <c r="R1202" s="169">
        <f t="shared" si="161"/>
        <v>1625</v>
      </c>
    </row>
    <row r="1203" spans="2:18" x14ac:dyDescent="0.2">
      <c r="B1203" s="172">
        <f t="shared" si="162"/>
        <v>704</v>
      </c>
      <c r="C1203" s="129"/>
      <c r="D1203" s="129"/>
      <c r="E1203" s="133"/>
      <c r="F1203" s="130" t="s">
        <v>214</v>
      </c>
      <c r="G1203" s="194" t="s">
        <v>261</v>
      </c>
      <c r="H1203" s="389">
        <v>410</v>
      </c>
      <c r="I1203" s="389">
        <v>150</v>
      </c>
      <c r="J1203" s="389">
        <f t="shared" si="163"/>
        <v>560</v>
      </c>
      <c r="K1203" s="334"/>
      <c r="L1203" s="544"/>
      <c r="M1203" s="544"/>
      <c r="N1203" s="544"/>
      <c r="O1203" s="334"/>
      <c r="P1203" s="169">
        <f t="shared" si="159"/>
        <v>410</v>
      </c>
      <c r="Q1203" s="169">
        <f t="shared" si="160"/>
        <v>150</v>
      </c>
      <c r="R1203" s="169">
        <f t="shared" si="161"/>
        <v>560</v>
      </c>
    </row>
    <row r="1204" spans="2:18" x14ac:dyDescent="0.2">
      <c r="B1204" s="172">
        <f t="shared" si="162"/>
        <v>705</v>
      </c>
      <c r="C1204" s="129"/>
      <c r="D1204" s="129"/>
      <c r="E1204" s="133"/>
      <c r="F1204" s="130" t="s">
        <v>216</v>
      </c>
      <c r="G1204" s="194" t="s">
        <v>248</v>
      </c>
      <c r="H1204" s="389">
        <v>2175</v>
      </c>
      <c r="I1204" s="389">
        <v>-300</v>
      </c>
      <c r="J1204" s="389">
        <f t="shared" si="163"/>
        <v>1875</v>
      </c>
      <c r="K1204" s="334"/>
      <c r="L1204" s="544"/>
      <c r="M1204" s="544"/>
      <c r="N1204" s="544"/>
      <c r="O1204" s="334"/>
      <c r="P1204" s="169">
        <f t="shared" si="159"/>
        <v>2175</v>
      </c>
      <c r="Q1204" s="169">
        <f t="shared" si="160"/>
        <v>-300</v>
      </c>
      <c r="R1204" s="169">
        <f t="shared" si="161"/>
        <v>1875</v>
      </c>
    </row>
    <row r="1205" spans="2:18" x14ac:dyDescent="0.2">
      <c r="B1205" s="172">
        <f t="shared" si="162"/>
        <v>706</v>
      </c>
      <c r="C1205" s="129"/>
      <c r="D1205" s="129"/>
      <c r="E1205" s="133"/>
      <c r="F1205" s="145" t="s">
        <v>217</v>
      </c>
      <c r="G1205" s="202" t="s">
        <v>385</v>
      </c>
      <c r="H1205" s="543">
        <v>100</v>
      </c>
      <c r="I1205" s="543"/>
      <c r="J1205" s="543">
        <f t="shared" si="163"/>
        <v>100</v>
      </c>
      <c r="K1205" s="334"/>
      <c r="L1205" s="544"/>
      <c r="M1205" s="544"/>
      <c r="N1205" s="544"/>
      <c r="O1205" s="334"/>
      <c r="P1205" s="545">
        <f t="shared" si="159"/>
        <v>100</v>
      </c>
      <c r="Q1205" s="545">
        <f t="shared" si="160"/>
        <v>0</v>
      </c>
      <c r="R1205" s="545">
        <f t="shared" si="161"/>
        <v>100</v>
      </c>
    </row>
    <row r="1206" spans="2:18" x14ac:dyDescent="0.2">
      <c r="B1206" s="172">
        <f t="shared" si="162"/>
        <v>707</v>
      </c>
      <c r="C1206" s="129"/>
      <c r="D1206" s="129"/>
      <c r="E1206" s="163"/>
      <c r="F1206" s="282" t="s">
        <v>607</v>
      </c>
      <c r="G1206" s="202" t="s">
        <v>656</v>
      </c>
      <c r="H1206" s="543"/>
      <c r="I1206" s="543"/>
      <c r="J1206" s="543">
        <f t="shared" si="163"/>
        <v>0</v>
      </c>
      <c r="K1206" s="334"/>
      <c r="L1206" s="428">
        <v>22000</v>
      </c>
      <c r="M1206" s="428"/>
      <c r="N1206" s="428">
        <f>M1206+L1206</f>
        <v>22000</v>
      </c>
      <c r="O1206" s="334"/>
      <c r="P1206" s="545">
        <f t="shared" si="159"/>
        <v>22000</v>
      </c>
      <c r="Q1206" s="545">
        <f t="shared" si="160"/>
        <v>0</v>
      </c>
      <c r="R1206" s="545">
        <f t="shared" si="161"/>
        <v>22000</v>
      </c>
    </row>
    <row r="1207" spans="2:18" ht="14.25" x14ac:dyDescent="0.2">
      <c r="B1207" s="172">
        <f t="shared" si="162"/>
        <v>708</v>
      </c>
      <c r="C1207" s="75"/>
      <c r="D1207" s="528"/>
      <c r="E1207" s="535" t="s">
        <v>691</v>
      </c>
      <c r="F1207" s="532" t="s">
        <v>692</v>
      </c>
      <c r="G1207" s="531"/>
      <c r="H1207" s="533">
        <f>H1208+H1209+H1210+H1215</f>
        <v>50895</v>
      </c>
      <c r="I1207" s="533">
        <f>I1208+I1209+I1210+I1215</f>
        <v>150</v>
      </c>
      <c r="J1207" s="533">
        <f t="shared" si="163"/>
        <v>51045</v>
      </c>
      <c r="K1207" s="335"/>
      <c r="L1207" s="530"/>
      <c r="M1207" s="530"/>
      <c r="N1207" s="530"/>
      <c r="O1207" s="335"/>
      <c r="P1207" s="534">
        <f t="shared" si="159"/>
        <v>50895</v>
      </c>
      <c r="Q1207" s="534">
        <f t="shared" si="160"/>
        <v>150</v>
      </c>
      <c r="R1207" s="534">
        <f t="shared" si="161"/>
        <v>51045</v>
      </c>
    </row>
    <row r="1208" spans="2:18" x14ac:dyDescent="0.2">
      <c r="B1208" s="172">
        <f t="shared" si="162"/>
        <v>709</v>
      </c>
      <c r="C1208" s="129"/>
      <c r="D1208" s="129"/>
      <c r="E1208" s="133"/>
      <c r="F1208" s="145" t="s">
        <v>211</v>
      </c>
      <c r="G1208" s="202" t="s">
        <v>506</v>
      </c>
      <c r="H1208" s="543">
        <f>21945+1097</f>
        <v>23042</v>
      </c>
      <c r="I1208" s="543"/>
      <c r="J1208" s="543">
        <f t="shared" si="163"/>
        <v>23042</v>
      </c>
      <c r="K1208" s="334"/>
      <c r="L1208" s="544"/>
      <c r="M1208" s="544"/>
      <c r="N1208" s="544"/>
      <c r="O1208" s="334"/>
      <c r="P1208" s="545">
        <f t="shared" si="159"/>
        <v>23042</v>
      </c>
      <c r="Q1208" s="545">
        <f t="shared" si="160"/>
        <v>0</v>
      </c>
      <c r="R1208" s="545">
        <f t="shared" si="161"/>
        <v>23042</v>
      </c>
    </row>
    <row r="1209" spans="2:18" x14ac:dyDescent="0.2">
      <c r="B1209" s="172">
        <f t="shared" si="162"/>
        <v>710</v>
      </c>
      <c r="C1209" s="129"/>
      <c r="D1209" s="129"/>
      <c r="E1209" s="133"/>
      <c r="F1209" s="145" t="s">
        <v>212</v>
      </c>
      <c r="G1209" s="202" t="s">
        <v>259</v>
      </c>
      <c r="H1209" s="543">
        <f>7665+383</f>
        <v>8048</v>
      </c>
      <c r="I1209" s="543"/>
      <c r="J1209" s="543">
        <f t="shared" si="163"/>
        <v>8048</v>
      </c>
      <c r="K1209" s="334"/>
      <c r="L1209" s="544"/>
      <c r="M1209" s="544"/>
      <c r="N1209" s="544"/>
      <c r="O1209" s="334"/>
      <c r="P1209" s="545">
        <f t="shared" si="159"/>
        <v>8048</v>
      </c>
      <c r="Q1209" s="545">
        <f t="shared" si="160"/>
        <v>0</v>
      </c>
      <c r="R1209" s="545">
        <f t="shared" si="161"/>
        <v>8048</v>
      </c>
    </row>
    <row r="1210" spans="2:18" x14ac:dyDescent="0.2">
      <c r="B1210" s="172">
        <f t="shared" si="162"/>
        <v>711</v>
      </c>
      <c r="C1210" s="129"/>
      <c r="D1210" s="129"/>
      <c r="E1210" s="133"/>
      <c r="F1210" s="145" t="s">
        <v>218</v>
      </c>
      <c r="G1210" s="202" t="s">
        <v>341</v>
      </c>
      <c r="H1210" s="543">
        <f>SUM(H1211:H1214)</f>
        <v>19705</v>
      </c>
      <c r="I1210" s="543">
        <f>SUM(I1211:I1214)</f>
        <v>150</v>
      </c>
      <c r="J1210" s="543">
        <f t="shared" si="163"/>
        <v>19855</v>
      </c>
      <c r="K1210" s="334"/>
      <c r="L1210" s="544"/>
      <c r="M1210" s="544"/>
      <c r="N1210" s="544"/>
      <c r="O1210" s="334"/>
      <c r="P1210" s="545">
        <f t="shared" si="159"/>
        <v>19705</v>
      </c>
      <c r="Q1210" s="545">
        <f t="shared" si="160"/>
        <v>150</v>
      </c>
      <c r="R1210" s="545">
        <f t="shared" si="161"/>
        <v>19855</v>
      </c>
    </row>
    <row r="1211" spans="2:18" x14ac:dyDescent="0.2">
      <c r="B1211" s="172">
        <f t="shared" ref="B1211:B1256" si="164">B1210+1</f>
        <v>712</v>
      </c>
      <c r="C1211" s="129"/>
      <c r="D1211" s="129"/>
      <c r="E1211" s="133"/>
      <c r="F1211" s="130" t="s">
        <v>199</v>
      </c>
      <c r="G1211" s="194" t="s">
        <v>319</v>
      </c>
      <c r="H1211" s="389">
        <v>15150</v>
      </c>
      <c r="I1211" s="389"/>
      <c r="J1211" s="389">
        <f t="shared" si="163"/>
        <v>15150</v>
      </c>
      <c r="K1211" s="334"/>
      <c r="L1211" s="544"/>
      <c r="M1211" s="544"/>
      <c r="N1211" s="544"/>
      <c r="O1211" s="334"/>
      <c r="P1211" s="169">
        <f t="shared" si="159"/>
        <v>15150</v>
      </c>
      <c r="Q1211" s="169">
        <f t="shared" si="160"/>
        <v>0</v>
      </c>
      <c r="R1211" s="169">
        <f t="shared" si="161"/>
        <v>15150</v>
      </c>
    </row>
    <row r="1212" spans="2:18" x14ac:dyDescent="0.2">
      <c r="B1212" s="172">
        <f t="shared" si="164"/>
        <v>713</v>
      </c>
      <c r="C1212" s="129"/>
      <c r="D1212" s="129"/>
      <c r="E1212" s="133"/>
      <c r="F1212" s="130" t="s">
        <v>200</v>
      </c>
      <c r="G1212" s="194" t="s">
        <v>247</v>
      </c>
      <c r="H1212" s="389">
        <v>1725</v>
      </c>
      <c r="I1212" s="389"/>
      <c r="J1212" s="389">
        <f t="shared" si="163"/>
        <v>1725</v>
      </c>
      <c r="K1212" s="334"/>
      <c r="L1212" s="544"/>
      <c r="M1212" s="544"/>
      <c r="N1212" s="544"/>
      <c r="O1212" s="334"/>
      <c r="P1212" s="169">
        <f t="shared" si="159"/>
        <v>1725</v>
      </c>
      <c r="Q1212" s="169">
        <f t="shared" si="160"/>
        <v>0</v>
      </c>
      <c r="R1212" s="169">
        <f t="shared" si="161"/>
        <v>1725</v>
      </c>
    </row>
    <row r="1213" spans="2:18" x14ac:dyDescent="0.2">
      <c r="B1213" s="172">
        <f t="shared" si="164"/>
        <v>714</v>
      </c>
      <c r="C1213" s="129"/>
      <c r="D1213" s="129"/>
      <c r="E1213" s="133"/>
      <c r="F1213" s="130" t="s">
        <v>214</v>
      </c>
      <c r="G1213" s="194" t="s">
        <v>261</v>
      </c>
      <c r="H1213" s="389">
        <v>410</v>
      </c>
      <c r="I1213" s="389">
        <v>150</v>
      </c>
      <c r="J1213" s="389">
        <f t="shared" si="163"/>
        <v>560</v>
      </c>
      <c r="K1213" s="334"/>
      <c r="L1213" s="544"/>
      <c r="M1213" s="544"/>
      <c r="N1213" s="544"/>
      <c r="O1213" s="334"/>
      <c r="P1213" s="169">
        <f t="shared" si="159"/>
        <v>410</v>
      </c>
      <c r="Q1213" s="169">
        <f t="shared" si="160"/>
        <v>150</v>
      </c>
      <c r="R1213" s="169">
        <f t="shared" si="161"/>
        <v>560</v>
      </c>
    </row>
    <row r="1214" spans="2:18" x14ac:dyDescent="0.2">
      <c r="B1214" s="172">
        <f t="shared" si="164"/>
        <v>715</v>
      </c>
      <c r="C1214" s="129"/>
      <c r="D1214" s="129"/>
      <c r="E1214" s="133"/>
      <c r="F1214" s="130" t="s">
        <v>216</v>
      </c>
      <c r="G1214" s="194" t="s">
        <v>248</v>
      </c>
      <c r="H1214" s="389">
        <v>2420</v>
      </c>
      <c r="I1214" s="389"/>
      <c r="J1214" s="389">
        <f t="shared" si="163"/>
        <v>2420</v>
      </c>
      <c r="K1214" s="334"/>
      <c r="L1214" s="544"/>
      <c r="M1214" s="544"/>
      <c r="N1214" s="544"/>
      <c r="O1214" s="334"/>
      <c r="P1214" s="169">
        <f t="shared" si="159"/>
        <v>2420</v>
      </c>
      <c r="Q1214" s="169">
        <f t="shared" si="160"/>
        <v>0</v>
      </c>
      <c r="R1214" s="169">
        <f t="shared" si="161"/>
        <v>2420</v>
      </c>
    </row>
    <row r="1215" spans="2:18" x14ac:dyDescent="0.2">
      <c r="B1215" s="172">
        <f t="shared" si="164"/>
        <v>716</v>
      </c>
      <c r="C1215" s="129"/>
      <c r="D1215" s="129"/>
      <c r="E1215" s="133"/>
      <c r="F1215" s="145" t="s">
        <v>217</v>
      </c>
      <c r="G1215" s="202" t="s">
        <v>385</v>
      </c>
      <c r="H1215" s="543">
        <v>100</v>
      </c>
      <c r="I1215" s="543"/>
      <c r="J1215" s="543">
        <f t="shared" si="163"/>
        <v>100</v>
      </c>
      <c r="K1215" s="334"/>
      <c r="L1215" s="544"/>
      <c r="M1215" s="544"/>
      <c r="N1215" s="544"/>
      <c r="O1215" s="334"/>
      <c r="P1215" s="545">
        <f t="shared" si="159"/>
        <v>100</v>
      </c>
      <c r="Q1215" s="545">
        <f t="shared" si="160"/>
        <v>0</v>
      </c>
      <c r="R1215" s="545">
        <f t="shared" si="161"/>
        <v>100</v>
      </c>
    </row>
    <row r="1216" spans="2:18" ht="15" x14ac:dyDescent="0.25">
      <c r="B1216" s="172">
        <f t="shared" si="164"/>
        <v>717</v>
      </c>
      <c r="C1216" s="129"/>
      <c r="D1216" s="262">
        <v>22</v>
      </c>
      <c r="E1216" s="176"/>
      <c r="F1216" s="149" t="s">
        <v>416</v>
      </c>
      <c r="G1216" s="239"/>
      <c r="H1216" s="416">
        <f>H1217+H1221</f>
        <v>112000</v>
      </c>
      <c r="I1216" s="416">
        <f>I1217+I1221</f>
        <v>0</v>
      </c>
      <c r="J1216" s="416">
        <f t="shared" si="163"/>
        <v>112000</v>
      </c>
      <c r="K1216" s="335"/>
      <c r="L1216" s="502">
        <f>L1217+L1221</f>
        <v>35000</v>
      </c>
      <c r="M1216" s="502">
        <f>M1217+M1221</f>
        <v>0</v>
      </c>
      <c r="N1216" s="502">
        <f>M1216+L1216</f>
        <v>35000</v>
      </c>
      <c r="O1216" s="335"/>
      <c r="P1216" s="336">
        <f t="shared" si="159"/>
        <v>147000</v>
      </c>
      <c r="Q1216" s="336">
        <f t="shared" si="160"/>
        <v>0</v>
      </c>
      <c r="R1216" s="336">
        <f t="shared" si="161"/>
        <v>147000</v>
      </c>
    </row>
    <row r="1217" spans="2:18" ht="14.25" x14ac:dyDescent="0.2">
      <c r="B1217" s="172">
        <f t="shared" si="164"/>
        <v>718</v>
      </c>
      <c r="C1217" s="75"/>
      <c r="D1217" s="528"/>
      <c r="E1217" s="535" t="s">
        <v>690</v>
      </c>
      <c r="F1217" s="532" t="s">
        <v>693</v>
      </c>
      <c r="G1217" s="531"/>
      <c r="H1217" s="533">
        <f>H1218</f>
        <v>44800</v>
      </c>
      <c r="I1217" s="533">
        <f>I1218</f>
        <v>0</v>
      </c>
      <c r="J1217" s="533">
        <f t="shared" si="163"/>
        <v>44800</v>
      </c>
      <c r="K1217" s="335"/>
      <c r="L1217" s="667">
        <f>L1220</f>
        <v>35000</v>
      </c>
      <c r="M1217" s="667">
        <f>M1220</f>
        <v>0</v>
      </c>
      <c r="N1217" s="667">
        <f>M1217+L1217</f>
        <v>35000</v>
      </c>
      <c r="O1217" s="335"/>
      <c r="P1217" s="534">
        <f t="shared" si="159"/>
        <v>79800</v>
      </c>
      <c r="Q1217" s="534">
        <f t="shared" si="160"/>
        <v>0</v>
      </c>
      <c r="R1217" s="534">
        <f t="shared" si="161"/>
        <v>79800</v>
      </c>
    </row>
    <row r="1218" spans="2:18" x14ac:dyDescent="0.2">
      <c r="B1218" s="172">
        <f t="shared" si="164"/>
        <v>719</v>
      </c>
      <c r="C1218" s="129"/>
      <c r="D1218" s="129"/>
      <c r="E1218" s="133"/>
      <c r="F1218" s="145" t="s">
        <v>218</v>
      </c>
      <c r="G1218" s="202" t="s">
        <v>341</v>
      </c>
      <c r="H1218" s="543">
        <f>H1219</f>
        <v>44800</v>
      </c>
      <c r="I1218" s="543">
        <f>I1219</f>
        <v>0</v>
      </c>
      <c r="J1218" s="543">
        <f t="shared" si="163"/>
        <v>44800</v>
      </c>
      <c r="K1218" s="334"/>
      <c r="L1218" s="544"/>
      <c r="M1218" s="544"/>
      <c r="N1218" s="544"/>
      <c r="O1218" s="334"/>
      <c r="P1218" s="545">
        <f t="shared" ref="P1218:P1223" si="165">H1218+L1218</f>
        <v>44800</v>
      </c>
      <c r="Q1218" s="545">
        <f t="shared" ref="Q1218:Q1223" si="166">I1218+M1218</f>
        <v>0</v>
      </c>
      <c r="R1218" s="545">
        <f t="shared" ref="R1218:R1223" si="167">Q1218+P1218</f>
        <v>44800</v>
      </c>
    </row>
    <row r="1219" spans="2:18" x14ac:dyDescent="0.2">
      <c r="B1219" s="172">
        <f t="shared" si="164"/>
        <v>720</v>
      </c>
      <c r="C1219" s="129"/>
      <c r="D1219" s="129"/>
      <c r="E1219" s="133"/>
      <c r="F1219" s="130" t="s">
        <v>216</v>
      </c>
      <c r="G1219" s="194" t="s">
        <v>417</v>
      </c>
      <c r="H1219" s="389">
        <v>44800</v>
      </c>
      <c r="I1219" s="389"/>
      <c r="J1219" s="389">
        <f t="shared" si="163"/>
        <v>44800</v>
      </c>
      <c r="K1219" s="334"/>
      <c r="L1219" s="544"/>
      <c r="M1219" s="544"/>
      <c r="N1219" s="544"/>
      <c r="O1219" s="334"/>
      <c r="P1219" s="169">
        <f t="shared" si="165"/>
        <v>44800</v>
      </c>
      <c r="Q1219" s="169">
        <f t="shared" si="166"/>
        <v>0</v>
      </c>
      <c r="R1219" s="169">
        <f t="shared" si="167"/>
        <v>44800</v>
      </c>
    </row>
    <row r="1220" spans="2:18" x14ac:dyDescent="0.2">
      <c r="B1220" s="172">
        <f t="shared" si="164"/>
        <v>721</v>
      </c>
      <c r="C1220" s="129"/>
      <c r="D1220" s="129"/>
      <c r="E1220" s="133"/>
      <c r="F1220" s="282" t="s">
        <v>607</v>
      </c>
      <c r="G1220" s="202" t="s">
        <v>719</v>
      </c>
      <c r="H1220" s="389"/>
      <c r="I1220" s="389"/>
      <c r="J1220" s="389"/>
      <c r="K1220" s="334"/>
      <c r="L1220" s="428">
        <v>35000</v>
      </c>
      <c r="M1220" s="428"/>
      <c r="N1220" s="428">
        <f>M1220+L1220</f>
        <v>35000</v>
      </c>
      <c r="O1220" s="334"/>
      <c r="P1220" s="545">
        <f t="shared" si="165"/>
        <v>35000</v>
      </c>
      <c r="Q1220" s="545">
        <f t="shared" si="166"/>
        <v>0</v>
      </c>
      <c r="R1220" s="545">
        <f t="shared" si="167"/>
        <v>35000</v>
      </c>
    </row>
    <row r="1221" spans="2:18" ht="15" x14ac:dyDescent="0.25">
      <c r="B1221" s="172">
        <f t="shared" si="164"/>
        <v>722</v>
      </c>
      <c r="C1221" s="75"/>
      <c r="D1221" s="528"/>
      <c r="E1221" s="535" t="s">
        <v>691</v>
      </c>
      <c r="F1221" s="532" t="s">
        <v>692</v>
      </c>
      <c r="G1221" s="531"/>
      <c r="H1221" s="529">
        <f>H1222</f>
        <v>67200</v>
      </c>
      <c r="I1221" s="529">
        <f>I1222</f>
        <v>0</v>
      </c>
      <c r="J1221" s="529">
        <f>I1221+H1221</f>
        <v>67200</v>
      </c>
      <c r="K1221" s="335"/>
      <c r="L1221" s="530"/>
      <c r="M1221" s="530"/>
      <c r="N1221" s="530"/>
      <c r="O1221" s="335"/>
      <c r="P1221" s="534">
        <f t="shared" si="165"/>
        <v>67200</v>
      </c>
      <c r="Q1221" s="534">
        <f t="shared" si="166"/>
        <v>0</v>
      </c>
      <c r="R1221" s="534">
        <f t="shared" si="167"/>
        <v>67200</v>
      </c>
    </row>
    <row r="1222" spans="2:18" x14ac:dyDescent="0.2">
      <c r="B1222" s="172">
        <f t="shared" si="164"/>
        <v>723</v>
      </c>
      <c r="C1222" s="129"/>
      <c r="D1222" s="129"/>
      <c r="E1222" s="133"/>
      <c r="F1222" s="145" t="s">
        <v>218</v>
      </c>
      <c r="G1222" s="202" t="s">
        <v>341</v>
      </c>
      <c r="H1222" s="543">
        <f>SUM(H1223:H1223)</f>
        <v>67200</v>
      </c>
      <c r="I1222" s="543">
        <f>SUM(I1223:I1223)</f>
        <v>0</v>
      </c>
      <c r="J1222" s="543">
        <f>I1222+H1222</f>
        <v>67200</v>
      </c>
      <c r="K1222" s="334"/>
      <c r="L1222" s="544"/>
      <c r="M1222" s="544"/>
      <c r="N1222" s="544"/>
      <c r="O1222" s="334"/>
      <c r="P1222" s="545">
        <f t="shared" si="165"/>
        <v>67200</v>
      </c>
      <c r="Q1222" s="545">
        <f t="shared" si="166"/>
        <v>0</v>
      </c>
      <c r="R1222" s="545">
        <f t="shared" si="167"/>
        <v>67200</v>
      </c>
    </row>
    <row r="1223" spans="2:18" x14ac:dyDescent="0.2">
      <c r="B1223" s="172">
        <f t="shared" si="164"/>
        <v>724</v>
      </c>
      <c r="C1223" s="129"/>
      <c r="D1223" s="129"/>
      <c r="E1223" s="133"/>
      <c r="F1223" s="130" t="s">
        <v>216</v>
      </c>
      <c r="G1223" s="194" t="s">
        <v>248</v>
      </c>
      <c r="H1223" s="389">
        <v>67200</v>
      </c>
      <c r="I1223" s="389"/>
      <c r="J1223" s="389">
        <f>I1223+H1223</f>
        <v>67200</v>
      </c>
      <c r="K1223" s="334"/>
      <c r="L1223" s="544"/>
      <c r="M1223" s="544"/>
      <c r="N1223" s="544"/>
      <c r="O1223" s="334"/>
      <c r="P1223" s="169">
        <f t="shared" si="165"/>
        <v>67200</v>
      </c>
      <c r="Q1223" s="169">
        <f t="shared" si="166"/>
        <v>0</v>
      </c>
      <c r="R1223" s="169">
        <f t="shared" si="167"/>
        <v>67200</v>
      </c>
    </row>
    <row r="1224" spans="2:18" x14ac:dyDescent="0.2">
      <c r="B1224" s="172">
        <f t="shared" si="164"/>
        <v>725</v>
      </c>
      <c r="C1224" s="129"/>
      <c r="D1224" s="129"/>
      <c r="E1224" s="133"/>
      <c r="F1224" s="145"/>
      <c r="G1224" s="202"/>
      <c r="H1224" s="543"/>
      <c r="I1224" s="543"/>
      <c r="J1224" s="543"/>
      <c r="K1224" s="334"/>
      <c r="L1224" s="544"/>
      <c r="M1224" s="544"/>
      <c r="N1224" s="544"/>
      <c r="O1224" s="334"/>
      <c r="P1224" s="545"/>
      <c r="Q1224" s="545"/>
      <c r="R1224" s="545"/>
    </row>
    <row r="1225" spans="2:18" x14ac:dyDescent="0.2">
      <c r="B1225" s="172">
        <f t="shared" si="164"/>
        <v>726</v>
      </c>
      <c r="C1225" s="129"/>
      <c r="D1225" s="129"/>
      <c r="E1225" s="133"/>
      <c r="F1225" s="519">
        <v>640</v>
      </c>
      <c r="G1225" s="284" t="s">
        <v>376</v>
      </c>
      <c r="H1225" s="423">
        <v>23391</v>
      </c>
      <c r="I1225" s="423"/>
      <c r="J1225" s="423">
        <f>I1225+H1225</f>
        <v>23391</v>
      </c>
      <c r="K1225" s="131"/>
      <c r="L1225" s="427"/>
      <c r="M1225" s="427"/>
      <c r="N1225" s="427"/>
      <c r="O1225" s="131"/>
      <c r="P1225" s="285">
        <f>H1225+L1225</f>
        <v>23391</v>
      </c>
      <c r="Q1225" s="285">
        <f t="shared" ref="Q1225:Q1228" si="168">I1225+M1225</f>
        <v>0</v>
      </c>
      <c r="R1225" s="285">
        <f>Q1225+P1225</f>
        <v>23391</v>
      </c>
    </row>
    <row r="1226" spans="2:18" x14ac:dyDescent="0.2">
      <c r="B1226" s="172">
        <f t="shared" si="164"/>
        <v>727</v>
      </c>
      <c r="C1226" s="129"/>
      <c r="D1226" s="129"/>
      <c r="E1226" s="133"/>
      <c r="F1226" s="519">
        <v>640</v>
      </c>
      <c r="G1226" s="284" t="s">
        <v>377</v>
      </c>
      <c r="H1226" s="423">
        <v>19514</v>
      </c>
      <c r="I1226" s="423"/>
      <c r="J1226" s="423">
        <f>I1226+H1226</f>
        <v>19514</v>
      </c>
      <c r="K1226" s="131"/>
      <c r="L1226" s="427"/>
      <c r="M1226" s="427"/>
      <c r="N1226" s="427"/>
      <c r="O1226" s="131"/>
      <c r="P1226" s="285">
        <f>H1226+L1226</f>
        <v>19514</v>
      </c>
      <c r="Q1226" s="285">
        <f t="shared" si="168"/>
        <v>0</v>
      </c>
      <c r="R1226" s="285">
        <f>Q1226+P1226</f>
        <v>19514</v>
      </c>
    </row>
    <row r="1227" spans="2:18" x14ac:dyDescent="0.2">
      <c r="B1227" s="172">
        <f t="shared" si="164"/>
        <v>728</v>
      </c>
      <c r="C1227" s="129"/>
      <c r="D1227" s="129"/>
      <c r="E1227" s="133"/>
      <c r="F1227" s="519">
        <v>640</v>
      </c>
      <c r="G1227" s="284" t="s">
        <v>509</v>
      </c>
      <c r="H1227" s="423">
        <v>8400</v>
      </c>
      <c r="I1227" s="423"/>
      <c r="J1227" s="423">
        <f>I1227+H1227</f>
        <v>8400</v>
      </c>
      <c r="K1227" s="131"/>
      <c r="L1227" s="427"/>
      <c r="M1227" s="427"/>
      <c r="N1227" s="427"/>
      <c r="O1227" s="131"/>
      <c r="P1227" s="285">
        <f>H1227+L1227</f>
        <v>8400</v>
      </c>
      <c r="Q1227" s="285">
        <f t="shared" si="168"/>
        <v>0</v>
      </c>
      <c r="R1227" s="285">
        <f>Q1227+P1227</f>
        <v>8400</v>
      </c>
    </row>
    <row r="1228" spans="2:18" x14ac:dyDescent="0.2">
      <c r="B1228" s="172">
        <f t="shared" si="164"/>
        <v>729</v>
      </c>
      <c r="C1228" s="129"/>
      <c r="D1228" s="129"/>
      <c r="E1228" s="133"/>
      <c r="F1228" s="519">
        <v>640</v>
      </c>
      <c r="G1228" s="284" t="s">
        <v>510</v>
      </c>
      <c r="H1228" s="423">
        <v>5557</v>
      </c>
      <c r="I1228" s="423"/>
      <c r="J1228" s="423">
        <f>I1228+H1228</f>
        <v>5557</v>
      </c>
      <c r="K1228" s="131"/>
      <c r="L1228" s="427"/>
      <c r="M1228" s="427"/>
      <c r="N1228" s="427"/>
      <c r="O1228" s="131"/>
      <c r="P1228" s="285">
        <f>H1228+L1228</f>
        <v>5557</v>
      </c>
      <c r="Q1228" s="285">
        <f t="shared" si="168"/>
        <v>0</v>
      </c>
      <c r="R1228" s="285">
        <f>Q1228+P1228</f>
        <v>5557</v>
      </c>
    </row>
    <row r="1229" spans="2:18" x14ac:dyDescent="0.2">
      <c r="B1229" s="172">
        <f t="shared" si="164"/>
        <v>730</v>
      </c>
      <c r="C1229" s="129"/>
      <c r="D1229" s="129"/>
      <c r="E1229" s="133"/>
      <c r="F1229" s="133"/>
      <c r="G1229" s="202"/>
      <c r="H1229" s="540"/>
      <c r="I1229" s="540"/>
      <c r="J1229" s="540"/>
      <c r="K1229" s="131"/>
      <c r="L1229" s="141"/>
      <c r="M1229" s="141"/>
      <c r="N1229" s="141"/>
      <c r="O1229" s="131"/>
      <c r="P1229" s="169"/>
      <c r="Q1229" s="169"/>
      <c r="R1229" s="169"/>
    </row>
    <row r="1230" spans="2:18" ht="15.75" x14ac:dyDescent="0.25">
      <c r="B1230" s="172">
        <f t="shared" si="164"/>
        <v>731</v>
      </c>
      <c r="C1230" s="22">
        <v>5</v>
      </c>
      <c r="D1230" s="126" t="s">
        <v>223</v>
      </c>
      <c r="E1230" s="23"/>
      <c r="F1230" s="23"/>
      <c r="G1230" s="193"/>
      <c r="H1230" s="404">
        <f>H1231+H1242+H1246+H1247</f>
        <v>237859</v>
      </c>
      <c r="I1230" s="404">
        <f>I1231+I1242+I1246+I1247</f>
        <v>600</v>
      </c>
      <c r="J1230" s="404">
        <f t="shared" ref="J1230:J1256" si="169">I1230+H1230</f>
        <v>238459</v>
      </c>
      <c r="K1230" s="786"/>
      <c r="L1230" s="198"/>
      <c r="M1230" s="198"/>
      <c r="N1230" s="198"/>
      <c r="O1230" s="786"/>
      <c r="P1230" s="377">
        <f t="shared" ref="P1230:P1256" si="170">H1230+L1230</f>
        <v>237859</v>
      </c>
      <c r="Q1230" s="377">
        <f t="shared" ref="Q1230:Q1256" si="171">I1230+M1230</f>
        <v>600</v>
      </c>
      <c r="R1230" s="377">
        <f t="shared" ref="R1230:R1256" si="172">Q1230+P1230</f>
        <v>238459</v>
      </c>
    </row>
    <row r="1231" spans="2:18" ht="15" x14ac:dyDescent="0.25">
      <c r="B1231" s="172">
        <f t="shared" si="164"/>
        <v>732</v>
      </c>
      <c r="C1231" s="144"/>
      <c r="D1231" s="177"/>
      <c r="E1231" s="527" t="s">
        <v>681</v>
      </c>
      <c r="F1231" s="233" t="s">
        <v>254</v>
      </c>
      <c r="G1231" s="234"/>
      <c r="H1231" s="424">
        <f>H1232+H1233+H1234+H1241</f>
        <v>191430</v>
      </c>
      <c r="I1231" s="424">
        <f>I1232+I1233+I1234+I1241</f>
        <v>600</v>
      </c>
      <c r="J1231" s="424">
        <f t="shared" si="169"/>
        <v>192030</v>
      </c>
      <c r="K1231" s="330"/>
      <c r="L1231" s="420"/>
      <c r="M1231" s="420"/>
      <c r="N1231" s="420"/>
      <c r="O1231" s="330"/>
      <c r="P1231" s="329">
        <f t="shared" si="170"/>
        <v>191430</v>
      </c>
      <c r="Q1231" s="329">
        <f t="shared" si="171"/>
        <v>600</v>
      </c>
      <c r="R1231" s="329">
        <f t="shared" si="172"/>
        <v>192030</v>
      </c>
    </row>
    <row r="1232" spans="2:18" x14ac:dyDescent="0.2">
      <c r="B1232" s="172">
        <f t="shared" si="164"/>
        <v>733</v>
      </c>
      <c r="C1232" s="144"/>
      <c r="D1232" s="145"/>
      <c r="E1232" s="145"/>
      <c r="F1232" s="145" t="s">
        <v>211</v>
      </c>
      <c r="G1232" s="202" t="s">
        <v>506</v>
      </c>
      <c r="H1232" s="543">
        <v>109730</v>
      </c>
      <c r="I1232" s="543">
        <v>-11000</v>
      </c>
      <c r="J1232" s="543">
        <f t="shared" si="169"/>
        <v>98730</v>
      </c>
      <c r="K1232" s="332"/>
      <c r="L1232" s="390"/>
      <c r="M1232" s="390"/>
      <c r="N1232" s="390"/>
      <c r="O1232" s="332"/>
      <c r="P1232" s="167">
        <f t="shared" si="170"/>
        <v>109730</v>
      </c>
      <c r="Q1232" s="167">
        <f t="shared" si="171"/>
        <v>-11000</v>
      </c>
      <c r="R1232" s="167">
        <f t="shared" si="172"/>
        <v>98730</v>
      </c>
    </row>
    <row r="1233" spans="2:18" x14ac:dyDescent="0.2">
      <c r="B1233" s="172">
        <f t="shared" si="164"/>
        <v>734</v>
      </c>
      <c r="C1233" s="144"/>
      <c r="D1233" s="145"/>
      <c r="E1233" s="145"/>
      <c r="F1233" s="145" t="s">
        <v>212</v>
      </c>
      <c r="G1233" s="202" t="s">
        <v>259</v>
      </c>
      <c r="H1233" s="543">
        <v>39950</v>
      </c>
      <c r="I1233" s="543"/>
      <c r="J1233" s="543">
        <f t="shared" si="169"/>
        <v>39950</v>
      </c>
      <c r="K1233" s="332"/>
      <c r="L1233" s="390"/>
      <c r="M1233" s="390"/>
      <c r="N1233" s="390"/>
      <c r="O1233" s="332"/>
      <c r="P1233" s="167">
        <f t="shared" si="170"/>
        <v>39950</v>
      </c>
      <c r="Q1233" s="167">
        <f t="shared" si="171"/>
        <v>0</v>
      </c>
      <c r="R1233" s="167">
        <f t="shared" si="172"/>
        <v>39950</v>
      </c>
    </row>
    <row r="1234" spans="2:18" x14ac:dyDescent="0.2">
      <c r="B1234" s="172">
        <f t="shared" si="164"/>
        <v>735</v>
      </c>
      <c r="C1234" s="144"/>
      <c r="D1234" s="145"/>
      <c r="E1234" s="145"/>
      <c r="F1234" s="145" t="s">
        <v>218</v>
      </c>
      <c r="G1234" s="202" t="s">
        <v>341</v>
      </c>
      <c r="H1234" s="543">
        <f>H1235+H1236+H1237+H1238+H1239+H1240</f>
        <v>38950</v>
      </c>
      <c r="I1234" s="543">
        <f>I1235+I1236+I1237+I1238+I1239+I1240</f>
        <v>11600</v>
      </c>
      <c r="J1234" s="543">
        <f t="shared" si="169"/>
        <v>50550</v>
      </c>
      <c r="K1234" s="332"/>
      <c r="L1234" s="390"/>
      <c r="M1234" s="390"/>
      <c r="N1234" s="390"/>
      <c r="O1234" s="332"/>
      <c r="P1234" s="167">
        <f t="shared" si="170"/>
        <v>38950</v>
      </c>
      <c r="Q1234" s="167">
        <f t="shared" si="171"/>
        <v>11600</v>
      </c>
      <c r="R1234" s="167">
        <f t="shared" si="172"/>
        <v>50550</v>
      </c>
    </row>
    <row r="1235" spans="2:18" x14ac:dyDescent="0.2">
      <c r="B1235" s="172">
        <f t="shared" si="164"/>
        <v>736</v>
      </c>
      <c r="C1235" s="144"/>
      <c r="D1235" s="145"/>
      <c r="E1235" s="145"/>
      <c r="F1235" s="130" t="s">
        <v>199</v>
      </c>
      <c r="G1235" s="194" t="s">
        <v>246</v>
      </c>
      <c r="H1235" s="389">
        <v>2500</v>
      </c>
      <c r="I1235" s="389"/>
      <c r="J1235" s="389">
        <f t="shared" si="169"/>
        <v>2500</v>
      </c>
      <c r="K1235" s="332"/>
      <c r="L1235" s="390"/>
      <c r="M1235" s="390"/>
      <c r="N1235" s="390"/>
      <c r="O1235" s="332"/>
      <c r="P1235" s="168">
        <f t="shared" si="170"/>
        <v>2500</v>
      </c>
      <c r="Q1235" s="168">
        <f t="shared" si="171"/>
        <v>0</v>
      </c>
      <c r="R1235" s="168">
        <f t="shared" si="172"/>
        <v>2500</v>
      </c>
    </row>
    <row r="1236" spans="2:18" x14ac:dyDescent="0.2">
      <c r="B1236" s="172">
        <f t="shared" si="164"/>
        <v>737</v>
      </c>
      <c r="C1236" s="144"/>
      <c r="D1236" s="145"/>
      <c r="E1236" s="145"/>
      <c r="F1236" s="130" t="s">
        <v>200</v>
      </c>
      <c r="G1236" s="194" t="s">
        <v>256</v>
      </c>
      <c r="H1236" s="425">
        <v>4050</v>
      </c>
      <c r="I1236" s="425"/>
      <c r="J1236" s="425">
        <f t="shared" si="169"/>
        <v>4050</v>
      </c>
      <c r="K1236" s="332"/>
      <c r="L1236" s="428"/>
      <c r="M1236" s="428"/>
      <c r="N1236" s="428"/>
      <c r="O1236" s="332"/>
      <c r="P1236" s="169">
        <f t="shared" si="170"/>
        <v>4050</v>
      </c>
      <c r="Q1236" s="169">
        <f t="shared" si="171"/>
        <v>0</v>
      </c>
      <c r="R1236" s="169">
        <f t="shared" si="172"/>
        <v>4050</v>
      </c>
    </row>
    <row r="1237" spans="2:18" x14ac:dyDescent="0.2">
      <c r="B1237" s="172">
        <f t="shared" si="164"/>
        <v>738</v>
      </c>
      <c r="C1237" s="129"/>
      <c r="D1237" s="130"/>
      <c r="E1237" s="130"/>
      <c r="F1237" s="130" t="s">
        <v>201</v>
      </c>
      <c r="G1237" s="194" t="s">
        <v>260</v>
      </c>
      <c r="H1237" s="389">
        <v>6750</v>
      </c>
      <c r="I1237" s="389"/>
      <c r="J1237" s="389">
        <f t="shared" si="169"/>
        <v>6750</v>
      </c>
      <c r="K1237" s="334"/>
      <c r="L1237" s="429"/>
      <c r="M1237" s="429"/>
      <c r="N1237" s="429"/>
      <c r="O1237" s="334"/>
      <c r="P1237" s="267">
        <f t="shared" si="170"/>
        <v>6750</v>
      </c>
      <c r="Q1237" s="267">
        <f t="shared" si="171"/>
        <v>0</v>
      </c>
      <c r="R1237" s="267">
        <f t="shared" si="172"/>
        <v>6750</v>
      </c>
    </row>
    <row r="1238" spans="2:18" x14ac:dyDescent="0.2">
      <c r="B1238" s="172">
        <f t="shared" si="164"/>
        <v>739</v>
      </c>
      <c r="C1238" s="129"/>
      <c r="D1238" s="130"/>
      <c r="E1238" s="130"/>
      <c r="F1238" s="130" t="s">
        <v>214</v>
      </c>
      <c r="G1238" s="194" t="s">
        <v>516</v>
      </c>
      <c r="H1238" s="389">
        <v>1400</v>
      </c>
      <c r="I1238" s="389"/>
      <c r="J1238" s="389">
        <f t="shared" si="169"/>
        <v>1400</v>
      </c>
      <c r="K1238" s="334"/>
      <c r="L1238" s="430"/>
      <c r="M1238" s="430"/>
      <c r="N1238" s="430"/>
      <c r="O1238" s="334"/>
      <c r="P1238" s="168">
        <f t="shared" si="170"/>
        <v>1400</v>
      </c>
      <c r="Q1238" s="168">
        <f t="shared" si="171"/>
        <v>0</v>
      </c>
      <c r="R1238" s="168">
        <f t="shared" si="172"/>
        <v>1400</v>
      </c>
    </row>
    <row r="1239" spans="2:18" x14ac:dyDescent="0.2">
      <c r="B1239" s="172">
        <f t="shared" si="164"/>
        <v>740</v>
      </c>
      <c r="C1239" s="129"/>
      <c r="D1239" s="130"/>
      <c r="E1239" s="130"/>
      <c r="F1239" s="130" t="s">
        <v>215</v>
      </c>
      <c r="G1239" s="194" t="s">
        <v>635</v>
      </c>
      <c r="H1239" s="389">
        <v>2500</v>
      </c>
      <c r="I1239" s="389"/>
      <c r="J1239" s="389">
        <f t="shared" si="169"/>
        <v>2500</v>
      </c>
      <c r="K1239" s="334"/>
      <c r="L1239" s="430"/>
      <c r="M1239" s="430"/>
      <c r="N1239" s="430"/>
      <c r="O1239" s="334"/>
      <c r="P1239" s="168">
        <f t="shared" si="170"/>
        <v>2500</v>
      </c>
      <c r="Q1239" s="168">
        <f t="shared" si="171"/>
        <v>0</v>
      </c>
      <c r="R1239" s="168">
        <f t="shared" si="172"/>
        <v>2500</v>
      </c>
    </row>
    <row r="1240" spans="2:18" x14ac:dyDescent="0.2">
      <c r="B1240" s="172">
        <f t="shared" si="164"/>
        <v>741</v>
      </c>
      <c r="C1240" s="129"/>
      <c r="D1240" s="130"/>
      <c r="E1240" s="130"/>
      <c r="F1240" s="130" t="s">
        <v>216</v>
      </c>
      <c r="G1240" s="194" t="s">
        <v>248</v>
      </c>
      <c r="H1240" s="389">
        <v>21750</v>
      </c>
      <c r="I1240" s="389">
        <v>11600</v>
      </c>
      <c r="J1240" s="389">
        <f t="shared" si="169"/>
        <v>33350</v>
      </c>
      <c r="K1240" s="334"/>
      <c r="L1240" s="430"/>
      <c r="M1240" s="430"/>
      <c r="N1240" s="430"/>
      <c r="O1240" s="334"/>
      <c r="P1240" s="168">
        <f t="shared" si="170"/>
        <v>21750</v>
      </c>
      <c r="Q1240" s="168">
        <f t="shared" si="171"/>
        <v>11600</v>
      </c>
      <c r="R1240" s="168">
        <f t="shared" si="172"/>
        <v>33350</v>
      </c>
    </row>
    <row r="1241" spans="2:18" x14ac:dyDescent="0.2">
      <c r="B1241" s="172">
        <f t="shared" si="164"/>
        <v>742</v>
      </c>
      <c r="C1241" s="144"/>
      <c r="D1241" s="145"/>
      <c r="E1241" s="166"/>
      <c r="F1241" s="282" t="s">
        <v>217</v>
      </c>
      <c r="G1241" s="202" t="s">
        <v>538</v>
      </c>
      <c r="H1241" s="543">
        <v>2800</v>
      </c>
      <c r="I1241" s="543"/>
      <c r="J1241" s="543">
        <f t="shared" si="169"/>
        <v>2800</v>
      </c>
      <c r="K1241" s="332"/>
      <c r="L1241" s="390"/>
      <c r="M1241" s="390"/>
      <c r="N1241" s="390"/>
      <c r="O1241" s="332"/>
      <c r="P1241" s="167">
        <f t="shared" si="170"/>
        <v>2800</v>
      </c>
      <c r="Q1241" s="167">
        <f t="shared" si="171"/>
        <v>0</v>
      </c>
      <c r="R1241" s="167">
        <f t="shared" si="172"/>
        <v>2800</v>
      </c>
    </row>
    <row r="1242" spans="2:18" ht="15" x14ac:dyDescent="0.25">
      <c r="B1242" s="172">
        <f t="shared" si="164"/>
        <v>743</v>
      </c>
      <c r="C1242" s="144"/>
      <c r="D1242" s="177"/>
      <c r="E1242" s="176" t="s">
        <v>253</v>
      </c>
      <c r="F1242" s="149" t="s">
        <v>323</v>
      </c>
      <c r="G1242" s="239"/>
      <c r="H1242" s="416">
        <f>SUM(H1243:H1245)</f>
        <v>3150</v>
      </c>
      <c r="I1242" s="416">
        <f>SUM(I1243:I1245)</f>
        <v>0</v>
      </c>
      <c r="J1242" s="416">
        <f t="shared" si="169"/>
        <v>3150</v>
      </c>
      <c r="K1242" s="330"/>
      <c r="L1242" s="421"/>
      <c r="M1242" s="421"/>
      <c r="N1242" s="421"/>
      <c r="O1242" s="330"/>
      <c r="P1242" s="328">
        <f t="shared" si="170"/>
        <v>3150</v>
      </c>
      <c r="Q1242" s="328">
        <f t="shared" si="171"/>
        <v>0</v>
      </c>
      <c r="R1242" s="328">
        <f t="shared" si="172"/>
        <v>3150</v>
      </c>
    </row>
    <row r="1243" spans="2:18" x14ac:dyDescent="0.2">
      <c r="B1243" s="172">
        <f t="shared" si="164"/>
        <v>744</v>
      </c>
      <c r="C1243" s="129"/>
      <c r="D1243" s="13"/>
      <c r="E1243" s="130"/>
      <c r="F1243" s="130" t="s">
        <v>200</v>
      </c>
      <c r="G1243" s="194" t="s">
        <v>517</v>
      </c>
      <c r="H1243" s="540">
        <v>550</v>
      </c>
      <c r="I1243" s="540"/>
      <c r="J1243" s="540">
        <f t="shared" si="169"/>
        <v>550</v>
      </c>
      <c r="K1243" s="131"/>
      <c r="L1243" s="143"/>
      <c r="M1243" s="143"/>
      <c r="N1243" s="143"/>
      <c r="O1243" s="131"/>
      <c r="P1243" s="168">
        <f t="shared" si="170"/>
        <v>550</v>
      </c>
      <c r="Q1243" s="168">
        <f t="shared" si="171"/>
        <v>0</v>
      </c>
      <c r="R1243" s="168">
        <f t="shared" si="172"/>
        <v>550</v>
      </c>
    </row>
    <row r="1244" spans="2:18" x14ac:dyDescent="0.2">
      <c r="B1244" s="172">
        <f t="shared" si="164"/>
        <v>745</v>
      </c>
      <c r="C1244" s="129"/>
      <c r="D1244" s="13"/>
      <c r="E1244" s="130"/>
      <c r="F1244" s="130" t="s">
        <v>200</v>
      </c>
      <c r="G1244" s="194" t="s">
        <v>518</v>
      </c>
      <c r="H1244" s="540">
        <v>2400</v>
      </c>
      <c r="I1244" s="540"/>
      <c r="J1244" s="540">
        <f t="shared" si="169"/>
        <v>2400</v>
      </c>
      <c r="K1244" s="131"/>
      <c r="L1244" s="143"/>
      <c r="M1244" s="143"/>
      <c r="N1244" s="143"/>
      <c r="O1244" s="131"/>
      <c r="P1244" s="168">
        <f t="shared" si="170"/>
        <v>2400</v>
      </c>
      <c r="Q1244" s="168">
        <f t="shared" si="171"/>
        <v>0</v>
      </c>
      <c r="R1244" s="168">
        <f t="shared" si="172"/>
        <v>2400</v>
      </c>
    </row>
    <row r="1245" spans="2:18" x14ac:dyDescent="0.2">
      <c r="B1245" s="172">
        <f t="shared" si="164"/>
        <v>746</v>
      </c>
      <c r="C1245" s="129"/>
      <c r="D1245" s="13"/>
      <c r="E1245" s="130"/>
      <c r="F1245" s="130" t="s">
        <v>200</v>
      </c>
      <c r="G1245" s="194" t="s">
        <v>519</v>
      </c>
      <c r="H1245" s="540">
        <v>200</v>
      </c>
      <c r="I1245" s="540"/>
      <c r="J1245" s="540">
        <f t="shared" si="169"/>
        <v>200</v>
      </c>
      <c r="K1245" s="131"/>
      <c r="L1245" s="143"/>
      <c r="M1245" s="143"/>
      <c r="N1245" s="143"/>
      <c r="O1245" s="131"/>
      <c r="P1245" s="168">
        <f t="shared" si="170"/>
        <v>200</v>
      </c>
      <c r="Q1245" s="168">
        <f t="shared" si="171"/>
        <v>0</v>
      </c>
      <c r="R1245" s="168">
        <f t="shared" si="172"/>
        <v>200</v>
      </c>
    </row>
    <row r="1246" spans="2:18" ht="15" x14ac:dyDescent="0.25">
      <c r="B1246" s="172">
        <f t="shared" si="164"/>
        <v>747</v>
      </c>
      <c r="C1246" s="129"/>
      <c r="D1246" s="13"/>
      <c r="E1246" s="176" t="s">
        <v>681</v>
      </c>
      <c r="F1246" s="149" t="s">
        <v>324</v>
      </c>
      <c r="G1246" s="239"/>
      <c r="H1246" s="416">
        <v>4500</v>
      </c>
      <c r="I1246" s="416"/>
      <c r="J1246" s="416">
        <f t="shared" si="169"/>
        <v>4500</v>
      </c>
      <c r="K1246" s="335"/>
      <c r="L1246" s="422"/>
      <c r="M1246" s="422"/>
      <c r="N1246" s="422"/>
      <c r="O1246" s="335"/>
      <c r="P1246" s="328">
        <f t="shared" si="170"/>
        <v>4500</v>
      </c>
      <c r="Q1246" s="328">
        <f t="shared" si="171"/>
        <v>0</v>
      </c>
      <c r="R1246" s="328">
        <f t="shared" si="172"/>
        <v>4500</v>
      </c>
    </row>
    <row r="1247" spans="2:18" ht="15" x14ac:dyDescent="0.25">
      <c r="B1247" s="172">
        <f t="shared" si="164"/>
        <v>748</v>
      </c>
      <c r="C1247" s="129"/>
      <c r="D1247" s="177"/>
      <c r="E1247" s="176" t="s">
        <v>253</v>
      </c>
      <c r="F1247" s="149" t="s">
        <v>87</v>
      </c>
      <c r="G1247" s="239"/>
      <c r="H1247" s="416">
        <f>H1248+H1250+H1249</f>
        <v>38779</v>
      </c>
      <c r="I1247" s="416">
        <f>I1248+I1250+I1249</f>
        <v>0</v>
      </c>
      <c r="J1247" s="416">
        <f t="shared" si="169"/>
        <v>38779</v>
      </c>
      <c r="K1247" s="335"/>
      <c r="L1247" s="422"/>
      <c r="M1247" s="422"/>
      <c r="N1247" s="422"/>
      <c r="O1247" s="335"/>
      <c r="P1247" s="328">
        <f t="shared" si="170"/>
        <v>38779</v>
      </c>
      <c r="Q1247" s="328">
        <f t="shared" si="171"/>
        <v>0</v>
      </c>
      <c r="R1247" s="328">
        <f t="shared" si="172"/>
        <v>38779</v>
      </c>
    </row>
    <row r="1248" spans="2:18" x14ac:dyDescent="0.2">
      <c r="B1248" s="172">
        <f t="shared" si="164"/>
        <v>749</v>
      </c>
      <c r="C1248" s="129"/>
      <c r="D1248" s="177"/>
      <c r="E1248" s="145"/>
      <c r="F1248" s="145" t="s">
        <v>211</v>
      </c>
      <c r="G1248" s="202" t="s">
        <v>506</v>
      </c>
      <c r="H1248" s="375">
        <v>22900</v>
      </c>
      <c r="I1248" s="375"/>
      <c r="J1248" s="375">
        <f t="shared" si="169"/>
        <v>22900</v>
      </c>
      <c r="K1248" s="131"/>
      <c r="L1248" s="143"/>
      <c r="M1248" s="143"/>
      <c r="N1248" s="143"/>
      <c r="O1248" s="131"/>
      <c r="P1248" s="167">
        <f t="shared" si="170"/>
        <v>22900</v>
      </c>
      <c r="Q1248" s="167">
        <f t="shared" si="171"/>
        <v>0</v>
      </c>
      <c r="R1248" s="167">
        <f t="shared" si="172"/>
        <v>22900</v>
      </c>
    </row>
    <row r="1249" spans="2:18" x14ac:dyDescent="0.2">
      <c r="B1249" s="172">
        <f t="shared" si="164"/>
        <v>750</v>
      </c>
      <c r="C1249" s="129"/>
      <c r="D1249" s="177"/>
      <c r="E1249" s="145"/>
      <c r="F1249" s="145" t="s">
        <v>212</v>
      </c>
      <c r="G1249" s="202" t="s">
        <v>259</v>
      </c>
      <c r="H1249" s="375">
        <v>8690</v>
      </c>
      <c r="I1249" s="375"/>
      <c r="J1249" s="375">
        <f t="shared" si="169"/>
        <v>8690</v>
      </c>
      <c r="K1249" s="131"/>
      <c r="L1249" s="143"/>
      <c r="M1249" s="143"/>
      <c r="N1249" s="143"/>
      <c r="O1249" s="131"/>
      <c r="P1249" s="167">
        <f t="shared" si="170"/>
        <v>8690</v>
      </c>
      <c r="Q1249" s="167">
        <f t="shared" si="171"/>
        <v>0</v>
      </c>
      <c r="R1249" s="167">
        <f t="shared" si="172"/>
        <v>8690</v>
      </c>
    </row>
    <row r="1250" spans="2:18" x14ac:dyDescent="0.2">
      <c r="B1250" s="172">
        <f t="shared" si="164"/>
        <v>751</v>
      </c>
      <c r="C1250" s="129"/>
      <c r="D1250" s="145"/>
      <c r="E1250" s="145"/>
      <c r="F1250" s="145" t="s">
        <v>218</v>
      </c>
      <c r="G1250" s="202" t="s">
        <v>341</v>
      </c>
      <c r="H1250" s="375">
        <f>SUM(H1251:H1256)</f>
        <v>7189</v>
      </c>
      <c r="I1250" s="375">
        <f>SUM(I1251:I1256)</f>
        <v>0</v>
      </c>
      <c r="J1250" s="375">
        <f t="shared" si="169"/>
        <v>7189</v>
      </c>
      <c r="K1250" s="131"/>
      <c r="L1250" s="143"/>
      <c r="M1250" s="143"/>
      <c r="N1250" s="143"/>
      <c r="O1250" s="131"/>
      <c r="P1250" s="167">
        <f t="shared" si="170"/>
        <v>7189</v>
      </c>
      <c r="Q1250" s="167">
        <f t="shared" si="171"/>
        <v>0</v>
      </c>
      <c r="R1250" s="167">
        <f t="shared" si="172"/>
        <v>7189</v>
      </c>
    </row>
    <row r="1251" spans="2:18" x14ac:dyDescent="0.2">
      <c r="B1251" s="172">
        <f t="shared" si="164"/>
        <v>752</v>
      </c>
      <c r="C1251" s="129"/>
      <c r="D1251" s="145"/>
      <c r="E1251" s="145"/>
      <c r="F1251" s="130" t="s">
        <v>213</v>
      </c>
      <c r="G1251" s="194" t="s">
        <v>255</v>
      </c>
      <c r="H1251" s="540">
        <v>200</v>
      </c>
      <c r="I1251" s="540"/>
      <c r="J1251" s="540">
        <f t="shared" si="169"/>
        <v>200</v>
      </c>
      <c r="L1251" s="143"/>
      <c r="M1251" s="143"/>
      <c r="N1251" s="143"/>
      <c r="P1251" s="168">
        <f t="shared" si="170"/>
        <v>200</v>
      </c>
      <c r="Q1251" s="168">
        <f t="shared" si="171"/>
        <v>0</v>
      </c>
      <c r="R1251" s="168">
        <f t="shared" si="172"/>
        <v>200</v>
      </c>
    </row>
    <row r="1252" spans="2:18" x14ac:dyDescent="0.2">
      <c r="B1252" s="172">
        <f t="shared" si="164"/>
        <v>753</v>
      </c>
      <c r="C1252" s="129"/>
      <c r="D1252" s="145"/>
      <c r="E1252" s="145"/>
      <c r="F1252" s="130" t="s">
        <v>199</v>
      </c>
      <c r="G1252" s="194" t="s">
        <v>246</v>
      </c>
      <c r="H1252" s="540">
        <v>700</v>
      </c>
      <c r="I1252" s="540"/>
      <c r="J1252" s="540">
        <f t="shared" si="169"/>
        <v>700</v>
      </c>
      <c r="L1252" s="143"/>
      <c r="M1252" s="143"/>
      <c r="N1252" s="143"/>
      <c r="P1252" s="168">
        <f t="shared" si="170"/>
        <v>700</v>
      </c>
      <c r="Q1252" s="168">
        <f t="shared" si="171"/>
        <v>0</v>
      </c>
      <c r="R1252" s="168">
        <f t="shared" si="172"/>
        <v>700</v>
      </c>
    </row>
    <row r="1253" spans="2:18" x14ac:dyDescent="0.2">
      <c r="B1253" s="172">
        <f t="shared" si="164"/>
        <v>754</v>
      </c>
      <c r="C1253" s="129"/>
      <c r="D1253" s="145"/>
      <c r="E1253" s="145"/>
      <c r="F1253" s="130" t="s">
        <v>200</v>
      </c>
      <c r="G1253" s="194" t="s">
        <v>256</v>
      </c>
      <c r="H1253" s="540">
        <v>3175</v>
      </c>
      <c r="I1253" s="540"/>
      <c r="J1253" s="540">
        <f t="shared" si="169"/>
        <v>3175</v>
      </c>
      <c r="L1253" s="143"/>
      <c r="M1253" s="143"/>
      <c r="N1253" s="143"/>
      <c r="P1253" s="168">
        <f t="shared" si="170"/>
        <v>3175</v>
      </c>
      <c r="Q1253" s="168">
        <f t="shared" si="171"/>
        <v>0</v>
      </c>
      <c r="R1253" s="168">
        <f t="shared" si="172"/>
        <v>3175</v>
      </c>
    </row>
    <row r="1254" spans="2:18" x14ac:dyDescent="0.2">
      <c r="B1254" s="172">
        <f t="shared" si="164"/>
        <v>755</v>
      </c>
      <c r="C1254" s="129"/>
      <c r="D1254" s="145"/>
      <c r="E1254" s="130"/>
      <c r="F1254" s="130" t="s">
        <v>214</v>
      </c>
      <c r="G1254" s="194" t="s">
        <v>261</v>
      </c>
      <c r="H1254" s="540">
        <v>375</v>
      </c>
      <c r="I1254" s="540"/>
      <c r="J1254" s="540">
        <f t="shared" si="169"/>
        <v>375</v>
      </c>
      <c r="L1254" s="143"/>
      <c r="M1254" s="143"/>
      <c r="N1254" s="143"/>
      <c r="P1254" s="168">
        <f t="shared" si="170"/>
        <v>375</v>
      </c>
      <c r="Q1254" s="168">
        <f t="shared" si="171"/>
        <v>0</v>
      </c>
      <c r="R1254" s="168">
        <f t="shared" si="172"/>
        <v>375</v>
      </c>
    </row>
    <row r="1255" spans="2:18" x14ac:dyDescent="0.2">
      <c r="B1255" s="635">
        <f t="shared" si="164"/>
        <v>756</v>
      </c>
      <c r="C1255" s="664"/>
      <c r="D1255" s="670"/>
      <c r="E1255" s="671"/>
      <c r="F1255" s="671" t="s">
        <v>216</v>
      </c>
      <c r="G1255" s="665" t="s">
        <v>248</v>
      </c>
      <c r="H1255" s="541">
        <v>2000</v>
      </c>
      <c r="I1255" s="541"/>
      <c r="J1255" s="541">
        <f t="shared" si="169"/>
        <v>2000</v>
      </c>
      <c r="L1255" s="143"/>
      <c r="M1255" s="143"/>
      <c r="N1255" s="143"/>
      <c r="P1255" s="168">
        <f t="shared" si="170"/>
        <v>2000</v>
      </c>
      <c r="Q1255" s="168">
        <f t="shared" si="171"/>
        <v>0</v>
      </c>
      <c r="R1255" s="168">
        <f t="shared" si="172"/>
        <v>2000</v>
      </c>
    </row>
    <row r="1256" spans="2:18" ht="13.5" thickBot="1" x14ac:dyDescent="0.25">
      <c r="B1256" s="339">
        <f t="shared" si="164"/>
        <v>757</v>
      </c>
      <c r="C1256" s="214"/>
      <c r="D1256" s="498"/>
      <c r="E1256" s="499"/>
      <c r="F1256" s="499" t="s">
        <v>218</v>
      </c>
      <c r="G1256" s="500" t="s">
        <v>794</v>
      </c>
      <c r="H1256" s="372">
        <v>739</v>
      </c>
      <c r="I1256" s="372"/>
      <c r="J1256" s="372">
        <f t="shared" si="169"/>
        <v>739</v>
      </c>
      <c r="L1256" s="142"/>
      <c r="M1256" s="142"/>
      <c r="N1256" s="142"/>
      <c r="P1256" s="217">
        <f t="shared" si="170"/>
        <v>739</v>
      </c>
      <c r="Q1256" s="217">
        <f t="shared" si="171"/>
        <v>0</v>
      </c>
      <c r="R1256" s="217">
        <f t="shared" si="172"/>
        <v>739</v>
      </c>
    </row>
    <row r="1300" spans="2:18" ht="27.75" thickBot="1" x14ac:dyDescent="0.4">
      <c r="B1300" s="246" t="s">
        <v>594</v>
      </c>
      <c r="C1300" s="246"/>
      <c r="D1300" s="246"/>
      <c r="E1300" s="246"/>
      <c r="F1300" s="246"/>
      <c r="G1300" s="246"/>
      <c r="H1300" s="246"/>
      <c r="I1300" s="246"/>
      <c r="J1300" s="246"/>
      <c r="K1300" s="246"/>
      <c r="L1300" s="246"/>
      <c r="M1300" s="246"/>
      <c r="N1300" s="246"/>
      <c r="O1300" s="246"/>
      <c r="P1300" s="246"/>
    </row>
    <row r="1301" spans="2:18" ht="13.5" customHeight="1" thickBot="1" x14ac:dyDescent="0.25">
      <c r="B1301" s="874" t="s">
        <v>632</v>
      </c>
      <c r="C1301" s="875"/>
      <c r="D1301" s="875"/>
      <c r="E1301" s="875"/>
      <c r="F1301" s="875"/>
      <c r="G1301" s="875"/>
      <c r="H1301" s="875"/>
      <c r="I1301" s="875"/>
      <c r="J1301" s="875"/>
      <c r="K1301" s="875"/>
      <c r="L1301" s="875"/>
      <c r="M1301" s="875"/>
      <c r="N1301" s="876"/>
      <c r="O1301" s="787"/>
      <c r="P1301" s="867" t="s">
        <v>724</v>
      </c>
      <c r="Q1301" s="867" t="s">
        <v>842</v>
      </c>
      <c r="R1301" s="867" t="s">
        <v>724</v>
      </c>
    </row>
    <row r="1302" spans="2:18" ht="13.5" customHeight="1" thickTop="1" x14ac:dyDescent="0.2">
      <c r="B1302" s="523"/>
      <c r="C1302" s="863" t="s">
        <v>478</v>
      </c>
      <c r="D1302" s="863" t="s">
        <v>477</v>
      </c>
      <c r="E1302" s="863" t="s">
        <v>475</v>
      </c>
      <c r="F1302" s="863" t="s">
        <v>476</v>
      </c>
      <c r="G1302" s="877" t="s">
        <v>3</v>
      </c>
      <c r="H1302" s="870" t="s">
        <v>725</v>
      </c>
      <c r="I1302" s="870" t="s">
        <v>842</v>
      </c>
      <c r="J1302" s="870" t="s">
        <v>725</v>
      </c>
      <c r="K1302" s="790"/>
      <c r="L1302" s="872" t="s">
        <v>726</v>
      </c>
      <c r="M1302" s="872" t="s">
        <v>842</v>
      </c>
      <c r="N1302" s="872" t="s">
        <v>726</v>
      </c>
      <c r="O1302" s="781"/>
      <c r="P1302" s="868"/>
      <c r="Q1302" s="868"/>
      <c r="R1302" s="868"/>
    </row>
    <row r="1303" spans="2:18" ht="53.25" customHeight="1" thickBot="1" x14ac:dyDescent="0.25">
      <c r="B1303" s="523"/>
      <c r="C1303" s="864"/>
      <c r="D1303" s="864"/>
      <c r="E1303" s="864"/>
      <c r="F1303" s="864"/>
      <c r="G1303" s="878"/>
      <c r="H1303" s="871"/>
      <c r="I1303" s="871"/>
      <c r="J1303" s="871"/>
      <c r="K1303" s="790"/>
      <c r="L1303" s="873"/>
      <c r="M1303" s="873"/>
      <c r="N1303" s="873"/>
      <c r="O1303" s="781"/>
      <c r="P1303" s="869"/>
      <c r="Q1303" s="869"/>
      <c r="R1303" s="869"/>
    </row>
    <row r="1304" spans="2:18" ht="19.5" thickTop="1" thickBot="1" x14ac:dyDescent="0.25">
      <c r="B1304" s="646">
        <v>1</v>
      </c>
      <c r="C1304" s="124" t="s">
        <v>595</v>
      </c>
      <c r="D1304" s="110"/>
      <c r="E1304" s="110"/>
      <c r="F1304" s="110"/>
      <c r="G1304" s="192"/>
      <c r="H1304" s="442">
        <f>H1305+H1306+H1316+H1363</f>
        <v>1336800</v>
      </c>
      <c r="I1304" s="442">
        <f>I1305+I1306+I1316+I1363</f>
        <v>-83500</v>
      </c>
      <c r="J1304" s="442">
        <f t="shared" ref="J1304:J1314" si="173">I1304+H1304</f>
        <v>1253300</v>
      </c>
      <c r="K1304" s="783"/>
      <c r="L1304" s="396">
        <f>L1305+L1306+L1316+L1363</f>
        <v>70600</v>
      </c>
      <c r="M1304" s="396">
        <f>M1305+M1306+M1315+M1362</f>
        <v>0</v>
      </c>
      <c r="N1304" s="396">
        <f>M1304+L1304</f>
        <v>70600</v>
      </c>
      <c r="O1304" s="783"/>
      <c r="P1304" s="359">
        <f t="shared" ref="P1304:P1339" si="174">H1304+L1304</f>
        <v>1407400</v>
      </c>
      <c r="Q1304" s="778">
        <f t="shared" ref="Q1304:Q1314" si="175">I1304+M1304</f>
        <v>-83500</v>
      </c>
      <c r="R1304" s="778">
        <f t="shared" ref="R1304:R1314" si="176">Q1304+P1304</f>
        <v>1323900</v>
      </c>
    </row>
    <row r="1305" spans="2:18" ht="16.5" thickTop="1" x14ac:dyDescent="0.25">
      <c r="B1305" s="135">
        <f>B1304+1</f>
        <v>2</v>
      </c>
      <c r="C1305" s="22">
        <v>1</v>
      </c>
      <c r="D1305" s="126" t="s">
        <v>110</v>
      </c>
      <c r="E1305" s="23"/>
      <c r="F1305" s="23"/>
      <c r="G1305" s="193"/>
      <c r="H1305" s="401">
        <v>0</v>
      </c>
      <c r="I1305" s="414"/>
      <c r="J1305" s="414">
        <f t="shared" si="173"/>
        <v>0</v>
      </c>
      <c r="K1305" s="784"/>
      <c r="L1305" s="391">
        <v>0</v>
      </c>
      <c r="M1305" s="391">
        <v>0</v>
      </c>
      <c r="N1305" s="391">
        <f>M1305+L1305</f>
        <v>0</v>
      </c>
      <c r="O1305" s="784"/>
      <c r="P1305" s="360">
        <f t="shared" si="174"/>
        <v>0</v>
      </c>
      <c r="Q1305" s="360">
        <f t="shared" si="175"/>
        <v>0</v>
      </c>
      <c r="R1305" s="360">
        <f t="shared" si="176"/>
        <v>0</v>
      </c>
    </row>
    <row r="1306" spans="2:18" ht="15.75" x14ac:dyDescent="0.25">
      <c r="B1306" s="135">
        <f t="shared" ref="B1306:B1368" si="177">B1305+1</f>
        <v>3</v>
      </c>
      <c r="C1306" s="20">
        <v>2</v>
      </c>
      <c r="D1306" s="125" t="s">
        <v>111</v>
      </c>
      <c r="E1306" s="21"/>
      <c r="F1306" s="21"/>
      <c r="G1306" s="195"/>
      <c r="H1306" s="402">
        <f>SUM(H1307:H1315)</f>
        <v>56500</v>
      </c>
      <c r="I1306" s="404">
        <f>SUM(I1307:I1314)</f>
        <v>0</v>
      </c>
      <c r="J1306" s="404">
        <f t="shared" si="173"/>
        <v>56500</v>
      </c>
      <c r="K1306" s="785"/>
      <c r="L1306" s="366">
        <v>0</v>
      </c>
      <c r="M1306" s="366">
        <v>0</v>
      </c>
      <c r="N1306" s="366">
        <f>M1306+L1306</f>
        <v>0</v>
      </c>
      <c r="O1306" s="785"/>
      <c r="P1306" s="360">
        <f t="shared" si="174"/>
        <v>56500</v>
      </c>
      <c r="Q1306" s="360">
        <f t="shared" si="175"/>
        <v>0</v>
      </c>
      <c r="R1306" s="360">
        <f t="shared" si="176"/>
        <v>56500</v>
      </c>
    </row>
    <row r="1307" spans="2:18" x14ac:dyDescent="0.2">
      <c r="B1307" s="135">
        <f t="shared" si="177"/>
        <v>4</v>
      </c>
      <c r="C1307" s="129"/>
      <c r="D1307" s="129"/>
      <c r="E1307" s="130" t="s">
        <v>252</v>
      </c>
      <c r="F1307" s="463">
        <v>640</v>
      </c>
      <c r="G1307" s="215" t="s">
        <v>111</v>
      </c>
      <c r="H1307" s="540">
        <v>25000</v>
      </c>
      <c r="I1307" s="540"/>
      <c r="J1307" s="540">
        <f t="shared" si="173"/>
        <v>25000</v>
      </c>
      <c r="K1307" s="131"/>
      <c r="L1307" s="540"/>
      <c r="M1307" s="540"/>
      <c r="N1307" s="540"/>
      <c r="O1307" s="131"/>
      <c r="P1307" s="461">
        <f t="shared" si="174"/>
        <v>25000</v>
      </c>
      <c r="Q1307" s="461">
        <f t="shared" si="175"/>
        <v>0</v>
      </c>
      <c r="R1307" s="461">
        <f t="shared" si="176"/>
        <v>25000</v>
      </c>
    </row>
    <row r="1308" spans="2:18" x14ac:dyDescent="0.2">
      <c r="B1308" s="135">
        <f t="shared" si="177"/>
        <v>5</v>
      </c>
      <c r="C1308" s="129"/>
      <c r="D1308" s="129"/>
      <c r="E1308" s="130" t="s">
        <v>252</v>
      </c>
      <c r="F1308" s="463">
        <v>640</v>
      </c>
      <c r="G1308" s="215" t="s">
        <v>593</v>
      </c>
      <c r="H1308" s="540">
        <v>5000</v>
      </c>
      <c r="I1308" s="540"/>
      <c r="J1308" s="540">
        <f t="shared" si="173"/>
        <v>5000</v>
      </c>
      <c r="K1308" s="131"/>
      <c r="L1308" s="540"/>
      <c r="M1308" s="540"/>
      <c r="N1308" s="540"/>
      <c r="O1308" s="131"/>
      <c r="P1308" s="461">
        <f t="shared" si="174"/>
        <v>5000</v>
      </c>
      <c r="Q1308" s="461">
        <f t="shared" si="175"/>
        <v>0</v>
      </c>
      <c r="R1308" s="461">
        <f t="shared" si="176"/>
        <v>5000</v>
      </c>
    </row>
    <row r="1309" spans="2:18" x14ac:dyDescent="0.2">
      <c r="B1309" s="135">
        <f t="shared" si="177"/>
        <v>6</v>
      </c>
      <c r="C1309" s="129"/>
      <c r="D1309" s="129"/>
      <c r="E1309" s="130" t="s">
        <v>252</v>
      </c>
      <c r="F1309" s="463">
        <v>640</v>
      </c>
      <c r="G1309" s="215" t="s">
        <v>597</v>
      </c>
      <c r="H1309" s="540">
        <v>8500</v>
      </c>
      <c r="I1309" s="540"/>
      <c r="J1309" s="540">
        <f t="shared" si="173"/>
        <v>8500</v>
      </c>
      <c r="K1309" s="131"/>
      <c r="L1309" s="540"/>
      <c r="M1309" s="540"/>
      <c r="N1309" s="540"/>
      <c r="O1309" s="131"/>
      <c r="P1309" s="461">
        <f t="shared" si="174"/>
        <v>8500</v>
      </c>
      <c r="Q1309" s="461">
        <f t="shared" si="175"/>
        <v>0</v>
      </c>
      <c r="R1309" s="461">
        <f t="shared" si="176"/>
        <v>8500</v>
      </c>
    </row>
    <row r="1310" spans="2:18" ht="18" customHeight="1" x14ac:dyDescent="0.2">
      <c r="B1310" s="135">
        <f t="shared" si="177"/>
        <v>7</v>
      </c>
      <c r="C1310" s="466"/>
      <c r="D1310" s="476"/>
      <c r="E1310" s="463" t="s">
        <v>263</v>
      </c>
      <c r="F1310" s="463">
        <v>640</v>
      </c>
      <c r="G1310" s="468" t="s">
        <v>825</v>
      </c>
      <c r="H1310" s="546">
        <v>1500</v>
      </c>
      <c r="I1310" s="546"/>
      <c r="J1310" s="546">
        <f t="shared" si="173"/>
        <v>1500</v>
      </c>
      <c r="K1310" s="459"/>
      <c r="L1310" s="547"/>
      <c r="M1310" s="547"/>
      <c r="N1310" s="547"/>
      <c r="O1310" s="459"/>
      <c r="P1310" s="501">
        <f t="shared" si="174"/>
        <v>1500</v>
      </c>
      <c r="Q1310" s="501">
        <f t="shared" si="175"/>
        <v>0</v>
      </c>
      <c r="R1310" s="501">
        <f t="shared" si="176"/>
        <v>1500</v>
      </c>
    </row>
    <row r="1311" spans="2:18" ht="21" customHeight="1" x14ac:dyDescent="0.2">
      <c r="B1311" s="135">
        <f t="shared" si="177"/>
        <v>8</v>
      </c>
      <c r="C1311" s="466"/>
      <c r="D1311" s="476"/>
      <c r="E1311" s="463" t="s">
        <v>263</v>
      </c>
      <c r="F1311" s="463">
        <v>640</v>
      </c>
      <c r="G1311" s="489" t="s">
        <v>576</v>
      </c>
      <c r="H1311" s="546">
        <v>3000</v>
      </c>
      <c r="I1311" s="546"/>
      <c r="J1311" s="546">
        <f t="shared" si="173"/>
        <v>3000</v>
      </c>
      <c r="K1311" s="459"/>
      <c r="L1311" s="547"/>
      <c r="M1311" s="547"/>
      <c r="N1311" s="547"/>
      <c r="O1311" s="459"/>
      <c r="P1311" s="501">
        <f t="shared" si="174"/>
        <v>3000</v>
      </c>
      <c r="Q1311" s="501">
        <f t="shared" si="175"/>
        <v>0</v>
      </c>
      <c r="R1311" s="501">
        <f t="shared" si="176"/>
        <v>3000</v>
      </c>
    </row>
    <row r="1312" spans="2:18" ht="20.25" customHeight="1" x14ac:dyDescent="0.2">
      <c r="B1312" s="135">
        <f t="shared" si="177"/>
        <v>9</v>
      </c>
      <c r="C1312" s="466"/>
      <c r="D1312" s="476"/>
      <c r="E1312" s="463" t="s">
        <v>263</v>
      </c>
      <c r="F1312" s="463">
        <v>640</v>
      </c>
      <c r="G1312" s="489" t="s">
        <v>741</v>
      </c>
      <c r="H1312" s="546">
        <v>2000</v>
      </c>
      <c r="I1312" s="546"/>
      <c r="J1312" s="546">
        <f t="shared" si="173"/>
        <v>2000</v>
      </c>
      <c r="K1312" s="459"/>
      <c r="L1312" s="547"/>
      <c r="M1312" s="547"/>
      <c r="N1312" s="547"/>
      <c r="O1312" s="459"/>
      <c r="P1312" s="501">
        <f t="shared" si="174"/>
        <v>2000</v>
      </c>
      <c r="Q1312" s="501">
        <f t="shared" si="175"/>
        <v>0</v>
      </c>
      <c r="R1312" s="501">
        <f t="shared" si="176"/>
        <v>2000</v>
      </c>
    </row>
    <row r="1313" spans="2:18" ht="21" customHeight="1" x14ac:dyDescent="0.2">
      <c r="B1313" s="135">
        <f t="shared" si="177"/>
        <v>10</v>
      </c>
      <c r="C1313" s="466"/>
      <c r="D1313" s="476"/>
      <c r="E1313" s="463" t="s">
        <v>263</v>
      </c>
      <c r="F1313" s="463">
        <v>640</v>
      </c>
      <c r="G1313" s="489" t="s">
        <v>742</v>
      </c>
      <c r="H1313" s="546">
        <v>2000</v>
      </c>
      <c r="I1313" s="546"/>
      <c r="J1313" s="546">
        <f t="shared" si="173"/>
        <v>2000</v>
      </c>
      <c r="K1313" s="459"/>
      <c r="L1313" s="547"/>
      <c r="M1313" s="547"/>
      <c r="N1313" s="547"/>
      <c r="O1313" s="459"/>
      <c r="P1313" s="501">
        <f t="shared" si="174"/>
        <v>2000</v>
      </c>
      <c r="Q1313" s="501">
        <f t="shared" si="175"/>
        <v>0</v>
      </c>
      <c r="R1313" s="501">
        <f t="shared" si="176"/>
        <v>2000</v>
      </c>
    </row>
    <row r="1314" spans="2:18" ht="33.75" x14ac:dyDescent="0.2">
      <c r="B1314" s="749">
        <f t="shared" si="177"/>
        <v>11</v>
      </c>
      <c r="C1314" s="466"/>
      <c r="D1314" s="476"/>
      <c r="E1314" s="463" t="s">
        <v>263</v>
      </c>
      <c r="F1314" s="463">
        <v>640</v>
      </c>
      <c r="G1314" s="489" t="s">
        <v>823</v>
      </c>
      <c r="H1314" s="546">
        <v>8000</v>
      </c>
      <c r="I1314" s="546"/>
      <c r="J1314" s="546">
        <f t="shared" si="173"/>
        <v>8000</v>
      </c>
      <c r="K1314" s="459"/>
      <c r="L1314" s="547"/>
      <c r="M1314" s="547"/>
      <c r="N1314" s="547"/>
      <c r="O1314" s="459"/>
      <c r="P1314" s="501">
        <f t="shared" si="174"/>
        <v>8000</v>
      </c>
      <c r="Q1314" s="501">
        <f t="shared" si="175"/>
        <v>0</v>
      </c>
      <c r="R1314" s="501">
        <f t="shared" si="176"/>
        <v>8000</v>
      </c>
    </row>
    <row r="1315" spans="2:18" ht="22.5" x14ac:dyDescent="0.2">
      <c r="B1315" s="749">
        <f t="shared" si="177"/>
        <v>12</v>
      </c>
      <c r="C1315" s="466"/>
      <c r="D1315" s="476"/>
      <c r="E1315" s="470" t="s">
        <v>263</v>
      </c>
      <c r="F1315" s="470">
        <v>640</v>
      </c>
      <c r="G1315" s="489" t="s">
        <v>824</v>
      </c>
      <c r="H1315" s="546">
        <v>1500</v>
      </c>
      <c r="I1315" s="546"/>
      <c r="J1315" s="546">
        <f t="shared" ref="J1315" si="178">I1315+H1315</f>
        <v>1500</v>
      </c>
      <c r="K1315" s="459"/>
      <c r="L1315" s="547"/>
      <c r="M1315" s="547"/>
      <c r="N1315" s="547"/>
      <c r="O1315" s="459"/>
      <c r="P1315" s="501">
        <f t="shared" si="174"/>
        <v>1500</v>
      </c>
      <c r="Q1315" s="501">
        <f t="shared" ref="Q1315:Q1339" si="179">I1315+M1315</f>
        <v>0</v>
      </c>
      <c r="R1315" s="501">
        <f t="shared" ref="R1315:R1339" si="180">Q1315+P1315</f>
        <v>1500</v>
      </c>
    </row>
    <row r="1316" spans="2:18" ht="15.75" x14ac:dyDescent="0.25">
      <c r="B1316" s="135">
        <f t="shared" si="177"/>
        <v>13</v>
      </c>
      <c r="C1316" s="22">
        <v>3</v>
      </c>
      <c r="D1316" s="126" t="s">
        <v>143</v>
      </c>
      <c r="E1316" s="23"/>
      <c r="F1316" s="23"/>
      <c r="G1316" s="193"/>
      <c r="H1316" s="402">
        <f>H1317+H1320+H1329+H1345+H1361</f>
        <v>1220300</v>
      </c>
      <c r="I1316" s="404">
        <f>I1317+I1320+I1329+I1345+I1361</f>
        <v>-83500</v>
      </c>
      <c r="J1316" s="404">
        <f t="shared" ref="J1316:J1327" si="181">I1316+H1316</f>
        <v>1136800</v>
      </c>
      <c r="K1316" s="784"/>
      <c r="L1316" s="368">
        <f>L1317+L1320+L1329+L1345</f>
        <v>62600</v>
      </c>
      <c r="M1316" s="368">
        <f>M1317+M1320+M1329+M1345</f>
        <v>0</v>
      </c>
      <c r="N1316" s="368">
        <f>M1316+L1316</f>
        <v>62600</v>
      </c>
      <c r="O1316" s="784"/>
      <c r="P1316" s="360">
        <f t="shared" si="174"/>
        <v>1282900</v>
      </c>
      <c r="Q1316" s="360">
        <f t="shared" si="179"/>
        <v>-83500</v>
      </c>
      <c r="R1316" s="360">
        <f t="shared" si="180"/>
        <v>1199400</v>
      </c>
    </row>
    <row r="1317" spans="2:18" x14ac:dyDescent="0.2">
      <c r="B1317" s="135">
        <f t="shared" si="177"/>
        <v>14</v>
      </c>
      <c r="C1317" s="75"/>
      <c r="D1317" s="200" t="s">
        <v>4</v>
      </c>
      <c r="E1317" s="219" t="s">
        <v>112</v>
      </c>
      <c r="F1317" s="219"/>
      <c r="G1317" s="220"/>
      <c r="H1317" s="364">
        <f>SUM(H1318:H1319)</f>
        <v>161300</v>
      </c>
      <c r="I1317" s="364">
        <f>SUM(I1318:I1319)</f>
        <v>0</v>
      </c>
      <c r="J1317" s="364">
        <f t="shared" si="181"/>
        <v>161300</v>
      </c>
      <c r="K1317" s="131"/>
      <c r="L1317" s="392">
        <v>0</v>
      </c>
      <c r="M1317" s="392"/>
      <c r="N1317" s="392">
        <f>M1317+L1317</f>
        <v>0</v>
      </c>
      <c r="O1317" s="131"/>
      <c r="P1317" s="211">
        <f t="shared" si="174"/>
        <v>161300</v>
      </c>
      <c r="Q1317" s="211">
        <f t="shared" si="179"/>
        <v>0</v>
      </c>
      <c r="R1317" s="211">
        <f t="shared" si="180"/>
        <v>161300</v>
      </c>
    </row>
    <row r="1318" spans="2:18" x14ac:dyDescent="0.2">
      <c r="B1318" s="135">
        <f t="shared" si="177"/>
        <v>15</v>
      </c>
      <c r="C1318" s="129"/>
      <c r="D1318" s="129"/>
      <c r="E1318" s="133" t="s">
        <v>263</v>
      </c>
      <c r="F1318" s="351">
        <v>636</v>
      </c>
      <c r="G1318" s="472" t="s">
        <v>708</v>
      </c>
      <c r="H1318" s="388">
        <v>160000</v>
      </c>
      <c r="I1318" s="388"/>
      <c r="J1318" s="388">
        <f t="shared" si="181"/>
        <v>160000</v>
      </c>
      <c r="K1318" s="131"/>
      <c r="L1318" s="540"/>
      <c r="M1318" s="540"/>
      <c r="N1318" s="540"/>
      <c r="O1318" s="131"/>
      <c r="P1318" s="542">
        <f t="shared" si="174"/>
        <v>160000</v>
      </c>
      <c r="Q1318" s="542">
        <f t="shared" si="179"/>
        <v>0</v>
      </c>
      <c r="R1318" s="542">
        <f t="shared" si="180"/>
        <v>160000</v>
      </c>
    </row>
    <row r="1319" spans="2:18" x14ac:dyDescent="0.2">
      <c r="B1319" s="135">
        <f t="shared" si="177"/>
        <v>16</v>
      </c>
      <c r="C1319" s="129"/>
      <c r="D1319" s="129"/>
      <c r="E1319" s="133" t="s">
        <v>263</v>
      </c>
      <c r="F1319" s="351">
        <v>637</v>
      </c>
      <c r="G1319" s="472" t="s">
        <v>304</v>
      </c>
      <c r="H1319" s="388">
        <v>1300</v>
      </c>
      <c r="I1319" s="388"/>
      <c r="J1319" s="388">
        <f t="shared" si="181"/>
        <v>1300</v>
      </c>
      <c r="K1319" s="131"/>
      <c r="L1319" s="540"/>
      <c r="M1319" s="540"/>
      <c r="N1319" s="540"/>
      <c r="O1319" s="131"/>
      <c r="P1319" s="542">
        <f t="shared" si="174"/>
        <v>1300</v>
      </c>
      <c r="Q1319" s="542">
        <f t="shared" si="179"/>
        <v>0</v>
      </c>
      <c r="R1319" s="542">
        <f t="shared" si="180"/>
        <v>1300</v>
      </c>
    </row>
    <row r="1320" spans="2:18" x14ac:dyDescent="0.2">
      <c r="B1320" s="135">
        <f t="shared" si="177"/>
        <v>17</v>
      </c>
      <c r="C1320" s="75"/>
      <c r="D1320" s="200" t="s">
        <v>5</v>
      </c>
      <c r="E1320" s="219" t="s">
        <v>113</v>
      </c>
      <c r="F1320" s="219"/>
      <c r="G1320" s="220"/>
      <c r="H1320" s="364">
        <f>SUM(H1321:H1328)</f>
        <v>204200</v>
      </c>
      <c r="I1320" s="364">
        <f>SUM(I1321:I1328)</f>
        <v>0</v>
      </c>
      <c r="J1320" s="364">
        <f t="shared" si="181"/>
        <v>204200</v>
      </c>
      <c r="K1320" s="131"/>
      <c r="L1320" s="392">
        <f>L1328</f>
        <v>17000</v>
      </c>
      <c r="M1320" s="392">
        <f>M1328</f>
        <v>0</v>
      </c>
      <c r="N1320" s="392">
        <f>M1320+L1320</f>
        <v>17000</v>
      </c>
      <c r="O1320" s="131"/>
      <c r="P1320" s="211">
        <f t="shared" si="174"/>
        <v>221200</v>
      </c>
      <c r="Q1320" s="211">
        <f t="shared" si="179"/>
        <v>0</v>
      </c>
      <c r="R1320" s="211">
        <f t="shared" si="180"/>
        <v>221200</v>
      </c>
    </row>
    <row r="1321" spans="2:18" ht="22.5" x14ac:dyDescent="0.2">
      <c r="B1321" s="135">
        <f t="shared" si="177"/>
        <v>18</v>
      </c>
      <c r="C1321" s="466"/>
      <c r="D1321" s="466"/>
      <c r="E1321" s="463" t="s">
        <v>263</v>
      </c>
      <c r="F1321" s="557">
        <v>640</v>
      </c>
      <c r="G1321" s="468" t="s">
        <v>580</v>
      </c>
      <c r="H1321" s="549">
        <v>160000</v>
      </c>
      <c r="I1321" s="549"/>
      <c r="J1321" s="549">
        <f t="shared" si="181"/>
        <v>160000</v>
      </c>
      <c r="K1321" s="459"/>
      <c r="L1321" s="546"/>
      <c r="M1321" s="546"/>
      <c r="N1321" s="546"/>
      <c r="O1321" s="459"/>
      <c r="P1321" s="467">
        <f t="shared" si="174"/>
        <v>160000</v>
      </c>
      <c r="Q1321" s="467">
        <f t="shared" si="179"/>
        <v>0</v>
      </c>
      <c r="R1321" s="467">
        <f t="shared" si="180"/>
        <v>160000</v>
      </c>
    </row>
    <row r="1322" spans="2:18" x14ac:dyDescent="0.2">
      <c r="B1322" s="135">
        <f t="shared" si="177"/>
        <v>19</v>
      </c>
      <c r="C1322" s="466"/>
      <c r="D1322" s="466"/>
      <c r="E1322" s="463" t="s">
        <v>263</v>
      </c>
      <c r="F1322" s="557">
        <v>636</v>
      </c>
      <c r="G1322" s="468" t="s">
        <v>709</v>
      </c>
      <c r="H1322" s="549">
        <v>40000</v>
      </c>
      <c r="I1322" s="549"/>
      <c r="J1322" s="549">
        <f t="shared" si="181"/>
        <v>40000</v>
      </c>
      <c r="K1322" s="459"/>
      <c r="L1322" s="546"/>
      <c r="M1322" s="546"/>
      <c r="N1322" s="546"/>
      <c r="O1322" s="459"/>
      <c r="P1322" s="467">
        <f t="shared" si="174"/>
        <v>40000</v>
      </c>
      <c r="Q1322" s="467">
        <f t="shared" si="179"/>
        <v>0</v>
      </c>
      <c r="R1322" s="467">
        <f t="shared" si="180"/>
        <v>40000</v>
      </c>
    </row>
    <row r="1323" spans="2:18" ht="22.5" x14ac:dyDescent="0.2">
      <c r="B1323" s="135">
        <f t="shared" si="177"/>
        <v>20</v>
      </c>
      <c r="C1323" s="466"/>
      <c r="D1323" s="466"/>
      <c r="E1323" s="463" t="s">
        <v>263</v>
      </c>
      <c r="F1323" s="557">
        <v>640</v>
      </c>
      <c r="G1323" s="468" t="s">
        <v>577</v>
      </c>
      <c r="H1323" s="549">
        <f>1500-1125</f>
        <v>375</v>
      </c>
      <c r="I1323" s="549"/>
      <c r="J1323" s="549">
        <f t="shared" si="181"/>
        <v>375</v>
      </c>
      <c r="K1323" s="459"/>
      <c r="L1323" s="546"/>
      <c r="M1323" s="546"/>
      <c r="N1323" s="546"/>
      <c r="O1323" s="459"/>
      <c r="P1323" s="467">
        <f t="shared" si="174"/>
        <v>375</v>
      </c>
      <c r="Q1323" s="467">
        <f t="shared" si="179"/>
        <v>0</v>
      </c>
      <c r="R1323" s="467">
        <f t="shared" si="180"/>
        <v>375</v>
      </c>
    </row>
    <row r="1324" spans="2:18" x14ac:dyDescent="0.2">
      <c r="B1324" s="135">
        <f t="shared" si="177"/>
        <v>21</v>
      </c>
      <c r="C1324" s="466"/>
      <c r="D1324" s="466"/>
      <c r="E1324" s="463" t="s">
        <v>263</v>
      </c>
      <c r="F1324" s="557">
        <v>632</v>
      </c>
      <c r="G1324" s="468" t="s">
        <v>752</v>
      </c>
      <c r="H1324" s="549">
        <v>1125</v>
      </c>
      <c r="I1324" s="549"/>
      <c r="J1324" s="549">
        <f t="shared" si="181"/>
        <v>1125</v>
      </c>
      <c r="K1324" s="459"/>
      <c r="L1324" s="546"/>
      <c r="M1324" s="546"/>
      <c r="N1324" s="546"/>
      <c r="O1324" s="459"/>
      <c r="P1324" s="467">
        <f t="shared" si="174"/>
        <v>1125</v>
      </c>
      <c r="Q1324" s="467">
        <f t="shared" si="179"/>
        <v>0</v>
      </c>
      <c r="R1324" s="467">
        <f t="shared" si="180"/>
        <v>1125</v>
      </c>
    </row>
    <row r="1325" spans="2:18" x14ac:dyDescent="0.2">
      <c r="B1325" s="135">
        <f t="shared" si="177"/>
        <v>22</v>
      </c>
      <c r="C1325" s="129"/>
      <c r="D1325" s="129"/>
      <c r="E1325" s="133" t="s">
        <v>263</v>
      </c>
      <c r="F1325" s="556">
        <v>637</v>
      </c>
      <c r="G1325" s="472" t="s">
        <v>547</v>
      </c>
      <c r="H1325" s="388">
        <v>1200</v>
      </c>
      <c r="I1325" s="388"/>
      <c r="J1325" s="388">
        <f t="shared" si="181"/>
        <v>1200</v>
      </c>
      <c r="K1325" s="131"/>
      <c r="L1325" s="540"/>
      <c r="M1325" s="540"/>
      <c r="N1325" s="540"/>
      <c r="O1325" s="131"/>
      <c r="P1325" s="467">
        <f t="shared" si="174"/>
        <v>1200</v>
      </c>
      <c r="Q1325" s="467">
        <f t="shared" si="179"/>
        <v>0</v>
      </c>
      <c r="R1325" s="467">
        <f t="shared" si="180"/>
        <v>1200</v>
      </c>
    </row>
    <row r="1326" spans="2:18" ht="22.5" x14ac:dyDescent="0.2">
      <c r="B1326" s="135">
        <f t="shared" si="177"/>
        <v>23</v>
      </c>
      <c r="C1326" s="466"/>
      <c r="D1326" s="466"/>
      <c r="E1326" s="463" t="s">
        <v>263</v>
      </c>
      <c r="F1326" s="557">
        <v>640</v>
      </c>
      <c r="G1326" s="468" t="s">
        <v>579</v>
      </c>
      <c r="H1326" s="549">
        <f>1500-1000</f>
        <v>500</v>
      </c>
      <c r="I1326" s="549"/>
      <c r="J1326" s="549">
        <f t="shared" si="181"/>
        <v>500</v>
      </c>
      <c r="K1326" s="459"/>
      <c r="L1326" s="547"/>
      <c r="M1326" s="547"/>
      <c r="N1326" s="547"/>
      <c r="O1326" s="459"/>
      <c r="P1326" s="467">
        <f t="shared" si="174"/>
        <v>500</v>
      </c>
      <c r="Q1326" s="467">
        <f t="shared" si="179"/>
        <v>0</v>
      </c>
      <c r="R1326" s="467">
        <f t="shared" si="180"/>
        <v>500</v>
      </c>
    </row>
    <row r="1327" spans="2:18" x14ac:dyDescent="0.2">
      <c r="B1327" s="135">
        <f t="shared" si="177"/>
        <v>24</v>
      </c>
      <c r="C1327" s="466"/>
      <c r="D1327" s="466"/>
      <c r="E1327" s="463" t="s">
        <v>263</v>
      </c>
      <c r="F1327" s="557">
        <v>632</v>
      </c>
      <c r="G1327" s="468" t="s">
        <v>818</v>
      </c>
      <c r="H1327" s="549">
        <v>1000</v>
      </c>
      <c r="I1327" s="549"/>
      <c r="J1327" s="549">
        <f t="shared" si="181"/>
        <v>1000</v>
      </c>
      <c r="K1327" s="459"/>
      <c r="L1327" s="547"/>
      <c r="M1327" s="547"/>
      <c r="N1327" s="547"/>
      <c r="O1327" s="459"/>
      <c r="P1327" s="467">
        <f t="shared" si="174"/>
        <v>1000</v>
      </c>
      <c r="Q1327" s="467">
        <f t="shared" si="179"/>
        <v>0</v>
      </c>
      <c r="R1327" s="467">
        <f t="shared" si="180"/>
        <v>1000</v>
      </c>
    </row>
    <row r="1328" spans="2:18" x14ac:dyDescent="0.2">
      <c r="B1328" s="135">
        <f t="shared" si="177"/>
        <v>25</v>
      </c>
      <c r="C1328" s="466"/>
      <c r="D1328" s="466"/>
      <c r="E1328" s="672" t="s">
        <v>263</v>
      </c>
      <c r="F1328" s="739">
        <v>717</v>
      </c>
      <c r="G1328" s="740" t="s">
        <v>796</v>
      </c>
      <c r="H1328" s="741"/>
      <c r="I1328" s="741"/>
      <c r="J1328" s="741"/>
      <c r="K1328" s="459"/>
      <c r="L1328" s="742">
        <v>17000</v>
      </c>
      <c r="M1328" s="547"/>
      <c r="N1328" s="547">
        <f>M1328+L1328</f>
        <v>17000</v>
      </c>
      <c r="O1328" s="459"/>
      <c r="P1328" s="743">
        <f t="shared" si="174"/>
        <v>17000</v>
      </c>
      <c r="Q1328" s="467">
        <f t="shared" si="179"/>
        <v>0</v>
      </c>
      <c r="R1328" s="467">
        <f t="shared" si="180"/>
        <v>17000</v>
      </c>
    </row>
    <row r="1329" spans="2:18" x14ac:dyDescent="0.2">
      <c r="B1329" s="135">
        <f t="shared" si="177"/>
        <v>26</v>
      </c>
      <c r="C1329" s="75"/>
      <c r="D1329" s="200" t="s">
        <v>6</v>
      </c>
      <c r="E1329" s="219" t="s">
        <v>74</v>
      </c>
      <c r="F1329" s="219"/>
      <c r="G1329" s="220"/>
      <c r="H1329" s="364">
        <f>H1330+H1341</f>
        <v>392700</v>
      </c>
      <c r="I1329" s="364">
        <f>I1330+I1341</f>
        <v>0</v>
      </c>
      <c r="J1329" s="364">
        <f t="shared" ref="J1329:J1339" si="182">I1329+H1329</f>
        <v>392700</v>
      </c>
      <c r="K1329" s="131"/>
      <c r="L1329" s="392">
        <f>L1343</f>
        <v>30000</v>
      </c>
      <c r="M1329" s="392">
        <f>SUM(M1330:M1344)</f>
        <v>0</v>
      </c>
      <c r="N1329" s="392">
        <f>M1329+L1329</f>
        <v>30000</v>
      </c>
      <c r="O1329" s="131"/>
      <c r="P1329" s="211">
        <f t="shared" si="174"/>
        <v>422700</v>
      </c>
      <c r="Q1329" s="211">
        <f t="shared" si="179"/>
        <v>0</v>
      </c>
      <c r="R1329" s="211">
        <f t="shared" si="180"/>
        <v>422700</v>
      </c>
    </row>
    <row r="1330" spans="2:18" x14ac:dyDescent="0.2">
      <c r="B1330" s="135">
        <f t="shared" si="177"/>
        <v>27</v>
      </c>
      <c r="C1330" s="129"/>
      <c r="D1330" s="182"/>
      <c r="E1330" s="133" t="s">
        <v>263</v>
      </c>
      <c r="F1330" s="231" t="s">
        <v>539</v>
      </c>
      <c r="G1330" s="232"/>
      <c r="H1330" s="383">
        <f>H1331+H1332+H1333+H1339</f>
        <v>390000</v>
      </c>
      <c r="I1330" s="383">
        <f>I1331+I1332+I1333+I1339</f>
        <v>0</v>
      </c>
      <c r="J1330" s="383">
        <f t="shared" si="182"/>
        <v>390000</v>
      </c>
      <c r="K1330" s="131"/>
      <c r="L1330" s="393"/>
      <c r="M1330" s="393"/>
      <c r="N1330" s="393"/>
      <c r="O1330" s="131"/>
      <c r="P1330" s="269">
        <f t="shared" si="174"/>
        <v>390000</v>
      </c>
      <c r="Q1330" s="269">
        <f t="shared" si="179"/>
        <v>0</v>
      </c>
      <c r="R1330" s="269">
        <f t="shared" si="180"/>
        <v>390000</v>
      </c>
    </row>
    <row r="1331" spans="2:18" x14ac:dyDescent="0.2">
      <c r="B1331" s="135">
        <f t="shared" si="177"/>
        <v>28</v>
      </c>
      <c r="C1331" s="129"/>
      <c r="D1331" s="129"/>
      <c r="E1331" s="133"/>
      <c r="F1331" s="150">
        <v>610</v>
      </c>
      <c r="G1331" s="202" t="s">
        <v>257</v>
      </c>
      <c r="H1331" s="375">
        <v>94460</v>
      </c>
      <c r="I1331" s="375"/>
      <c r="J1331" s="375">
        <f t="shared" si="182"/>
        <v>94460</v>
      </c>
      <c r="K1331" s="131"/>
      <c r="L1331" s="540"/>
      <c r="M1331" s="540"/>
      <c r="N1331" s="540"/>
      <c r="O1331" s="131"/>
      <c r="P1331" s="270">
        <f t="shared" si="174"/>
        <v>94460</v>
      </c>
      <c r="Q1331" s="270">
        <f t="shared" si="179"/>
        <v>0</v>
      </c>
      <c r="R1331" s="270">
        <f t="shared" si="180"/>
        <v>94460</v>
      </c>
    </row>
    <row r="1332" spans="2:18" x14ac:dyDescent="0.2">
      <c r="B1332" s="135">
        <f t="shared" si="177"/>
        <v>29</v>
      </c>
      <c r="C1332" s="129"/>
      <c r="D1332" s="129"/>
      <c r="E1332" s="133"/>
      <c r="F1332" s="150">
        <v>620</v>
      </c>
      <c r="G1332" s="202" t="s">
        <v>259</v>
      </c>
      <c r="H1332" s="375">
        <v>33370</v>
      </c>
      <c r="I1332" s="375"/>
      <c r="J1332" s="375">
        <f t="shared" si="182"/>
        <v>33370</v>
      </c>
      <c r="K1332" s="131"/>
      <c r="L1332" s="540"/>
      <c r="M1332" s="540"/>
      <c r="N1332" s="540"/>
      <c r="O1332" s="131"/>
      <c r="P1332" s="270">
        <f t="shared" si="174"/>
        <v>33370</v>
      </c>
      <c r="Q1332" s="270">
        <f t="shared" si="179"/>
        <v>0</v>
      </c>
      <c r="R1332" s="270">
        <f t="shared" si="180"/>
        <v>33370</v>
      </c>
    </row>
    <row r="1333" spans="2:18" x14ac:dyDescent="0.2">
      <c r="B1333" s="135">
        <f t="shared" si="177"/>
        <v>30</v>
      </c>
      <c r="C1333" s="129"/>
      <c r="D1333" s="129"/>
      <c r="E1333" s="133"/>
      <c r="F1333" s="150">
        <v>630</v>
      </c>
      <c r="G1333" s="202" t="s">
        <v>448</v>
      </c>
      <c r="H1333" s="375">
        <f>SUM(H1334:H1338)</f>
        <v>262070</v>
      </c>
      <c r="I1333" s="375">
        <f>SUM(I1334:I1338)</f>
        <v>0</v>
      </c>
      <c r="J1333" s="375">
        <f t="shared" si="182"/>
        <v>262070</v>
      </c>
      <c r="K1333" s="131"/>
      <c r="L1333" s="540"/>
      <c r="M1333" s="540"/>
      <c r="N1333" s="540"/>
      <c r="O1333" s="131"/>
      <c r="P1333" s="270">
        <f t="shared" si="174"/>
        <v>262070</v>
      </c>
      <c r="Q1333" s="270">
        <f t="shared" si="179"/>
        <v>0</v>
      </c>
      <c r="R1333" s="270">
        <f t="shared" si="180"/>
        <v>262070</v>
      </c>
    </row>
    <row r="1334" spans="2:18" x14ac:dyDescent="0.2">
      <c r="B1334" s="135">
        <f t="shared" si="177"/>
        <v>31</v>
      </c>
      <c r="C1334" s="129"/>
      <c r="D1334" s="129"/>
      <c r="E1334" s="133"/>
      <c r="F1334" s="158">
        <v>632</v>
      </c>
      <c r="G1334" s="194" t="s">
        <v>500</v>
      </c>
      <c r="H1334" s="540">
        <v>206470</v>
      </c>
      <c r="I1334" s="540"/>
      <c r="J1334" s="540">
        <f t="shared" si="182"/>
        <v>206470</v>
      </c>
      <c r="K1334" s="131"/>
      <c r="L1334" s="540"/>
      <c r="M1334" s="540"/>
      <c r="N1334" s="540"/>
      <c r="O1334" s="131"/>
      <c r="P1334" s="542">
        <f t="shared" si="174"/>
        <v>206470</v>
      </c>
      <c r="Q1334" s="542">
        <f t="shared" si="179"/>
        <v>0</v>
      </c>
      <c r="R1334" s="542">
        <f t="shared" si="180"/>
        <v>206470</v>
      </c>
    </row>
    <row r="1335" spans="2:18" x14ac:dyDescent="0.2">
      <c r="B1335" s="135">
        <f t="shared" si="177"/>
        <v>32</v>
      </c>
      <c r="C1335" s="129"/>
      <c r="D1335" s="129"/>
      <c r="E1335" s="133"/>
      <c r="F1335" s="158">
        <v>633</v>
      </c>
      <c r="G1335" s="194" t="s">
        <v>247</v>
      </c>
      <c r="H1335" s="540">
        <v>12200</v>
      </c>
      <c r="I1335" s="540"/>
      <c r="J1335" s="540">
        <f t="shared" si="182"/>
        <v>12200</v>
      </c>
      <c r="K1335" s="131"/>
      <c r="L1335" s="540"/>
      <c r="M1335" s="540"/>
      <c r="N1335" s="540"/>
      <c r="O1335" s="131"/>
      <c r="P1335" s="542">
        <f t="shared" si="174"/>
        <v>12200</v>
      </c>
      <c r="Q1335" s="542">
        <f t="shared" si="179"/>
        <v>0</v>
      </c>
      <c r="R1335" s="542">
        <f t="shared" si="180"/>
        <v>12200</v>
      </c>
    </row>
    <row r="1336" spans="2:18" x14ac:dyDescent="0.2">
      <c r="B1336" s="135">
        <f t="shared" si="177"/>
        <v>33</v>
      </c>
      <c r="C1336" s="129"/>
      <c r="D1336" s="129"/>
      <c r="E1336" s="133"/>
      <c r="F1336" s="158">
        <v>635</v>
      </c>
      <c r="G1336" s="194" t="s">
        <v>261</v>
      </c>
      <c r="H1336" s="540">
        <v>10000</v>
      </c>
      <c r="I1336" s="540"/>
      <c r="J1336" s="540">
        <f t="shared" si="182"/>
        <v>10000</v>
      </c>
      <c r="K1336" s="131"/>
      <c r="L1336" s="540"/>
      <c r="M1336" s="540"/>
      <c r="N1336" s="540"/>
      <c r="O1336" s="131"/>
      <c r="P1336" s="542">
        <f t="shared" si="174"/>
        <v>10000</v>
      </c>
      <c r="Q1336" s="542">
        <f t="shared" si="179"/>
        <v>0</v>
      </c>
      <c r="R1336" s="542">
        <f t="shared" si="180"/>
        <v>10000</v>
      </c>
    </row>
    <row r="1337" spans="2:18" x14ac:dyDescent="0.2">
      <c r="B1337" s="135">
        <f t="shared" si="177"/>
        <v>34</v>
      </c>
      <c r="C1337" s="129"/>
      <c r="D1337" s="129"/>
      <c r="E1337" s="133"/>
      <c r="F1337" s="158">
        <v>636</v>
      </c>
      <c r="G1337" s="194" t="s">
        <v>347</v>
      </c>
      <c r="H1337" s="540">
        <v>200</v>
      </c>
      <c r="I1337" s="540"/>
      <c r="J1337" s="540">
        <f t="shared" si="182"/>
        <v>200</v>
      </c>
      <c r="K1337" s="131"/>
      <c r="L1337" s="540"/>
      <c r="M1337" s="540"/>
      <c r="N1337" s="540"/>
      <c r="O1337" s="131"/>
      <c r="P1337" s="542">
        <f t="shared" si="174"/>
        <v>200</v>
      </c>
      <c r="Q1337" s="542">
        <f t="shared" si="179"/>
        <v>0</v>
      </c>
      <c r="R1337" s="542">
        <f t="shared" si="180"/>
        <v>200</v>
      </c>
    </row>
    <row r="1338" spans="2:18" x14ac:dyDescent="0.2">
      <c r="B1338" s="135">
        <f t="shared" si="177"/>
        <v>35</v>
      </c>
      <c r="C1338" s="129"/>
      <c r="D1338" s="129"/>
      <c r="E1338" s="133"/>
      <c r="F1338" s="158">
        <v>637</v>
      </c>
      <c r="G1338" s="194" t="s">
        <v>248</v>
      </c>
      <c r="H1338" s="540">
        <v>33200</v>
      </c>
      <c r="I1338" s="540"/>
      <c r="J1338" s="540">
        <f t="shared" si="182"/>
        <v>33200</v>
      </c>
      <c r="K1338" s="131"/>
      <c r="L1338" s="540"/>
      <c r="M1338" s="540"/>
      <c r="N1338" s="540"/>
      <c r="O1338" s="131"/>
      <c r="P1338" s="542">
        <f t="shared" si="174"/>
        <v>33200</v>
      </c>
      <c r="Q1338" s="542">
        <f t="shared" si="179"/>
        <v>0</v>
      </c>
      <c r="R1338" s="542">
        <f t="shared" si="180"/>
        <v>33200</v>
      </c>
    </row>
    <row r="1339" spans="2:18" x14ac:dyDescent="0.2">
      <c r="B1339" s="135">
        <f t="shared" si="177"/>
        <v>36</v>
      </c>
      <c r="C1339" s="129"/>
      <c r="D1339" s="129"/>
      <c r="E1339" s="163"/>
      <c r="F1339" s="150">
        <v>640</v>
      </c>
      <c r="G1339" s="202" t="s">
        <v>425</v>
      </c>
      <c r="H1339" s="375">
        <v>100</v>
      </c>
      <c r="I1339" s="375"/>
      <c r="J1339" s="375">
        <f t="shared" si="182"/>
        <v>100</v>
      </c>
      <c r="K1339" s="131"/>
      <c r="L1339" s="541"/>
      <c r="M1339" s="541"/>
      <c r="N1339" s="541"/>
      <c r="O1339" s="131"/>
      <c r="P1339" s="597">
        <f t="shared" si="174"/>
        <v>100</v>
      </c>
      <c r="Q1339" s="597">
        <f t="shared" si="179"/>
        <v>0</v>
      </c>
      <c r="R1339" s="597">
        <f t="shared" si="180"/>
        <v>100</v>
      </c>
    </row>
    <row r="1340" spans="2:18" x14ac:dyDescent="0.2">
      <c r="B1340" s="135">
        <f t="shared" si="177"/>
        <v>37</v>
      </c>
      <c r="C1340" s="129"/>
      <c r="D1340" s="129"/>
      <c r="E1340" s="163"/>
      <c r="F1340" s="150"/>
      <c r="G1340" s="202"/>
      <c r="H1340" s="375"/>
      <c r="I1340" s="375"/>
      <c r="J1340" s="375"/>
      <c r="K1340" s="131"/>
      <c r="L1340" s="541"/>
      <c r="M1340" s="541"/>
      <c r="N1340" s="541"/>
      <c r="O1340" s="131"/>
      <c r="P1340" s="136"/>
      <c r="Q1340" s="136"/>
      <c r="R1340" s="136"/>
    </row>
    <row r="1341" spans="2:18" x14ac:dyDescent="0.2">
      <c r="B1341" s="135">
        <f t="shared" si="177"/>
        <v>38</v>
      </c>
      <c r="C1341" s="129"/>
      <c r="D1341" s="129"/>
      <c r="E1341" s="133" t="s">
        <v>263</v>
      </c>
      <c r="F1341" s="159">
        <v>637</v>
      </c>
      <c r="G1341" s="215" t="s">
        <v>304</v>
      </c>
      <c r="H1341" s="540">
        <v>2700</v>
      </c>
      <c r="I1341" s="540"/>
      <c r="J1341" s="540">
        <f>I1341+H1341</f>
        <v>2700</v>
      </c>
      <c r="K1341" s="131"/>
      <c r="L1341" s="541"/>
      <c r="M1341" s="541"/>
      <c r="N1341" s="541"/>
      <c r="O1341" s="131"/>
      <c r="P1341" s="136">
        <f>H1341+L1341</f>
        <v>2700</v>
      </c>
      <c r="Q1341" s="136">
        <f>I1341+M1341</f>
        <v>0</v>
      </c>
      <c r="R1341" s="136">
        <f>Q1341+P1341</f>
        <v>2700</v>
      </c>
    </row>
    <row r="1342" spans="2:18" x14ac:dyDescent="0.2">
      <c r="B1342" s="135">
        <f t="shared" si="177"/>
        <v>39</v>
      </c>
      <c r="C1342" s="129"/>
      <c r="D1342" s="129"/>
      <c r="E1342" s="163"/>
      <c r="F1342" s="158"/>
      <c r="G1342" s="194"/>
      <c r="H1342" s="540"/>
      <c r="I1342" s="540"/>
      <c r="J1342" s="540"/>
      <c r="K1342" s="131"/>
      <c r="L1342" s="541"/>
      <c r="M1342" s="541"/>
      <c r="N1342" s="541"/>
      <c r="O1342" s="131"/>
      <c r="P1342" s="136"/>
      <c r="Q1342" s="136"/>
      <c r="R1342" s="136"/>
    </row>
    <row r="1343" spans="2:18" x14ac:dyDescent="0.2">
      <c r="B1343" s="135">
        <f t="shared" si="177"/>
        <v>40</v>
      </c>
      <c r="C1343" s="129"/>
      <c r="D1343" s="129"/>
      <c r="E1343" s="163" t="s">
        <v>263</v>
      </c>
      <c r="F1343" s="159">
        <v>717</v>
      </c>
      <c r="G1343" s="194" t="s">
        <v>830</v>
      </c>
      <c r="H1343" s="540"/>
      <c r="I1343" s="540"/>
      <c r="J1343" s="540"/>
      <c r="K1343" s="131"/>
      <c r="L1343" s="541">
        <v>30000</v>
      </c>
      <c r="M1343" s="541"/>
      <c r="N1343" s="541">
        <f>M1343+L1343</f>
        <v>30000</v>
      </c>
      <c r="O1343" s="131"/>
      <c r="P1343" s="136">
        <f>H1343+L1343</f>
        <v>30000</v>
      </c>
      <c r="Q1343" s="136">
        <f>I1343+M1343</f>
        <v>0</v>
      </c>
      <c r="R1343" s="136">
        <f>Q1343+P1343</f>
        <v>30000</v>
      </c>
    </row>
    <row r="1344" spans="2:18" x14ac:dyDescent="0.2">
      <c r="B1344" s="135">
        <f t="shared" si="177"/>
        <v>41</v>
      </c>
      <c r="C1344" s="129"/>
      <c r="D1344" s="129"/>
      <c r="E1344" s="163"/>
      <c r="F1344" s="674"/>
      <c r="G1344" s="194"/>
      <c r="H1344" s="540"/>
      <c r="I1344" s="540"/>
      <c r="J1344" s="540"/>
      <c r="K1344" s="131"/>
      <c r="L1344" s="541"/>
      <c r="M1344" s="541"/>
      <c r="N1344" s="541"/>
      <c r="O1344" s="131"/>
      <c r="P1344" s="136"/>
      <c r="Q1344" s="136"/>
      <c r="R1344" s="136"/>
    </row>
    <row r="1345" spans="2:18" x14ac:dyDescent="0.2">
      <c r="B1345" s="135">
        <f t="shared" si="177"/>
        <v>42</v>
      </c>
      <c r="C1345" s="75"/>
      <c r="D1345" s="200" t="s">
        <v>7</v>
      </c>
      <c r="E1345" s="218" t="s">
        <v>263</v>
      </c>
      <c r="F1345" s="219" t="s">
        <v>114</v>
      </c>
      <c r="G1345" s="220"/>
      <c r="H1345" s="364">
        <f>H1346+H1347+H1358</f>
        <v>462100</v>
      </c>
      <c r="I1345" s="364">
        <f>I1346+I1347+I1358</f>
        <v>-83500</v>
      </c>
      <c r="J1345" s="364">
        <f t="shared" ref="J1345:J1355" si="183">I1345+H1345</f>
        <v>378600</v>
      </c>
      <c r="K1345" s="131"/>
      <c r="L1345" s="394">
        <f>L1347+L1359</f>
        <v>15600</v>
      </c>
      <c r="M1345" s="394">
        <v>0</v>
      </c>
      <c r="N1345" s="394">
        <f>M1345+L1345</f>
        <v>15600</v>
      </c>
      <c r="O1345" s="131"/>
      <c r="P1345" s="211">
        <f t="shared" ref="P1345:P1356" si="184">H1345+L1345</f>
        <v>477700</v>
      </c>
      <c r="Q1345" s="211">
        <f t="shared" ref="Q1345:Q1356" si="185">I1345+M1345</f>
        <v>-83500</v>
      </c>
      <c r="R1345" s="211">
        <f t="shared" ref="R1345:R1356" si="186">Q1345+P1345</f>
        <v>394200</v>
      </c>
    </row>
    <row r="1346" spans="2:18" x14ac:dyDescent="0.2">
      <c r="B1346" s="135">
        <f t="shared" si="177"/>
        <v>43</v>
      </c>
      <c r="C1346" s="129"/>
      <c r="D1346" s="129"/>
      <c r="E1346" s="133" t="s">
        <v>263</v>
      </c>
      <c r="F1346" s="133">
        <v>637</v>
      </c>
      <c r="G1346" s="215" t="s">
        <v>422</v>
      </c>
      <c r="H1346" s="540">
        <v>2100</v>
      </c>
      <c r="I1346" s="540"/>
      <c r="J1346" s="540">
        <f t="shared" si="183"/>
        <v>2100</v>
      </c>
      <c r="K1346" s="131"/>
      <c r="L1346" s="540"/>
      <c r="M1346" s="540"/>
      <c r="N1346" s="540"/>
      <c r="O1346" s="131"/>
      <c r="P1346" s="542">
        <f t="shared" si="184"/>
        <v>2100</v>
      </c>
      <c r="Q1346" s="542">
        <f t="shared" si="185"/>
        <v>0</v>
      </c>
      <c r="R1346" s="542">
        <f t="shared" si="186"/>
        <v>2100</v>
      </c>
    </row>
    <row r="1347" spans="2:18" x14ac:dyDescent="0.2">
      <c r="B1347" s="135">
        <f t="shared" si="177"/>
        <v>44</v>
      </c>
      <c r="C1347" s="129"/>
      <c r="D1347" s="129"/>
      <c r="E1347" s="133" t="s">
        <v>263</v>
      </c>
      <c r="F1347" s="227" t="s">
        <v>540</v>
      </c>
      <c r="G1347" s="227"/>
      <c r="H1347" s="383">
        <f>H1348+H1349+H1350+H1355</f>
        <v>360000</v>
      </c>
      <c r="I1347" s="383">
        <f>I1348+I1349+I1350+I1355</f>
        <v>1500</v>
      </c>
      <c r="J1347" s="383">
        <f t="shared" si="183"/>
        <v>361500</v>
      </c>
      <c r="K1347" s="147"/>
      <c r="L1347" s="375">
        <f>L1356</f>
        <v>13000</v>
      </c>
      <c r="M1347" s="375">
        <f>M1356</f>
        <v>0</v>
      </c>
      <c r="N1347" s="375">
        <f>M1347+L1347</f>
        <v>13000</v>
      </c>
      <c r="O1347" s="147"/>
      <c r="P1347" s="269">
        <f t="shared" si="184"/>
        <v>373000</v>
      </c>
      <c r="Q1347" s="269">
        <f t="shared" si="185"/>
        <v>1500</v>
      </c>
      <c r="R1347" s="269">
        <f t="shared" si="186"/>
        <v>374500</v>
      </c>
    </row>
    <row r="1348" spans="2:18" x14ac:dyDescent="0.2">
      <c r="B1348" s="135">
        <f t="shared" si="177"/>
        <v>45</v>
      </c>
      <c r="C1348" s="129"/>
      <c r="D1348" s="129"/>
      <c r="E1348" s="155"/>
      <c r="F1348" s="150">
        <v>610</v>
      </c>
      <c r="G1348" s="202" t="s">
        <v>541</v>
      </c>
      <c r="H1348" s="375">
        <v>114485</v>
      </c>
      <c r="I1348" s="375"/>
      <c r="J1348" s="375">
        <f t="shared" si="183"/>
        <v>114485</v>
      </c>
      <c r="K1348" s="147"/>
      <c r="L1348" s="375"/>
      <c r="M1348" s="375"/>
      <c r="N1348" s="375"/>
      <c r="O1348" s="147"/>
      <c r="P1348" s="151">
        <f t="shared" si="184"/>
        <v>114485</v>
      </c>
      <c r="Q1348" s="151">
        <f t="shared" si="185"/>
        <v>0</v>
      </c>
      <c r="R1348" s="151">
        <f t="shared" si="186"/>
        <v>114485</v>
      </c>
    </row>
    <row r="1349" spans="2:18" x14ac:dyDescent="0.2">
      <c r="B1349" s="135">
        <f t="shared" si="177"/>
        <v>46</v>
      </c>
      <c r="C1349" s="129"/>
      <c r="D1349" s="129"/>
      <c r="E1349" s="155"/>
      <c r="F1349" s="150">
        <v>620</v>
      </c>
      <c r="G1349" s="202" t="s">
        <v>472</v>
      </c>
      <c r="H1349" s="375">
        <v>40300</v>
      </c>
      <c r="I1349" s="375"/>
      <c r="J1349" s="375">
        <f t="shared" si="183"/>
        <v>40300</v>
      </c>
      <c r="K1349" s="147"/>
      <c r="L1349" s="375"/>
      <c r="M1349" s="375"/>
      <c r="N1349" s="375"/>
      <c r="O1349" s="147"/>
      <c r="P1349" s="151">
        <f t="shared" si="184"/>
        <v>40300</v>
      </c>
      <c r="Q1349" s="151">
        <f t="shared" si="185"/>
        <v>0</v>
      </c>
      <c r="R1349" s="151">
        <f t="shared" si="186"/>
        <v>40300</v>
      </c>
    </row>
    <row r="1350" spans="2:18" x14ac:dyDescent="0.2">
      <c r="B1350" s="135">
        <f t="shared" si="177"/>
        <v>47</v>
      </c>
      <c r="C1350" s="129"/>
      <c r="D1350" s="129"/>
      <c r="E1350" s="133"/>
      <c r="F1350" s="150">
        <v>630</v>
      </c>
      <c r="G1350" s="202" t="s">
        <v>236</v>
      </c>
      <c r="H1350" s="375">
        <f>SUM(H1351:H1354)</f>
        <v>205115</v>
      </c>
      <c r="I1350" s="375">
        <f>SUM(I1351:I1354)</f>
        <v>1500</v>
      </c>
      <c r="J1350" s="375">
        <f t="shared" si="183"/>
        <v>206615</v>
      </c>
      <c r="K1350" s="131"/>
      <c r="L1350" s="540"/>
      <c r="M1350" s="540"/>
      <c r="N1350" s="540"/>
      <c r="O1350" s="131"/>
      <c r="P1350" s="151">
        <f t="shared" si="184"/>
        <v>205115</v>
      </c>
      <c r="Q1350" s="151">
        <f t="shared" si="185"/>
        <v>1500</v>
      </c>
      <c r="R1350" s="151">
        <f t="shared" si="186"/>
        <v>206615</v>
      </c>
    </row>
    <row r="1351" spans="2:18" x14ac:dyDescent="0.2">
      <c r="B1351" s="135">
        <f t="shared" si="177"/>
        <v>48</v>
      </c>
      <c r="C1351" s="129"/>
      <c r="D1351" s="129"/>
      <c r="E1351" s="133"/>
      <c r="F1351" s="158">
        <v>632</v>
      </c>
      <c r="G1351" s="194" t="s">
        <v>246</v>
      </c>
      <c r="H1351" s="540">
        <v>155000</v>
      </c>
      <c r="I1351" s="540"/>
      <c r="J1351" s="540">
        <f t="shared" si="183"/>
        <v>155000</v>
      </c>
      <c r="K1351" s="131"/>
      <c r="L1351" s="540"/>
      <c r="M1351" s="540"/>
      <c r="N1351" s="540"/>
      <c r="O1351" s="131"/>
      <c r="P1351" s="542">
        <f t="shared" si="184"/>
        <v>155000</v>
      </c>
      <c r="Q1351" s="542">
        <f t="shared" si="185"/>
        <v>0</v>
      </c>
      <c r="R1351" s="542">
        <f t="shared" si="186"/>
        <v>155000</v>
      </c>
    </row>
    <row r="1352" spans="2:18" x14ac:dyDescent="0.2">
      <c r="B1352" s="135">
        <f t="shared" si="177"/>
        <v>49</v>
      </c>
      <c r="C1352" s="129"/>
      <c r="D1352" s="129"/>
      <c r="E1352" s="133"/>
      <c r="F1352" s="158">
        <v>633</v>
      </c>
      <c r="G1352" s="194" t="s">
        <v>247</v>
      </c>
      <c r="H1352" s="540">
        <v>18115</v>
      </c>
      <c r="I1352" s="540"/>
      <c r="J1352" s="540">
        <f t="shared" si="183"/>
        <v>18115</v>
      </c>
      <c r="K1352" s="131"/>
      <c r="L1352" s="540"/>
      <c r="M1352" s="540"/>
      <c r="N1352" s="540"/>
      <c r="O1352" s="131"/>
      <c r="P1352" s="542">
        <f t="shared" si="184"/>
        <v>18115</v>
      </c>
      <c r="Q1352" s="542">
        <f t="shared" si="185"/>
        <v>0</v>
      </c>
      <c r="R1352" s="542">
        <f t="shared" si="186"/>
        <v>18115</v>
      </c>
    </row>
    <row r="1353" spans="2:18" x14ac:dyDescent="0.2">
      <c r="B1353" s="135">
        <f t="shared" si="177"/>
        <v>50</v>
      </c>
      <c r="C1353" s="129"/>
      <c r="D1353" s="129"/>
      <c r="E1353" s="133"/>
      <c r="F1353" s="158">
        <v>635</v>
      </c>
      <c r="G1353" s="194" t="s">
        <v>261</v>
      </c>
      <c r="H1353" s="388">
        <v>15000</v>
      </c>
      <c r="I1353" s="388">
        <v>1500</v>
      </c>
      <c r="J1353" s="540">
        <f t="shared" si="183"/>
        <v>16500</v>
      </c>
      <c r="K1353" s="131"/>
      <c r="L1353" s="540"/>
      <c r="M1353" s="540"/>
      <c r="N1353" s="540"/>
      <c r="O1353" s="131"/>
      <c r="P1353" s="542">
        <f t="shared" si="184"/>
        <v>15000</v>
      </c>
      <c r="Q1353" s="542">
        <f t="shared" si="185"/>
        <v>1500</v>
      </c>
      <c r="R1353" s="542">
        <f t="shared" si="186"/>
        <v>16500</v>
      </c>
    </row>
    <row r="1354" spans="2:18" x14ac:dyDescent="0.2">
      <c r="B1354" s="135">
        <f t="shared" si="177"/>
        <v>51</v>
      </c>
      <c r="C1354" s="129"/>
      <c r="D1354" s="129"/>
      <c r="E1354" s="133"/>
      <c r="F1354" s="158">
        <v>637</v>
      </c>
      <c r="G1354" s="194" t="s">
        <v>248</v>
      </c>
      <c r="H1354" s="540">
        <v>17000</v>
      </c>
      <c r="I1354" s="540"/>
      <c r="J1354" s="540">
        <f t="shared" si="183"/>
        <v>17000</v>
      </c>
      <c r="K1354" s="131"/>
      <c r="L1354" s="540"/>
      <c r="M1354" s="540"/>
      <c r="N1354" s="540"/>
      <c r="O1354" s="131"/>
      <c r="P1354" s="542">
        <f t="shared" si="184"/>
        <v>17000</v>
      </c>
      <c r="Q1354" s="542">
        <f t="shared" si="185"/>
        <v>0</v>
      </c>
      <c r="R1354" s="542">
        <f t="shared" si="186"/>
        <v>17000</v>
      </c>
    </row>
    <row r="1355" spans="2:18" x14ac:dyDescent="0.2">
      <c r="B1355" s="135">
        <f t="shared" si="177"/>
        <v>52</v>
      </c>
      <c r="C1355" s="129"/>
      <c r="D1355" s="129"/>
      <c r="E1355" s="133"/>
      <c r="F1355" s="150">
        <v>640</v>
      </c>
      <c r="G1355" s="202" t="s">
        <v>425</v>
      </c>
      <c r="H1355" s="375">
        <v>100</v>
      </c>
      <c r="I1355" s="375"/>
      <c r="J1355" s="375">
        <f t="shared" si="183"/>
        <v>100</v>
      </c>
      <c r="K1355" s="131"/>
      <c r="L1355" s="540"/>
      <c r="M1355" s="540"/>
      <c r="N1355" s="540"/>
      <c r="O1355" s="131"/>
      <c r="P1355" s="151">
        <f t="shared" si="184"/>
        <v>100</v>
      </c>
      <c r="Q1355" s="151">
        <f t="shared" si="185"/>
        <v>0</v>
      </c>
      <c r="R1355" s="151">
        <f t="shared" si="186"/>
        <v>100</v>
      </c>
    </row>
    <row r="1356" spans="2:18" x14ac:dyDescent="0.2">
      <c r="B1356" s="135">
        <f t="shared" si="177"/>
        <v>53</v>
      </c>
      <c r="C1356" s="129"/>
      <c r="D1356" s="129"/>
      <c r="E1356" s="133"/>
      <c r="F1356" s="158">
        <v>718</v>
      </c>
      <c r="G1356" s="215" t="s">
        <v>646</v>
      </c>
      <c r="H1356" s="540"/>
      <c r="I1356" s="540"/>
      <c r="J1356" s="540"/>
      <c r="K1356" s="131"/>
      <c r="L1356" s="541">
        <v>13000</v>
      </c>
      <c r="M1356" s="541"/>
      <c r="N1356" s="541">
        <f>M1356+L1356</f>
        <v>13000</v>
      </c>
      <c r="O1356" s="131"/>
      <c r="P1356" s="136">
        <f t="shared" si="184"/>
        <v>13000</v>
      </c>
      <c r="Q1356" s="136">
        <f t="shared" si="185"/>
        <v>0</v>
      </c>
      <c r="R1356" s="136">
        <f t="shared" si="186"/>
        <v>13000</v>
      </c>
    </row>
    <row r="1357" spans="2:18" x14ac:dyDescent="0.2">
      <c r="B1357" s="135">
        <f t="shared" si="177"/>
        <v>54</v>
      </c>
      <c r="C1357" s="129"/>
      <c r="D1357" s="129"/>
      <c r="E1357" s="133"/>
      <c r="F1357" s="158"/>
      <c r="G1357" s="215"/>
      <c r="H1357" s="540"/>
      <c r="I1357" s="540"/>
      <c r="J1357" s="540"/>
      <c r="K1357" s="131"/>
      <c r="L1357" s="541"/>
      <c r="M1357" s="541"/>
      <c r="N1357" s="541"/>
      <c r="O1357" s="131"/>
      <c r="P1357" s="136"/>
      <c r="Q1357" s="136"/>
      <c r="R1357" s="136"/>
    </row>
    <row r="1358" spans="2:18" x14ac:dyDescent="0.2">
      <c r="B1358" s="135">
        <f t="shared" si="177"/>
        <v>55</v>
      </c>
      <c r="C1358" s="129"/>
      <c r="D1358" s="129"/>
      <c r="E1358" s="133" t="s">
        <v>263</v>
      </c>
      <c r="F1358" s="227" t="s">
        <v>542</v>
      </c>
      <c r="G1358" s="227"/>
      <c r="H1358" s="383">
        <v>100000</v>
      </c>
      <c r="I1358" s="383">
        <v>-85000</v>
      </c>
      <c r="J1358" s="383">
        <f>I1358+H1358</f>
        <v>15000</v>
      </c>
      <c r="K1358" s="131"/>
      <c r="L1358" s="540"/>
      <c r="M1358" s="540"/>
      <c r="N1358" s="540"/>
      <c r="O1358" s="131"/>
      <c r="P1358" s="269">
        <f>H1358+L1358</f>
        <v>100000</v>
      </c>
      <c r="Q1358" s="269">
        <f>I1358+M1358</f>
        <v>-85000</v>
      </c>
      <c r="R1358" s="269">
        <f>Q1358+P1358</f>
        <v>15000</v>
      </c>
    </row>
    <row r="1359" spans="2:18" x14ac:dyDescent="0.2">
      <c r="B1359" s="135">
        <f t="shared" si="177"/>
        <v>56</v>
      </c>
      <c r="C1359" s="129"/>
      <c r="D1359" s="129"/>
      <c r="E1359" s="163"/>
      <c r="F1359" s="133">
        <v>717</v>
      </c>
      <c r="G1359" s="215" t="s">
        <v>432</v>
      </c>
      <c r="H1359" s="540"/>
      <c r="I1359" s="540"/>
      <c r="J1359" s="540"/>
      <c r="K1359" s="131"/>
      <c r="L1359" s="541">
        <f>1400+1200</f>
        <v>2600</v>
      </c>
      <c r="M1359" s="541"/>
      <c r="N1359" s="541">
        <f>M1359+L1359</f>
        <v>2600</v>
      </c>
      <c r="O1359" s="131"/>
      <c r="P1359" s="542">
        <f>H1359+L1359</f>
        <v>2600</v>
      </c>
      <c r="Q1359" s="542">
        <f>I1359+M1359</f>
        <v>0</v>
      </c>
      <c r="R1359" s="542">
        <f>Q1359+P1359</f>
        <v>2600</v>
      </c>
    </row>
    <row r="1360" spans="2:18" x14ac:dyDescent="0.2">
      <c r="B1360" s="135">
        <f t="shared" si="177"/>
        <v>57</v>
      </c>
      <c r="C1360" s="129"/>
      <c r="D1360" s="129"/>
      <c r="E1360" s="163"/>
      <c r="F1360" s="158"/>
      <c r="G1360" s="215"/>
      <c r="H1360" s="540"/>
      <c r="I1360" s="540"/>
      <c r="J1360" s="540"/>
      <c r="K1360" s="131"/>
      <c r="L1360" s="540"/>
      <c r="M1360" s="540"/>
      <c r="N1360" s="540"/>
      <c r="O1360" s="131"/>
      <c r="P1360" s="136"/>
      <c r="Q1360" s="136"/>
      <c r="R1360" s="136"/>
    </row>
    <row r="1361" spans="2:18" x14ac:dyDescent="0.2">
      <c r="B1361" s="135">
        <f t="shared" si="177"/>
        <v>58</v>
      </c>
      <c r="C1361" s="129"/>
      <c r="D1361" s="200" t="s">
        <v>8</v>
      </c>
      <c r="E1361" s="218" t="s">
        <v>263</v>
      </c>
      <c r="F1361" s="219" t="s">
        <v>305</v>
      </c>
      <c r="G1361" s="220"/>
      <c r="H1361" s="364">
        <v>0</v>
      </c>
      <c r="I1361" s="364"/>
      <c r="J1361" s="364">
        <f>I1361+H1361</f>
        <v>0</v>
      </c>
      <c r="K1361" s="131"/>
      <c r="L1361" s="550">
        <v>0</v>
      </c>
      <c r="M1361" s="550"/>
      <c r="N1361" s="550">
        <f>M1361+L1361</f>
        <v>0</v>
      </c>
      <c r="O1361" s="131"/>
      <c r="P1361" s="211">
        <f>H1361+L1361</f>
        <v>0</v>
      </c>
      <c r="Q1361" s="211">
        <f>I1361+M1361</f>
        <v>0</v>
      </c>
      <c r="R1361" s="211">
        <f>Q1361+P1361</f>
        <v>0</v>
      </c>
    </row>
    <row r="1362" spans="2:18" x14ac:dyDescent="0.2">
      <c r="B1362" s="135">
        <f t="shared" si="177"/>
        <v>59</v>
      </c>
      <c r="C1362" s="129"/>
      <c r="D1362" s="129"/>
      <c r="E1362" s="163"/>
      <c r="F1362" s="158"/>
      <c r="G1362" s="215"/>
      <c r="H1362" s="540"/>
      <c r="I1362" s="540"/>
      <c r="J1362" s="540"/>
      <c r="K1362" s="131"/>
      <c r="L1362" s="540"/>
      <c r="M1362" s="540"/>
      <c r="N1362" s="540"/>
      <c r="O1362" s="131"/>
      <c r="P1362" s="136"/>
      <c r="Q1362" s="136"/>
      <c r="R1362" s="136"/>
    </row>
    <row r="1363" spans="2:18" ht="15.75" x14ac:dyDescent="0.25">
      <c r="B1363" s="135">
        <f t="shared" si="177"/>
        <v>60</v>
      </c>
      <c r="C1363" s="22">
        <v>4</v>
      </c>
      <c r="D1363" s="126" t="s">
        <v>468</v>
      </c>
      <c r="E1363" s="23"/>
      <c r="F1363" s="23"/>
      <c r="G1363" s="193"/>
      <c r="H1363" s="405">
        <f>H1364</f>
        <v>60000</v>
      </c>
      <c r="I1363" s="772">
        <f>I1364</f>
        <v>0</v>
      </c>
      <c r="J1363" s="772">
        <f t="shared" ref="J1363:J1372" si="187">I1363+H1363</f>
        <v>60000</v>
      </c>
      <c r="K1363" s="784"/>
      <c r="L1363" s="366">
        <f>L1375+L1374</f>
        <v>8000</v>
      </c>
      <c r="M1363" s="366">
        <f>M1374</f>
        <v>0</v>
      </c>
      <c r="N1363" s="366">
        <f>M1363+L1363</f>
        <v>8000</v>
      </c>
      <c r="O1363" s="784"/>
      <c r="P1363" s="361">
        <f t="shared" ref="P1363:P1372" si="188">H1363+L1363</f>
        <v>68000</v>
      </c>
      <c r="Q1363" s="361">
        <f t="shared" ref="Q1363:Q1372" si="189">I1363+M1363</f>
        <v>0</v>
      </c>
      <c r="R1363" s="361">
        <f t="shared" ref="R1363:R1372" si="190">Q1363+P1363</f>
        <v>68000</v>
      </c>
    </row>
    <row r="1364" spans="2:18" x14ac:dyDescent="0.2">
      <c r="B1364" s="135">
        <f t="shared" si="177"/>
        <v>61</v>
      </c>
      <c r="C1364" s="134"/>
      <c r="D1364" s="134"/>
      <c r="E1364" s="158" t="s">
        <v>263</v>
      </c>
      <c r="F1364" s="227" t="s">
        <v>473</v>
      </c>
      <c r="G1364" s="227"/>
      <c r="H1364" s="383">
        <f>H1365+H1366+H1367</f>
        <v>60000</v>
      </c>
      <c r="I1364" s="383">
        <f>I1365+I1366+I1367</f>
        <v>0</v>
      </c>
      <c r="J1364" s="383">
        <f t="shared" si="187"/>
        <v>60000</v>
      </c>
      <c r="K1364" s="131"/>
      <c r="L1364" s="540"/>
      <c r="M1364" s="540"/>
      <c r="N1364" s="540"/>
      <c r="O1364" s="131"/>
      <c r="P1364" s="269">
        <f t="shared" si="188"/>
        <v>60000</v>
      </c>
      <c r="Q1364" s="269">
        <f t="shared" si="189"/>
        <v>0</v>
      </c>
      <c r="R1364" s="269">
        <f t="shared" si="190"/>
        <v>60000</v>
      </c>
    </row>
    <row r="1365" spans="2:18" x14ac:dyDescent="0.2">
      <c r="B1365" s="135">
        <f t="shared" si="177"/>
        <v>62</v>
      </c>
      <c r="C1365" s="144"/>
      <c r="D1365" s="144"/>
      <c r="E1365" s="150"/>
      <c r="F1365" s="150">
        <v>610</v>
      </c>
      <c r="G1365" s="202" t="s">
        <v>257</v>
      </c>
      <c r="H1365" s="375">
        <v>7000</v>
      </c>
      <c r="I1365" s="375"/>
      <c r="J1365" s="375">
        <f t="shared" si="187"/>
        <v>7000</v>
      </c>
      <c r="K1365" s="147"/>
      <c r="L1365" s="375"/>
      <c r="M1365" s="375"/>
      <c r="N1365" s="375"/>
      <c r="O1365" s="147"/>
      <c r="P1365" s="151">
        <f t="shared" si="188"/>
        <v>7000</v>
      </c>
      <c r="Q1365" s="151">
        <f t="shared" si="189"/>
        <v>0</v>
      </c>
      <c r="R1365" s="151">
        <f t="shared" si="190"/>
        <v>7000</v>
      </c>
    </row>
    <row r="1366" spans="2:18" x14ac:dyDescent="0.2">
      <c r="B1366" s="135">
        <f t="shared" si="177"/>
        <v>63</v>
      </c>
      <c r="C1366" s="129"/>
      <c r="D1366" s="129"/>
      <c r="E1366" s="133"/>
      <c r="F1366" s="150">
        <v>620</v>
      </c>
      <c r="G1366" s="202" t="s">
        <v>259</v>
      </c>
      <c r="H1366" s="375">
        <v>2930</v>
      </c>
      <c r="I1366" s="375"/>
      <c r="J1366" s="375">
        <f t="shared" si="187"/>
        <v>2930</v>
      </c>
      <c r="K1366" s="131"/>
      <c r="L1366" s="540"/>
      <c r="M1366" s="540"/>
      <c r="N1366" s="540"/>
      <c r="O1366" s="131"/>
      <c r="P1366" s="151">
        <f t="shared" si="188"/>
        <v>2930</v>
      </c>
      <c r="Q1366" s="151">
        <f t="shared" si="189"/>
        <v>0</v>
      </c>
      <c r="R1366" s="151">
        <f t="shared" si="190"/>
        <v>2930</v>
      </c>
    </row>
    <row r="1367" spans="2:18" x14ac:dyDescent="0.2">
      <c r="B1367" s="135">
        <f t="shared" si="177"/>
        <v>64</v>
      </c>
      <c r="C1367" s="129"/>
      <c r="D1367" s="129"/>
      <c r="E1367" s="133"/>
      <c r="F1367" s="150">
        <v>630</v>
      </c>
      <c r="G1367" s="202" t="s">
        <v>249</v>
      </c>
      <c r="H1367" s="375">
        <f>SUM(H1368:H1372)</f>
        <v>50070</v>
      </c>
      <c r="I1367" s="375">
        <f>SUM(I1368:I1372)</f>
        <v>0</v>
      </c>
      <c r="J1367" s="375">
        <f t="shared" si="187"/>
        <v>50070</v>
      </c>
      <c r="K1367" s="131"/>
      <c r="L1367" s="540"/>
      <c r="M1367" s="540"/>
      <c r="N1367" s="540"/>
      <c r="O1367" s="131"/>
      <c r="P1367" s="151">
        <f t="shared" si="188"/>
        <v>50070</v>
      </c>
      <c r="Q1367" s="151">
        <f t="shared" si="189"/>
        <v>0</v>
      </c>
      <c r="R1367" s="151">
        <f t="shared" si="190"/>
        <v>50070</v>
      </c>
    </row>
    <row r="1368" spans="2:18" x14ac:dyDescent="0.2">
      <c r="B1368" s="135">
        <f t="shared" si="177"/>
        <v>65</v>
      </c>
      <c r="C1368" s="129"/>
      <c r="D1368" s="129"/>
      <c r="E1368" s="133"/>
      <c r="F1368" s="133">
        <v>633</v>
      </c>
      <c r="G1368" s="194" t="s">
        <v>247</v>
      </c>
      <c r="H1368" s="540">
        <v>45900</v>
      </c>
      <c r="I1368" s="540"/>
      <c r="J1368" s="540">
        <f t="shared" si="187"/>
        <v>45900</v>
      </c>
      <c r="K1368" s="131"/>
      <c r="L1368" s="540"/>
      <c r="M1368" s="540"/>
      <c r="N1368" s="540"/>
      <c r="O1368" s="131"/>
      <c r="P1368" s="542">
        <f t="shared" si="188"/>
        <v>45900</v>
      </c>
      <c r="Q1368" s="542">
        <f t="shared" si="189"/>
        <v>0</v>
      </c>
      <c r="R1368" s="542">
        <f t="shared" si="190"/>
        <v>45900</v>
      </c>
    </row>
    <row r="1369" spans="2:18" x14ac:dyDescent="0.2">
      <c r="B1369" s="135">
        <f t="shared" ref="B1369:B1372" si="191">B1368+1</f>
        <v>66</v>
      </c>
      <c r="C1369" s="129"/>
      <c r="D1369" s="129"/>
      <c r="E1369" s="133"/>
      <c r="F1369" s="133">
        <v>634</v>
      </c>
      <c r="G1369" s="194" t="s">
        <v>260</v>
      </c>
      <c r="H1369" s="540">
        <v>900</v>
      </c>
      <c r="I1369" s="540"/>
      <c r="J1369" s="540">
        <f t="shared" si="187"/>
        <v>900</v>
      </c>
      <c r="K1369" s="131"/>
      <c r="L1369" s="540"/>
      <c r="M1369" s="540"/>
      <c r="N1369" s="540"/>
      <c r="O1369" s="131"/>
      <c r="P1369" s="542">
        <f t="shared" si="188"/>
        <v>900</v>
      </c>
      <c r="Q1369" s="542">
        <f t="shared" si="189"/>
        <v>0</v>
      </c>
      <c r="R1369" s="542">
        <f t="shared" si="190"/>
        <v>900</v>
      </c>
    </row>
    <row r="1370" spans="2:18" x14ac:dyDescent="0.2">
      <c r="B1370" s="135">
        <f t="shared" si="191"/>
        <v>67</v>
      </c>
      <c r="C1370" s="129"/>
      <c r="D1370" s="129"/>
      <c r="E1370" s="133"/>
      <c r="F1370" s="133">
        <v>635</v>
      </c>
      <c r="G1370" s="194" t="s">
        <v>261</v>
      </c>
      <c r="H1370" s="540">
        <v>1000</v>
      </c>
      <c r="I1370" s="540"/>
      <c r="J1370" s="540">
        <f t="shared" si="187"/>
        <v>1000</v>
      </c>
      <c r="K1370" s="131"/>
      <c r="L1370" s="540"/>
      <c r="M1370" s="540"/>
      <c r="N1370" s="540"/>
      <c r="O1370" s="131"/>
      <c r="P1370" s="542">
        <f t="shared" si="188"/>
        <v>1000</v>
      </c>
      <c r="Q1370" s="542">
        <f t="shared" si="189"/>
        <v>0</v>
      </c>
      <c r="R1370" s="542">
        <f t="shared" si="190"/>
        <v>1000</v>
      </c>
    </row>
    <row r="1371" spans="2:18" x14ac:dyDescent="0.2">
      <c r="B1371" s="135">
        <f t="shared" si="191"/>
        <v>68</v>
      </c>
      <c r="C1371" s="129"/>
      <c r="D1371" s="129"/>
      <c r="E1371" s="133"/>
      <c r="F1371" s="133">
        <v>636</v>
      </c>
      <c r="G1371" s="194" t="s">
        <v>347</v>
      </c>
      <c r="H1371" s="540">
        <v>50</v>
      </c>
      <c r="I1371" s="540"/>
      <c r="J1371" s="540">
        <f t="shared" si="187"/>
        <v>50</v>
      </c>
      <c r="K1371" s="131"/>
      <c r="L1371" s="540"/>
      <c r="M1371" s="540"/>
      <c r="N1371" s="540"/>
      <c r="O1371" s="131"/>
      <c r="P1371" s="542">
        <f t="shared" si="188"/>
        <v>50</v>
      </c>
      <c r="Q1371" s="542">
        <f t="shared" si="189"/>
        <v>0</v>
      </c>
      <c r="R1371" s="542">
        <f t="shared" si="190"/>
        <v>50</v>
      </c>
    </row>
    <row r="1372" spans="2:18" x14ac:dyDescent="0.2">
      <c r="B1372" s="135">
        <f t="shared" si="191"/>
        <v>69</v>
      </c>
      <c r="C1372" s="129"/>
      <c r="D1372" s="129"/>
      <c r="E1372" s="133"/>
      <c r="F1372" s="133">
        <v>637</v>
      </c>
      <c r="G1372" s="194" t="s">
        <v>248</v>
      </c>
      <c r="H1372" s="540">
        <v>2220</v>
      </c>
      <c r="I1372" s="540"/>
      <c r="J1372" s="540">
        <f t="shared" si="187"/>
        <v>2220</v>
      </c>
      <c r="K1372" s="131"/>
      <c r="L1372" s="540"/>
      <c r="M1372" s="540"/>
      <c r="N1372" s="540"/>
      <c r="O1372" s="131"/>
      <c r="P1372" s="542">
        <f t="shared" si="188"/>
        <v>2220</v>
      </c>
      <c r="Q1372" s="542">
        <f t="shared" si="189"/>
        <v>0</v>
      </c>
      <c r="R1372" s="542">
        <f t="shared" si="190"/>
        <v>2220</v>
      </c>
    </row>
    <row r="1373" spans="2:18" x14ac:dyDescent="0.2">
      <c r="B1373" s="668">
        <f>B1372+1</f>
        <v>70</v>
      </c>
      <c r="C1373" s="180"/>
      <c r="D1373" s="180"/>
      <c r="E1373" s="181"/>
      <c r="F1373" s="181"/>
      <c r="G1373" s="753"/>
      <c r="H1373" s="541"/>
      <c r="I1373" s="540"/>
      <c r="J1373" s="540"/>
      <c r="K1373" s="131"/>
      <c r="L1373" s="541"/>
      <c r="M1373" s="540"/>
      <c r="N1373" s="540"/>
      <c r="O1373" s="131"/>
      <c r="P1373" s="136"/>
      <c r="Q1373" s="542"/>
      <c r="R1373" s="542"/>
    </row>
    <row r="1374" spans="2:18" x14ac:dyDescent="0.2">
      <c r="B1374" s="655">
        <f t="shared" ref="B1374:B1375" si="192">B1373+1</f>
        <v>71</v>
      </c>
      <c r="C1374" s="538"/>
      <c r="D1374" s="538"/>
      <c r="E1374" s="538"/>
      <c r="F1374" s="758">
        <v>716</v>
      </c>
      <c r="G1374" s="759" t="s">
        <v>804</v>
      </c>
      <c r="H1374" s="713"/>
      <c r="I1374" s="760"/>
      <c r="J1374" s="760"/>
      <c r="K1374" s="793"/>
      <c r="L1374" s="713">
        <v>3000</v>
      </c>
      <c r="M1374" s="715"/>
      <c r="N1374" s="715">
        <f>M1374+L1374</f>
        <v>3000</v>
      </c>
      <c r="O1374" s="789"/>
      <c r="P1374" s="761">
        <f>H1374+L1374</f>
        <v>3000</v>
      </c>
      <c r="Q1374" s="807">
        <f>I1374+M1374</f>
        <v>0</v>
      </c>
      <c r="R1374" s="808">
        <f>Q1374+P1374</f>
        <v>3000</v>
      </c>
    </row>
    <row r="1375" spans="2:18" ht="13.5" thickBot="1" x14ac:dyDescent="0.25">
      <c r="B1375" s="655">
        <f t="shared" si="192"/>
        <v>72</v>
      </c>
      <c r="C1375" s="214"/>
      <c r="D1375" s="214"/>
      <c r="E1375" s="214"/>
      <c r="F1375" s="754">
        <v>717</v>
      </c>
      <c r="G1375" s="755" t="s">
        <v>832</v>
      </c>
      <c r="H1375" s="734"/>
      <c r="I1375" s="756"/>
      <c r="J1375" s="756"/>
      <c r="K1375" s="793"/>
      <c r="L1375" s="734">
        <v>5000</v>
      </c>
      <c r="M1375" s="734"/>
      <c r="N1375" s="756"/>
      <c r="O1375" s="789"/>
      <c r="P1375" s="757">
        <f>H1375+L1375</f>
        <v>5000</v>
      </c>
      <c r="Q1375" s="805">
        <f>I1375+M1375</f>
        <v>0</v>
      </c>
      <c r="R1375" s="806">
        <f>Q1375+P1375</f>
        <v>5000</v>
      </c>
    </row>
    <row r="1376" spans="2:18" x14ac:dyDescent="0.2">
      <c r="I1376" s="804"/>
      <c r="J1376" s="804"/>
    </row>
    <row r="1378" spans="2:18" ht="27.75" thickBot="1" x14ac:dyDescent="0.4">
      <c r="B1378" s="246" t="s">
        <v>164</v>
      </c>
      <c r="C1378" s="246"/>
      <c r="D1378" s="246"/>
      <c r="E1378" s="246"/>
      <c r="F1378" s="246"/>
      <c r="G1378" s="246"/>
      <c r="H1378" s="246"/>
      <c r="I1378" s="246"/>
      <c r="J1378" s="246"/>
      <c r="K1378" s="246"/>
      <c r="L1378" s="246"/>
      <c r="M1378" s="246"/>
      <c r="N1378" s="246"/>
      <c r="O1378" s="246"/>
      <c r="P1378" s="246"/>
    </row>
    <row r="1379" spans="2:18" ht="13.5" customHeight="1" thickBot="1" x14ac:dyDescent="0.25">
      <c r="B1379" s="874" t="s">
        <v>632</v>
      </c>
      <c r="C1379" s="875"/>
      <c r="D1379" s="875"/>
      <c r="E1379" s="875"/>
      <c r="F1379" s="875"/>
      <c r="G1379" s="875"/>
      <c r="H1379" s="875"/>
      <c r="I1379" s="875"/>
      <c r="J1379" s="875"/>
      <c r="K1379" s="875"/>
      <c r="L1379" s="875"/>
      <c r="M1379" s="875"/>
      <c r="N1379" s="876"/>
      <c r="O1379" s="787"/>
      <c r="P1379" s="867" t="s">
        <v>724</v>
      </c>
      <c r="Q1379" s="867" t="s">
        <v>842</v>
      </c>
      <c r="R1379" s="867" t="s">
        <v>724</v>
      </c>
    </row>
    <row r="1380" spans="2:18" ht="13.5" customHeight="1" thickTop="1" x14ac:dyDescent="0.2">
      <c r="B1380" s="523"/>
      <c r="C1380" s="863" t="s">
        <v>478</v>
      </c>
      <c r="D1380" s="863" t="s">
        <v>477</v>
      </c>
      <c r="E1380" s="863" t="s">
        <v>475</v>
      </c>
      <c r="F1380" s="863" t="s">
        <v>476</v>
      </c>
      <c r="G1380" s="877" t="s">
        <v>3</v>
      </c>
      <c r="H1380" s="870" t="s">
        <v>725</v>
      </c>
      <c r="I1380" s="870" t="s">
        <v>842</v>
      </c>
      <c r="J1380" s="870" t="s">
        <v>725</v>
      </c>
      <c r="K1380" s="790"/>
      <c r="L1380" s="872" t="s">
        <v>726</v>
      </c>
      <c r="M1380" s="872" t="s">
        <v>842</v>
      </c>
      <c r="N1380" s="872" t="s">
        <v>726</v>
      </c>
      <c r="O1380" s="781"/>
      <c r="P1380" s="868"/>
      <c r="Q1380" s="868"/>
      <c r="R1380" s="868"/>
    </row>
    <row r="1381" spans="2:18" ht="46.5" customHeight="1" thickBot="1" x14ac:dyDescent="0.25">
      <c r="B1381" s="523"/>
      <c r="C1381" s="864"/>
      <c r="D1381" s="864"/>
      <c r="E1381" s="864"/>
      <c r="F1381" s="864"/>
      <c r="G1381" s="878"/>
      <c r="H1381" s="871"/>
      <c r="I1381" s="871"/>
      <c r="J1381" s="871"/>
      <c r="K1381" s="790"/>
      <c r="L1381" s="873"/>
      <c r="M1381" s="873"/>
      <c r="N1381" s="873"/>
      <c r="O1381" s="781"/>
      <c r="P1381" s="869"/>
      <c r="Q1381" s="869"/>
      <c r="R1381" s="869"/>
    </row>
    <row r="1382" spans="2:18" ht="26.25" customHeight="1" thickTop="1" thickBot="1" x14ac:dyDescent="0.25">
      <c r="B1382" s="646">
        <v>1</v>
      </c>
      <c r="C1382" s="124" t="s">
        <v>224</v>
      </c>
      <c r="D1382" s="110"/>
      <c r="E1382" s="110"/>
      <c r="F1382" s="110"/>
      <c r="G1382" s="192"/>
      <c r="H1382" s="400">
        <f>H1383+H1397+H1412+H1425</f>
        <v>318100</v>
      </c>
      <c r="I1382" s="400">
        <f>I1383+I1397+I1412+I1425</f>
        <v>0</v>
      </c>
      <c r="J1382" s="400">
        <f t="shared" ref="J1382:J1417" si="193">I1382+H1382</f>
        <v>318100</v>
      </c>
      <c r="K1382" s="783"/>
      <c r="L1382" s="396">
        <f>L1383+L1412+L1397+L1425</f>
        <v>18320</v>
      </c>
      <c r="M1382" s="396">
        <f>M1383+M1412+M1397+M1425</f>
        <v>0</v>
      </c>
      <c r="N1382" s="396">
        <f>M1382+L1382</f>
        <v>18320</v>
      </c>
      <c r="O1382" s="783"/>
      <c r="P1382" s="359">
        <f t="shared" ref="P1382:P1417" si="194">H1382+L1382</f>
        <v>336420</v>
      </c>
      <c r="Q1382" s="778">
        <f t="shared" ref="Q1382:Q1417" si="195">I1382+M1382</f>
        <v>0</v>
      </c>
      <c r="R1382" s="778">
        <f t="shared" ref="R1382:R1417" si="196">Q1382+P1382</f>
        <v>336420</v>
      </c>
    </row>
    <row r="1383" spans="2:18" ht="16.5" thickTop="1" x14ac:dyDescent="0.25">
      <c r="B1383" s="135">
        <f>B1382+1</f>
        <v>2</v>
      </c>
      <c r="C1383" s="22">
        <v>1</v>
      </c>
      <c r="D1383" s="126" t="s">
        <v>315</v>
      </c>
      <c r="E1383" s="23"/>
      <c r="F1383" s="23"/>
      <c r="G1383" s="193"/>
      <c r="H1383" s="401">
        <f>H1384+H1385</f>
        <v>78500</v>
      </c>
      <c r="I1383" s="414">
        <f>I1384+I1385</f>
        <v>0</v>
      </c>
      <c r="J1383" s="414">
        <f t="shared" si="193"/>
        <v>78500</v>
      </c>
      <c r="K1383" s="784"/>
      <c r="L1383" s="385">
        <f>L1384+L1385</f>
        <v>0</v>
      </c>
      <c r="M1383" s="798">
        <f>M1384+M1385</f>
        <v>0</v>
      </c>
      <c r="N1383" s="798">
        <f>M1383+L1383</f>
        <v>0</v>
      </c>
      <c r="O1383" s="784"/>
      <c r="P1383" s="360">
        <f t="shared" si="194"/>
        <v>78500</v>
      </c>
      <c r="Q1383" s="360">
        <f t="shared" si="195"/>
        <v>0</v>
      </c>
      <c r="R1383" s="360">
        <f t="shared" si="196"/>
        <v>78500</v>
      </c>
    </row>
    <row r="1384" spans="2:18" x14ac:dyDescent="0.2">
      <c r="B1384" s="135">
        <f t="shared" ref="B1384:B1425" si="197">B1383+1</f>
        <v>3</v>
      </c>
      <c r="C1384" s="129"/>
      <c r="D1384" s="130"/>
      <c r="E1384" s="130" t="s">
        <v>672</v>
      </c>
      <c r="F1384" s="130" t="s">
        <v>217</v>
      </c>
      <c r="G1384" s="194" t="s">
        <v>284</v>
      </c>
      <c r="H1384" s="540">
        <v>25000</v>
      </c>
      <c r="I1384" s="540"/>
      <c r="J1384" s="540">
        <f t="shared" si="193"/>
        <v>25000</v>
      </c>
      <c r="K1384" s="131"/>
      <c r="L1384" s="541"/>
      <c r="M1384" s="541"/>
      <c r="N1384" s="541"/>
      <c r="O1384" s="131"/>
      <c r="P1384" s="136">
        <f t="shared" si="194"/>
        <v>25000</v>
      </c>
      <c r="Q1384" s="136">
        <f t="shared" si="195"/>
        <v>0</v>
      </c>
      <c r="R1384" s="136">
        <f t="shared" si="196"/>
        <v>25000</v>
      </c>
    </row>
    <row r="1385" spans="2:18" ht="22.5" x14ac:dyDescent="0.2">
      <c r="B1385" s="749">
        <f t="shared" si="197"/>
        <v>4</v>
      </c>
      <c r="C1385" s="129"/>
      <c r="D1385" s="304"/>
      <c r="E1385" s="304" t="s">
        <v>672</v>
      </c>
      <c r="F1385" s="647" t="s">
        <v>217</v>
      </c>
      <c r="G1385" s="648" t="s">
        <v>436</v>
      </c>
      <c r="H1385" s="541">
        <f>SUM(H1386:H1396)</f>
        <v>53500</v>
      </c>
      <c r="I1385" s="541">
        <f>SUM(I1386:I1396)</f>
        <v>0</v>
      </c>
      <c r="J1385" s="541">
        <f t="shared" si="193"/>
        <v>53500</v>
      </c>
      <c r="K1385" s="131"/>
      <c r="L1385" s="541"/>
      <c r="M1385" s="541"/>
      <c r="N1385" s="541"/>
      <c r="O1385" s="131"/>
      <c r="P1385" s="136">
        <f t="shared" si="194"/>
        <v>53500</v>
      </c>
      <c r="Q1385" s="136">
        <f t="shared" si="195"/>
        <v>0</v>
      </c>
      <c r="R1385" s="136">
        <f t="shared" si="196"/>
        <v>53500</v>
      </c>
    </row>
    <row r="1386" spans="2:18" x14ac:dyDescent="0.2">
      <c r="B1386" s="135">
        <f t="shared" si="197"/>
        <v>5</v>
      </c>
      <c r="C1386" s="129"/>
      <c r="D1386" s="288"/>
      <c r="E1386" s="288"/>
      <c r="F1386" s="649"/>
      <c r="G1386" s="650" t="s">
        <v>574</v>
      </c>
      <c r="H1386" s="651">
        <v>15000</v>
      </c>
      <c r="I1386" s="651"/>
      <c r="J1386" s="651">
        <f t="shared" si="193"/>
        <v>15000</v>
      </c>
      <c r="K1386" s="780"/>
      <c r="L1386" s="651"/>
      <c r="M1386" s="651"/>
      <c r="N1386" s="651"/>
      <c r="O1386" s="780"/>
      <c r="P1386" s="467">
        <f t="shared" si="194"/>
        <v>15000</v>
      </c>
      <c r="Q1386" s="467">
        <f t="shared" si="195"/>
        <v>0</v>
      </c>
      <c r="R1386" s="467">
        <f t="shared" si="196"/>
        <v>15000</v>
      </c>
    </row>
    <row r="1387" spans="2:18" x14ac:dyDescent="0.2">
      <c r="B1387" s="135">
        <f t="shared" si="197"/>
        <v>6</v>
      </c>
      <c r="C1387" s="129"/>
      <c r="D1387" s="288"/>
      <c r="E1387" s="288"/>
      <c r="F1387" s="649"/>
      <c r="G1387" s="650" t="s">
        <v>575</v>
      </c>
      <c r="H1387" s="651">
        <f>10000+2500</f>
        <v>12500</v>
      </c>
      <c r="I1387" s="651"/>
      <c r="J1387" s="651">
        <f t="shared" si="193"/>
        <v>12500</v>
      </c>
      <c r="K1387" s="780"/>
      <c r="L1387" s="651"/>
      <c r="M1387" s="651"/>
      <c r="N1387" s="651"/>
      <c r="O1387" s="780"/>
      <c r="P1387" s="467">
        <f t="shared" si="194"/>
        <v>12500</v>
      </c>
      <c r="Q1387" s="467">
        <f t="shared" si="195"/>
        <v>0</v>
      </c>
      <c r="R1387" s="467">
        <f t="shared" si="196"/>
        <v>12500</v>
      </c>
    </row>
    <row r="1388" spans="2:18" ht="22.5" x14ac:dyDescent="0.2">
      <c r="B1388" s="135">
        <f t="shared" si="197"/>
        <v>7</v>
      </c>
      <c r="C1388" s="129"/>
      <c r="D1388" s="288"/>
      <c r="E1388" s="288"/>
      <c r="F1388" s="649"/>
      <c r="G1388" s="650" t="s">
        <v>839</v>
      </c>
      <c r="H1388" s="653">
        <v>12000</v>
      </c>
      <c r="I1388" s="653"/>
      <c r="J1388" s="653">
        <f t="shared" si="193"/>
        <v>12000</v>
      </c>
      <c r="K1388" s="780"/>
      <c r="L1388" s="651"/>
      <c r="M1388" s="651"/>
      <c r="N1388" s="651"/>
      <c r="O1388" s="780"/>
      <c r="P1388" s="467">
        <f t="shared" si="194"/>
        <v>12000</v>
      </c>
      <c r="Q1388" s="467">
        <f t="shared" si="195"/>
        <v>0</v>
      </c>
      <c r="R1388" s="467">
        <f t="shared" si="196"/>
        <v>12000</v>
      </c>
    </row>
    <row r="1389" spans="2:18" x14ac:dyDescent="0.2">
      <c r="B1389" s="135">
        <f t="shared" si="197"/>
        <v>8</v>
      </c>
      <c r="C1389" s="129"/>
      <c r="D1389" s="666"/>
      <c r="E1389" s="288"/>
      <c r="F1389" s="649"/>
      <c r="G1389" s="650" t="s">
        <v>753</v>
      </c>
      <c r="H1389" s="651">
        <v>2000</v>
      </c>
      <c r="I1389" s="651"/>
      <c r="J1389" s="651">
        <f t="shared" si="193"/>
        <v>2000</v>
      </c>
      <c r="K1389" s="131"/>
      <c r="L1389" s="540"/>
      <c r="M1389" s="540"/>
      <c r="N1389" s="540"/>
      <c r="O1389" s="131"/>
      <c r="P1389" s="542">
        <f t="shared" si="194"/>
        <v>2000</v>
      </c>
      <c r="Q1389" s="542">
        <f t="shared" si="195"/>
        <v>0</v>
      </c>
      <c r="R1389" s="542">
        <f t="shared" si="196"/>
        <v>2000</v>
      </c>
    </row>
    <row r="1390" spans="2:18" ht="22.5" x14ac:dyDescent="0.2">
      <c r="B1390" s="135">
        <f t="shared" si="197"/>
        <v>9</v>
      </c>
      <c r="C1390" s="129"/>
      <c r="D1390" s="666"/>
      <c r="E1390" s="288"/>
      <c r="F1390" s="649"/>
      <c r="G1390" s="650" t="s">
        <v>754</v>
      </c>
      <c r="H1390" s="651">
        <v>900</v>
      </c>
      <c r="I1390" s="651"/>
      <c r="J1390" s="651">
        <f t="shared" si="193"/>
        <v>900</v>
      </c>
      <c r="K1390" s="131"/>
      <c r="L1390" s="540"/>
      <c r="M1390" s="540"/>
      <c r="N1390" s="540"/>
      <c r="O1390" s="131"/>
      <c r="P1390" s="542">
        <f t="shared" si="194"/>
        <v>900</v>
      </c>
      <c r="Q1390" s="542">
        <f t="shared" si="195"/>
        <v>0</v>
      </c>
      <c r="R1390" s="542">
        <f t="shared" si="196"/>
        <v>900</v>
      </c>
    </row>
    <row r="1391" spans="2:18" x14ac:dyDescent="0.2">
      <c r="B1391" s="135">
        <f t="shared" si="197"/>
        <v>10</v>
      </c>
      <c r="C1391" s="129"/>
      <c r="D1391" s="666"/>
      <c r="E1391" s="288"/>
      <c r="F1391" s="649"/>
      <c r="G1391" s="650" t="s">
        <v>755</v>
      </c>
      <c r="H1391" s="651">
        <v>1200</v>
      </c>
      <c r="I1391" s="651"/>
      <c r="J1391" s="651">
        <f t="shared" si="193"/>
        <v>1200</v>
      </c>
      <c r="K1391" s="131"/>
      <c r="L1391" s="540"/>
      <c r="M1391" s="540"/>
      <c r="N1391" s="540"/>
      <c r="O1391" s="131"/>
      <c r="P1391" s="542">
        <f t="shared" si="194"/>
        <v>1200</v>
      </c>
      <c r="Q1391" s="542">
        <f t="shared" si="195"/>
        <v>0</v>
      </c>
      <c r="R1391" s="542">
        <f t="shared" si="196"/>
        <v>1200</v>
      </c>
    </row>
    <row r="1392" spans="2:18" x14ac:dyDescent="0.2">
      <c r="B1392" s="135">
        <f t="shared" si="197"/>
        <v>11</v>
      </c>
      <c r="C1392" s="129"/>
      <c r="D1392" s="666"/>
      <c r="E1392" s="288"/>
      <c r="F1392" s="649"/>
      <c r="G1392" s="650" t="s">
        <v>756</v>
      </c>
      <c r="H1392" s="651">
        <v>3000</v>
      </c>
      <c r="I1392" s="651"/>
      <c r="J1392" s="651">
        <f t="shared" si="193"/>
        <v>3000</v>
      </c>
      <c r="K1392" s="131"/>
      <c r="L1392" s="540"/>
      <c r="M1392" s="540"/>
      <c r="N1392" s="540"/>
      <c r="O1392" s="131"/>
      <c r="P1392" s="542">
        <f t="shared" si="194"/>
        <v>3000</v>
      </c>
      <c r="Q1392" s="542">
        <f t="shared" si="195"/>
        <v>0</v>
      </c>
      <c r="R1392" s="542">
        <f t="shared" si="196"/>
        <v>3000</v>
      </c>
    </row>
    <row r="1393" spans="2:18" x14ac:dyDescent="0.2">
      <c r="B1393" s="135">
        <f t="shared" si="197"/>
        <v>12</v>
      </c>
      <c r="C1393" s="129"/>
      <c r="D1393" s="666"/>
      <c r="E1393" s="288"/>
      <c r="F1393" s="649"/>
      <c r="G1393" s="650" t="s">
        <v>757</v>
      </c>
      <c r="H1393" s="651">
        <v>1500</v>
      </c>
      <c r="I1393" s="651"/>
      <c r="J1393" s="651">
        <f t="shared" si="193"/>
        <v>1500</v>
      </c>
      <c r="K1393" s="131"/>
      <c r="L1393" s="540"/>
      <c r="M1393" s="540"/>
      <c r="N1393" s="540"/>
      <c r="O1393" s="131"/>
      <c r="P1393" s="542">
        <f t="shared" si="194"/>
        <v>1500</v>
      </c>
      <c r="Q1393" s="542">
        <f t="shared" si="195"/>
        <v>0</v>
      </c>
      <c r="R1393" s="542">
        <f t="shared" si="196"/>
        <v>1500</v>
      </c>
    </row>
    <row r="1394" spans="2:18" x14ac:dyDescent="0.2">
      <c r="B1394" s="135">
        <f t="shared" si="197"/>
        <v>13</v>
      </c>
      <c r="C1394" s="129"/>
      <c r="D1394" s="666"/>
      <c r="E1394" s="288"/>
      <c r="F1394" s="649"/>
      <c r="G1394" s="650" t="s">
        <v>758</v>
      </c>
      <c r="H1394" s="651">
        <v>1600</v>
      </c>
      <c r="I1394" s="651"/>
      <c r="J1394" s="651">
        <f t="shared" si="193"/>
        <v>1600</v>
      </c>
      <c r="K1394" s="131"/>
      <c r="L1394" s="540"/>
      <c r="M1394" s="540"/>
      <c r="N1394" s="540"/>
      <c r="O1394" s="131"/>
      <c r="P1394" s="542">
        <f t="shared" si="194"/>
        <v>1600</v>
      </c>
      <c r="Q1394" s="542">
        <f t="shared" si="195"/>
        <v>0</v>
      </c>
      <c r="R1394" s="542">
        <f t="shared" si="196"/>
        <v>1600</v>
      </c>
    </row>
    <row r="1395" spans="2:18" ht="22.5" x14ac:dyDescent="0.2">
      <c r="B1395" s="749">
        <f t="shared" si="197"/>
        <v>14</v>
      </c>
      <c r="C1395" s="129"/>
      <c r="D1395" s="666"/>
      <c r="E1395" s="288"/>
      <c r="F1395" s="649"/>
      <c r="G1395" s="650" t="s">
        <v>759</v>
      </c>
      <c r="H1395" s="651">
        <v>1700</v>
      </c>
      <c r="I1395" s="651"/>
      <c r="J1395" s="651">
        <f t="shared" si="193"/>
        <v>1700</v>
      </c>
      <c r="K1395" s="131"/>
      <c r="L1395" s="540"/>
      <c r="M1395" s="540"/>
      <c r="N1395" s="540"/>
      <c r="O1395" s="131"/>
      <c r="P1395" s="467">
        <f t="shared" si="194"/>
        <v>1700</v>
      </c>
      <c r="Q1395" s="467">
        <f t="shared" si="195"/>
        <v>0</v>
      </c>
      <c r="R1395" s="467">
        <f t="shared" si="196"/>
        <v>1700</v>
      </c>
    </row>
    <row r="1396" spans="2:18" ht="22.5" x14ac:dyDescent="0.2">
      <c r="B1396" s="749">
        <f t="shared" si="197"/>
        <v>15</v>
      </c>
      <c r="C1396" s="129"/>
      <c r="D1396" s="666"/>
      <c r="E1396" s="288"/>
      <c r="F1396" s="649"/>
      <c r="G1396" s="650" t="s">
        <v>760</v>
      </c>
      <c r="H1396" s="651">
        <v>2100</v>
      </c>
      <c r="I1396" s="651"/>
      <c r="J1396" s="651">
        <f t="shared" si="193"/>
        <v>2100</v>
      </c>
      <c r="K1396" s="131"/>
      <c r="L1396" s="540"/>
      <c r="M1396" s="540"/>
      <c r="N1396" s="540"/>
      <c r="O1396" s="131"/>
      <c r="P1396" s="467">
        <f t="shared" si="194"/>
        <v>2100</v>
      </c>
      <c r="Q1396" s="467">
        <f t="shared" si="195"/>
        <v>0</v>
      </c>
      <c r="R1396" s="467">
        <f t="shared" si="196"/>
        <v>2100</v>
      </c>
    </row>
    <row r="1397" spans="2:18" ht="15.75" x14ac:dyDescent="0.25">
      <c r="B1397" s="135">
        <f t="shared" si="197"/>
        <v>16</v>
      </c>
      <c r="C1397" s="22">
        <v>2</v>
      </c>
      <c r="D1397" s="652" t="s">
        <v>314</v>
      </c>
      <c r="E1397" s="21"/>
      <c r="F1397" s="21"/>
      <c r="G1397" s="195"/>
      <c r="H1397" s="402">
        <f>H1398+H1410+H1411</f>
        <v>76000</v>
      </c>
      <c r="I1397" s="404">
        <f>I1398+I1410</f>
        <v>0</v>
      </c>
      <c r="J1397" s="404">
        <f t="shared" si="193"/>
        <v>76000</v>
      </c>
      <c r="K1397" s="784"/>
      <c r="L1397" s="368">
        <v>0</v>
      </c>
      <c r="M1397" s="368">
        <v>0</v>
      </c>
      <c r="N1397" s="368">
        <f>M1397+L1397</f>
        <v>0</v>
      </c>
      <c r="O1397" s="784"/>
      <c r="P1397" s="361">
        <f t="shared" si="194"/>
        <v>76000</v>
      </c>
      <c r="Q1397" s="361">
        <f t="shared" si="195"/>
        <v>0</v>
      </c>
      <c r="R1397" s="361">
        <f t="shared" si="196"/>
        <v>76000</v>
      </c>
    </row>
    <row r="1398" spans="2:18" x14ac:dyDescent="0.2">
      <c r="B1398" s="135">
        <f t="shared" si="197"/>
        <v>17</v>
      </c>
      <c r="C1398" s="129"/>
      <c r="D1398" s="129"/>
      <c r="E1398" s="130" t="s">
        <v>672</v>
      </c>
      <c r="F1398" s="145" t="s">
        <v>216</v>
      </c>
      <c r="G1398" s="202" t="s">
        <v>309</v>
      </c>
      <c r="H1398" s="433">
        <f>SUM(H1399:H1409)</f>
        <v>70140</v>
      </c>
      <c r="I1398" s="433">
        <f>SUM(I1399:I1409)</f>
        <v>0</v>
      </c>
      <c r="J1398" s="433">
        <f t="shared" si="193"/>
        <v>70140</v>
      </c>
      <c r="K1398" s="131"/>
      <c r="L1398" s="369"/>
      <c r="M1398" s="369"/>
      <c r="N1398" s="369"/>
      <c r="O1398" s="131"/>
      <c r="P1398" s="162">
        <f t="shared" si="194"/>
        <v>70140</v>
      </c>
      <c r="Q1398" s="162">
        <f t="shared" si="195"/>
        <v>0</v>
      </c>
      <c r="R1398" s="162">
        <f t="shared" si="196"/>
        <v>70140</v>
      </c>
    </row>
    <row r="1399" spans="2:18" x14ac:dyDescent="0.2">
      <c r="B1399" s="135">
        <f t="shared" si="197"/>
        <v>18</v>
      </c>
      <c r="C1399" s="129"/>
      <c r="D1399" s="130"/>
      <c r="E1399" s="130"/>
      <c r="F1399" s="130"/>
      <c r="G1399" s="194" t="s">
        <v>310</v>
      </c>
      <c r="H1399" s="540">
        <v>9000</v>
      </c>
      <c r="I1399" s="540"/>
      <c r="J1399" s="540">
        <f t="shared" si="193"/>
        <v>9000</v>
      </c>
      <c r="K1399" s="131"/>
      <c r="L1399" s="541"/>
      <c r="M1399" s="541"/>
      <c r="N1399" s="541"/>
      <c r="O1399" s="131"/>
      <c r="P1399" s="136">
        <f t="shared" si="194"/>
        <v>9000</v>
      </c>
      <c r="Q1399" s="136">
        <f t="shared" si="195"/>
        <v>0</v>
      </c>
      <c r="R1399" s="136">
        <f t="shared" si="196"/>
        <v>9000</v>
      </c>
    </row>
    <row r="1400" spans="2:18" x14ac:dyDescent="0.2">
      <c r="B1400" s="135">
        <f t="shared" si="197"/>
        <v>19</v>
      </c>
      <c r="C1400" s="129"/>
      <c r="D1400" s="130"/>
      <c r="E1400" s="130"/>
      <c r="F1400" s="130"/>
      <c r="G1400" s="194" t="s">
        <v>311</v>
      </c>
      <c r="H1400" s="540">
        <f>4500-1500+6240</f>
        <v>9240</v>
      </c>
      <c r="I1400" s="540"/>
      <c r="J1400" s="540">
        <f t="shared" si="193"/>
        <v>9240</v>
      </c>
      <c r="K1400" s="131"/>
      <c r="L1400" s="541"/>
      <c r="M1400" s="541"/>
      <c r="N1400" s="541"/>
      <c r="O1400" s="131"/>
      <c r="P1400" s="136">
        <f t="shared" si="194"/>
        <v>9240</v>
      </c>
      <c r="Q1400" s="136">
        <f t="shared" si="195"/>
        <v>0</v>
      </c>
      <c r="R1400" s="136">
        <f t="shared" si="196"/>
        <v>9240</v>
      </c>
    </row>
    <row r="1401" spans="2:18" x14ac:dyDescent="0.2">
      <c r="B1401" s="135">
        <f t="shared" si="197"/>
        <v>20</v>
      </c>
      <c r="C1401" s="129"/>
      <c r="D1401" s="130"/>
      <c r="E1401" s="130"/>
      <c r="F1401" s="130"/>
      <c r="G1401" s="194" t="s">
        <v>312</v>
      </c>
      <c r="H1401" s="540">
        <f>9800+2000</f>
        <v>11800</v>
      </c>
      <c r="I1401" s="540"/>
      <c r="J1401" s="540">
        <f t="shared" si="193"/>
        <v>11800</v>
      </c>
      <c r="K1401" s="131"/>
      <c r="L1401" s="541"/>
      <c r="M1401" s="541"/>
      <c r="N1401" s="541"/>
      <c r="O1401" s="131"/>
      <c r="P1401" s="136">
        <f t="shared" si="194"/>
        <v>11800</v>
      </c>
      <c r="Q1401" s="136">
        <f t="shared" si="195"/>
        <v>0</v>
      </c>
      <c r="R1401" s="136">
        <f t="shared" si="196"/>
        <v>11800</v>
      </c>
    </row>
    <row r="1402" spans="2:18" x14ac:dyDescent="0.2">
      <c r="B1402" s="135">
        <f t="shared" si="197"/>
        <v>21</v>
      </c>
      <c r="C1402" s="129"/>
      <c r="D1402" s="130"/>
      <c r="E1402" s="130"/>
      <c r="F1402" s="130"/>
      <c r="G1402" s="194" t="s">
        <v>647</v>
      </c>
      <c r="H1402" s="540">
        <f>10000-5000</f>
        <v>5000</v>
      </c>
      <c r="I1402" s="540"/>
      <c r="J1402" s="540">
        <f t="shared" si="193"/>
        <v>5000</v>
      </c>
      <c r="K1402" s="131"/>
      <c r="L1402" s="541"/>
      <c r="M1402" s="541"/>
      <c r="N1402" s="541"/>
      <c r="O1402" s="131"/>
      <c r="P1402" s="136">
        <f t="shared" si="194"/>
        <v>5000</v>
      </c>
      <c r="Q1402" s="136">
        <f t="shared" si="195"/>
        <v>0</v>
      </c>
      <c r="R1402" s="136">
        <f t="shared" si="196"/>
        <v>5000</v>
      </c>
    </row>
    <row r="1403" spans="2:18" x14ac:dyDescent="0.2">
      <c r="B1403" s="135">
        <f t="shared" si="197"/>
        <v>22</v>
      </c>
      <c r="C1403" s="129"/>
      <c r="D1403" s="130"/>
      <c r="E1403" s="130"/>
      <c r="F1403" s="130"/>
      <c r="G1403" s="194" t="s">
        <v>649</v>
      </c>
      <c r="H1403" s="540">
        <v>10000</v>
      </c>
      <c r="I1403" s="540"/>
      <c r="J1403" s="540">
        <f t="shared" si="193"/>
        <v>10000</v>
      </c>
      <c r="K1403" s="131"/>
      <c r="L1403" s="541"/>
      <c r="M1403" s="541"/>
      <c r="N1403" s="541"/>
      <c r="O1403" s="131"/>
      <c r="P1403" s="136">
        <f t="shared" si="194"/>
        <v>10000</v>
      </c>
      <c r="Q1403" s="136">
        <f t="shared" si="195"/>
        <v>0</v>
      </c>
      <c r="R1403" s="136">
        <f t="shared" si="196"/>
        <v>10000</v>
      </c>
    </row>
    <row r="1404" spans="2:18" x14ac:dyDescent="0.2">
      <c r="B1404" s="135">
        <f t="shared" si="197"/>
        <v>23</v>
      </c>
      <c r="C1404" s="129"/>
      <c r="D1404" s="130"/>
      <c r="E1404" s="130"/>
      <c r="F1404" s="130"/>
      <c r="G1404" s="194" t="s">
        <v>590</v>
      </c>
      <c r="H1404" s="540">
        <v>2000</v>
      </c>
      <c r="I1404" s="540"/>
      <c r="J1404" s="540">
        <f t="shared" si="193"/>
        <v>2000</v>
      </c>
      <c r="K1404" s="131"/>
      <c r="L1404" s="541"/>
      <c r="M1404" s="541"/>
      <c r="N1404" s="541"/>
      <c r="O1404" s="131"/>
      <c r="P1404" s="136">
        <f t="shared" si="194"/>
        <v>2000</v>
      </c>
      <c r="Q1404" s="136">
        <f t="shared" si="195"/>
        <v>0</v>
      </c>
      <c r="R1404" s="136">
        <f t="shared" si="196"/>
        <v>2000</v>
      </c>
    </row>
    <row r="1405" spans="2:18" x14ac:dyDescent="0.2">
      <c r="B1405" s="135">
        <f t="shared" si="197"/>
        <v>24</v>
      </c>
      <c r="C1405" s="129"/>
      <c r="D1405" s="130"/>
      <c r="E1405" s="130"/>
      <c r="F1405" s="130"/>
      <c r="G1405" s="194" t="s">
        <v>527</v>
      </c>
      <c r="H1405" s="540">
        <f>2000+600</f>
        <v>2600</v>
      </c>
      <c r="I1405" s="540"/>
      <c r="J1405" s="540">
        <f t="shared" si="193"/>
        <v>2600</v>
      </c>
      <c r="K1405" s="131"/>
      <c r="L1405" s="541"/>
      <c r="M1405" s="541"/>
      <c r="N1405" s="541"/>
      <c r="O1405" s="131"/>
      <c r="P1405" s="136">
        <f t="shared" si="194"/>
        <v>2600</v>
      </c>
      <c r="Q1405" s="136">
        <f t="shared" si="195"/>
        <v>0</v>
      </c>
      <c r="R1405" s="136">
        <f t="shared" si="196"/>
        <v>2600</v>
      </c>
    </row>
    <row r="1406" spans="2:18" x14ac:dyDescent="0.2">
      <c r="B1406" s="135">
        <f t="shared" si="197"/>
        <v>25</v>
      </c>
      <c r="C1406" s="129"/>
      <c r="D1406" s="130"/>
      <c r="E1406" s="130"/>
      <c r="F1406" s="130"/>
      <c r="G1406" s="194" t="s">
        <v>528</v>
      </c>
      <c r="H1406" s="540">
        <v>12000</v>
      </c>
      <c r="I1406" s="540"/>
      <c r="J1406" s="540">
        <f t="shared" si="193"/>
        <v>12000</v>
      </c>
      <c r="K1406" s="131"/>
      <c r="L1406" s="541"/>
      <c r="M1406" s="541"/>
      <c r="N1406" s="541"/>
      <c r="O1406" s="131"/>
      <c r="P1406" s="136">
        <f t="shared" si="194"/>
        <v>12000</v>
      </c>
      <c r="Q1406" s="136">
        <f t="shared" si="195"/>
        <v>0</v>
      </c>
      <c r="R1406" s="136">
        <f t="shared" si="196"/>
        <v>12000</v>
      </c>
    </row>
    <row r="1407" spans="2:18" x14ac:dyDescent="0.2">
      <c r="B1407" s="135">
        <f t="shared" si="197"/>
        <v>26</v>
      </c>
      <c r="C1407" s="129"/>
      <c r="D1407" s="130"/>
      <c r="E1407" s="130"/>
      <c r="F1407" s="130"/>
      <c r="G1407" s="194" t="s">
        <v>313</v>
      </c>
      <c r="H1407" s="540">
        <v>6000</v>
      </c>
      <c r="I1407" s="540"/>
      <c r="J1407" s="540">
        <f t="shared" si="193"/>
        <v>6000</v>
      </c>
      <c r="K1407" s="131"/>
      <c r="L1407" s="541"/>
      <c r="M1407" s="541"/>
      <c r="N1407" s="541"/>
      <c r="O1407" s="131"/>
      <c r="P1407" s="136">
        <f t="shared" si="194"/>
        <v>6000</v>
      </c>
      <c r="Q1407" s="136">
        <f t="shared" si="195"/>
        <v>0</v>
      </c>
      <c r="R1407" s="136">
        <f t="shared" si="196"/>
        <v>6000</v>
      </c>
    </row>
    <row r="1408" spans="2:18" x14ac:dyDescent="0.2">
      <c r="B1408" s="135">
        <f t="shared" si="197"/>
        <v>27</v>
      </c>
      <c r="C1408" s="129"/>
      <c r="D1408" s="130"/>
      <c r="E1408" s="130"/>
      <c r="F1408" s="130"/>
      <c r="G1408" s="194" t="s">
        <v>648</v>
      </c>
      <c r="H1408" s="540">
        <v>1500</v>
      </c>
      <c r="I1408" s="540"/>
      <c r="J1408" s="540">
        <f t="shared" si="193"/>
        <v>1500</v>
      </c>
      <c r="K1408" s="131"/>
      <c r="L1408" s="541"/>
      <c r="M1408" s="541"/>
      <c r="N1408" s="541"/>
      <c r="O1408" s="131"/>
      <c r="P1408" s="136">
        <f t="shared" si="194"/>
        <v>1500</v>
      </c>
      <c r="Q1408" s="136">
        <f t="shared" si="195"/>
        <v>0</v>
      </c>
      <c r="R1408" s="136">
        <f t="shared" si="196"/>
        <v>1500</v>
      </c>
    </row>
    <row r="1409" spans="2:18" x14ac:dyDescent="0.2">
      <c r="B1409" s="135">
        <f t="shared" si="197"/>
        <v>28</v>
      </c>
      <c r="C1409" s="129"/>
      <c r="D1409" s="130"/>
      <c r="E1409" s="130"/>
      <c r="F1409" s="130"/>
      <c r="G1409" s="194" t="s">
        <v>609</v>
      </c>
      <c r="H1409" s="540">
        <f>500+500</f>
        <v>1000</v>
      </c>
      <c r="I1409" s="540"/>
      <c r="J1409" s="540">
        <f t="shared" si="193"/>
        <v>1000</v>
      </c>
      <c r="K1409" s="131"/>
      <c r="L1409" s="541"/>
      <c r="M1409" s="541"/>
      <c r="N1409" s="541"/>
      <c r="O1409" s="131"/>
      <c r="P1409" s="136">
        <f t="shared" si="194"/>
        <v>1000</v>
      </c>
      <c r="Q1409" s="136">
        <f t="shared" si="195"/>
        <v>0</v>
      </c>
      <c r="R1409" s="136">
        <f t="shared" si="196"/>
        <v>1000</v>
      </c>
    </row>
    <row r="1410" spans="2:18" x14ac:dyDescent="0.2">
      <c r="B1410" s="135">
        <f t="shared" si="197"/>
        <v>29</v>
      </c>
      <c r="C1410" s="129"/>
      <c r="D1410" s="130"/>
      <c r="E1410" s="130" t="s">
        <v>672</v>
      </c>
      <c r="F1410" s="145" t="s">
        <v>200</v>
      </c>
      <c r="G1410" s="202" t="s">
        <v>591</v>
      </c>
      <c r="H1410" s="540">
        <v>3600</v>
      </c>
      <c r="I1410" s="540"/>
      <c r="J1410" s="540">
        <f t="shared" si="193"/>
        <v>3600</v>
      </c>
      <c r="K1410" s="131"/>
      <c r="L1410" s="541"/>
      <c r="M1410" s="541"/>
      <c r="N1410" s="541"/>
      <c r="O1410" s="131"/>
      <c r="P1410" s="136">
        <f t="shared" si="194"/>
        <v>3600</v>
      </c>
      <c r="Q1410" s="136">
        <f t="shared" si="195"/>
        <v>0</v>
      </c>
      <c r="R1410" s="136">
        <f t="shared" si="196"/>
        <v>3600</v>
      </c>
    </row>
    <row r="1411" spans="2:18" x14ac:dyDescent="0.2">
      <c r="B1411" s="135">
        <f t="shared" si="197"/>
        <v>30</v>
      </c>
      <c r="C1411" s="129"/>
      <c r="D1411" s="179"/>
      <c r="E1411" s="288" t="s">
        <v>672</v>
      </c>
      <c r="F1411" s="282" t="s">
        <v>200</v>
      </c>
      <c r="G1411" s="202" t="s">
        <v>819</v>
      </c>
      <c r="H1411" s="540">
        <f>1500+760</f>
        <v>2260</v>
      </c>
      <c r="I1411" s="540"/>
      <c r="J1411" s="540">
        <f t="shared" si="193"/>
        <v>2260</v>
      </c>
      <c r="K1411" s="131"/>
      <c r="L1411" s="540"/>
      <c r="M1411" s="540"/>
      <c r="N1411" s="540"/>
      <c r="O1411" s="131"/>
      <c r="P1411" s="542">
        <f t="shared" si="194"/>
        <v>2260</v>
      </c>
      <c r="Q1411" s="542">
        <f t="shared" si="195"/>
        <v>0</v>
      </c>
      <c r="R1411" s="542">
        <f t="shared" si="196"/>
        <v>2260</v>
      </c>
    </row>
    <row r="1412" spans="2:18" ht="15.75" x14ac:dyDescent="0.25">
      <c r="B1412" s="135">
        <f t="shared" si="197"/>
        <v>31</v>
      </c>
      <c r="C1412" s="20">
        <v>3</v>
      </c>
      <c r="D1412" s="125" t="s">
        <v>109</v>
      </c>
      <c r="E1412" s="21"/>
      <c r="F1412" s="21"/>
      <c r="G1412" s="195"/>
      <c r="H1412" s="402">
        <f>H1413+H1419+H1420+H1421+H1423+H1424+H1422</f>
        <v>163600</v>
      </c>
      <c r="I1412" s="404">
        <f>I1413+I1419+I1420+I1421+I1423+I1424+I1422</f>
        <v>0</v>
      </c>
      <c r="J1412" s="404">
        <f t="shared" si="193"/>
        <v>163600</v>
      </c>
      <c r="K1412" s="785"/>
      <c r="L1412" s="366">
        <f>SUM(L1413:L1424)</f>
        <v>0</v>
      </c>
      <c r="M1412" s="366">
        <f>SUM(M1413:M1424)</f>
        <v>0</v>
      </c>
      <c r="N1412" s="366">
        <f>M1412+L1412</f>
        <v>0</v>
      </c>
      <c r="O1412" s="785"/>
      <c r="P1412" s="360">
        <f t="shared" si="194"/>
        <v>163600</v>
      </c>
      <c r="Q1412" s="360">
        <f t="shared" si="195"/>
        <v>0</v>
      </c>
      <c r="R1412" s="360">
        <f t="shared" si="196"/>
        <v>163600</v>
      </c>
    </row>
    <row r="1413" spans="2:18" x14ac:dyDescent="0.2">
      <c r="B1413" s="135">
        <f t="shared" si="197"/>
        <v>32</v>
      </c>
      <c r="C1413" s="129"/>
      <c r="D1413" s="129"/>
      <c r="E1413" s="130" t="s">
        <v>672</v>
      </c>
      <c r="F1413" s="227" t="s">
        <v>473</v>
      </c>
      <c r="G1413" s="227"/>
      <c r="H1413" s="374">
        <f>SUM(H1414:H1417)</f>
        <v>130000</v>
      </c>
      <c r="I1413" s="374">
        <f>SUM(I1414:I1417)</f>
        <v>0</v>
      </c>
      <c r="J1413" s="374">
        <f t="shared" si="193"/>
        <v>130000</v>
      </c>
      <c r="K1413" s="131"/>
      <c r="L1413" s="540"/>
      <c r="M1413" s="540"/>
      <c r="N1413" s="540"/>
      <c r="O1413" s="131"/>
      <c r="P1413" s="269">
        <f t="shared" si="194"/>
        <v>130000</v>
      </c>
      <c r="Q1413" s="269">
        <f t="shared" si="195"/>
        <v>0</v>
      </c>
      <c r="R1413" s="269">
        <f t="shared" si="196"/>
        <v>130000</v>
      </c>
    </row>
    <row r="1414" spans="2:18" x14ac:dyDescent="0.2">
      <c r="B1414" s="135">
        <f t="shared" si="197"/>
        <v>33</v>
      </c>
      <c r="C1414" s="129"/>
      <c r="D1414" s="129"/>
      <c r="E1414" s="158"/>
      <c r="F1414" s="133">
        <v>632</v>
      </c>
      <c r="G1414" s="194" t="s">
        <v>246</v>
      </c>
      <c r="H1414" s="540">
        <v>114000</v>
      </c>
      <c r="I1414" s="540"/>
      <c r="J1414" s="540">
        <f t="shared" si="193"/>
        <v>114000</v>
      </c>
      <c r="K1414" s="131"/>
      <c r="L1414" s="540"/>
      <c r="M1414" s="540"/>
      <c r="N1414" s="540"/>
      <c r="O1414" s="131"/>
      <c r="P1414" s="542">
        <f t="shared" si="194"/>
        <v>114000</v>
      </c>
      <c r="Q1414" s="542">
        <f t="shared" si="195"/>
        <v>0</v>
      </c>
      <c r="R1414" s="542">
        <f t="shared" si="196"/>
        <v>114000</v>
      </c>
    </row>
    <row r="1415" spans="2:18" x14ac:dyDescent="0.2">
      <c r="B1415" s="135">
        <f t="shared" si="197"/>
        <v>34</v>
      </c>
      <c r="C1415" s="129"/>
      <c r="D1415" s="129"/>
      <c r="E1415" s="158"/>
      <c r="F1415" s="133">
        <v>633</v>
      </c>
      <c r="G1415" s="194" t="s">
        <v>247</v>
      </c>
      <c r="H1415" s="540">
        <v>2500</v>
      </c>
      <c r="I1415" s="540"/>
      <c r="J1415" s="540">
        <f t="shared" si="193"/>
        <v>2500</v>
      </c>
      <c r="K1415" s="131"/>
      <c r="L1415" s="540"/>
      <c r="M1415" s="540"/>
      <c r="N1415" s="540"/>
      <c r="O1415" s="131"/>
      <c r="P1415" s="542">
        <f t="shared" si="194"/>
        <v>2500</v>
      </c>
      <c r="Q1415" s="542">
        <f t="shared" si="195"/>
        <v>0</v>
      </c>
      <c r="R1415" s="542">
        <f t="shared" si="196"/>
        <v>2500</v>
      </c>
    </row>
    <row r="1416" spans="2:18" x14ac:dyDescent="0.2">
      <c r="B1416" s="135">
        <f t="shared" si="197"/>
        <v>35</v>
      </c>
      <c r="C1416" s="129"/>
      <c r="D1416" s="129"/>
      <c r="E1416" s="158"/>
      <c r="F1416" s="133">
        <v>635</v>
      </c>
      <c r="G1416" s="194" t="s">
        <v>261</v>
      </c>
      <c r="H1416" s="540">
        <f>13500-3000</f>
        <v>10500</v>
      </c>
      <c r="I1416" s="540"/>
      <c r="J1416" s="540">
        <f t="shared" si="193"/>
        <v>10500</v>
      </c>
      <c r="K1416" s="131"/>
      <c r="L1416" s="540"/>
      <c r="M1416" s="540"/>
      <c r="N1416" s="540"/>
      <c r="O1416" s="131"/>
      <c r="P1416" s="542">
        <f t="shared" si="194"/>
        <v>10500</v>
      </c>
      <c r="Q1416" s="542">
        <f t="shared" si="195"/>
        <v>0</v>
      </c>
      <c r="R1416" s="542">
        <f t="shared" si="196"/>
        <v>10500</v>
      </c>
    </row>
    <row r="1417" spans="2:18" x14ac:dyDescent="0.2">
      <c r="B1417" s="135">
        <f t="shared" si="197"/>
        <v>36</v>
      </c>
      <c r="C1417" s="129"/>
      <c r="D1417" s="129"/>
      <c r="E1417" s="158"/>
      <c r="F1417" s="133">
        <v>637</v>
      </c>
      <c r="G1417" s="194" t="s">
        <v>248</v>
      </c>
      <c r="H1417" s="540">
        <v>3000</v>
      </c>
      <c r="I1417" s="540"/>
      <c r="J1417" s="540">
        <f t="shared" si="193"/>
        <v>3000</v>
      </c>
      <c r="K1417" s="131"/>
      <c r="L1417" s="540"/>
      <c r="M1417" s="540"/>
      <c r="N1417" s="540"/>
      <c r="O1417" s="131"/>
      <c r="P1417" s="542">
        <f t="shared" si="194"/>
        <v>3000</v>
      </c>
      <c r="Q1417" s="542">
        <f t="shared" si="195"/>
        <v>0</v>
      </c>
      <c r="R1417" s="542">
        <f t="shared" si="196"/>
        <v>3000</v>
      </c>
    </row>
    <row r="1418" spans="2:18" x14ac:dyDescent="0.2">
      <c r="B1418" s="135">
        <f t="shared" si="197"/>
        <v>37</v>
      </c>
      <c r="C1418" s="129"/>
      <c r="D1418" s="129"/>
      <c r="E1418" s="158"/>
      <c r="F1418" s="133"/>
      <c r="G1418" s="194"/>
      <c r="H1418" s="540"/>
      <c r="I1418" s="540"/>
      <c r="J1418" s="540"/>
      <c r="K1418" s="131"/>
      <c r="L1418" s="540"/>
      <c r="M1418" s="540"/>
      <c r="N1418" s="540"/>
      <c r="O1418" s="131"/>
      <c r="P1418" s="542"/>
      <c r="Q1418" s="542"/>
      <c r="R1418" s="542"/>
    </row>
    <row r="1419" spans="2:18" x14ac:dyDescent="0.2">
      <c r="B1419" s="135">
        <f t="shared" si="197"/>
        <v>38</v>
      </c>
      <c r="C1419" s="129"/>
      <c r="D1419" s="129"/>
      <c r="E1419" s="130" t="s">
        <v>672</v>
      </c>
      <c r="F1419" s="133">
        <v>637</v>
      </c>
      <c r="G1419" s="194" t="s">
        <v>304</v>
      </c>
      <c r="H1419" s="540">
        <v>1100</v>
      </c>
      <c r="I1419" s="540"/>
      <c r="J1419" s="540">
        <f t="shared" ref="J1419:J1425" si="198">I1419+H1419</f>
        <v>1100</v>
      </c>
      <c r="K1419" s="131"/>
      <c r="L1419" s="540"/>
      <c r="M1419" s="540"/>
      <c r="N1419" s="540"/>
      <c r="O1419" s="131"/>
      <c r="P1419" s="542">
        <f t="shared" ref="P1419:P1425" si="199">H1419+L1419</f>
        <v>1100</v>
      </c>
      <c r="Q1419" s="542">
        <f t="shared" ref="Q1419:Q1425" si="200">I1419+M1419</f>
        <v>0</v>
      </c>
      <c r="R1419" s="542">
        <f t="shared" ref="R1419:R1425" si="201">Q1419+P1419</f>
        <v>1100</v>
      </c>
    </row>
    <row r="1420" spans="2:18" x14ac:dyDescent="0.2">
      <c r="B1420" s="135">
        <f t="shared" si="197"/>
        <v>39</v>
      </c>
      <c r="C1420" s="129"/>
      <c r="D1420" s="129"/>
      <c r="E1420" s="130" t="s">
        <v>672</v>
      </c>
      <c r="F1420" s="133">
        <v>620</v>
      </c>
      <c r="G1420" s="353" t="s">
        <v>529</v>
      </c>
      <c r="H1420" s="540">
        <v>2400</v>
      </c>
      <c r="I1420" s="540"/>
      <c r="J1420" s="540">
        <f t="shared" si="198"/>
        <v>2400</v>
      </c>
      <c r="K1420" s="131"/>
      <c r="L1420" s="540"/>
      <c r="M1420" s="540"/>
      <c r="N1420" s="540"/>
      <c r="O1420" s="131"/>
      <c r="P1420" s="542">
        <f t="shared" si="199"/>
        <v>2400</v>
      </c>
      <c r="Q1420" s="542">
        <f t="shared" si="200"/>
        <v>0</v>
      </c>
      <c r="R1420" s="542">
        <f t="shared" si="201"/>
        <v>2400</v>
      </c>
    </row>
    <row r="1421" spans="2:18" x14ac:dyDescent="0.2">
      <c r="B1421" s="135">
        <f t="shared" si="197"/>
        <v>40</v>
      </c>
      <c r="C1421" s="129"/>
      <c r="D1421" s="129"/>
      <c r="E1421" s="130" t="s">
        <v>672</v>
      </c>
      <c r="F1421" s="351">
        <v>637</v>
      </c>
      <c r="G1421" s="353" t="s">
        <v>529</v>
      </c>
      <c r="H1421" s="540">
        <v>8900</v>
      </c>
      <c r="I1421" s="540"/>
      <c r="J1421" s="540">
        <f t="shared" si="198"/>
        <v>8900</v>
      </c>
      <c r="K1421" s="131"/>
      <c r="L1421" s="388"/>
      <c r="M1421" s="388"/>
      <c r="N1421" s="388"/>
      <c r="O1421" s="131"/>
      <c r="P1421" s="352">
        <f t="shared" si="199"/>
        <v>8900</v>
      </c>
      <c r="Q1421" s="352">
        <f t="shared" si="200"/>
        <v>0</v>
      </c>
      <c r="R1421" s="352">
        <f t="shared" si="201"/>
        <v>8900</v>
      </c>
    </row>
    <row r="1422" spans="2:18" x14ac:dyDescent="0.2">
      <c r="B1422" s="135">
        <f t="shared" si="197"/>
        <v>41</v>
      </c>
      <c r="C1422" s="129"/>
      <c r="D1422" s="129"/>
      <c r="E1422" s="130" t="s">
        <v>672</v>
      </c>
      <c r="F1422" s="351">
        <v>633</v>
      </c>
      <c r="G1422" s="353" t="s">
        <v>601</v>
      </c>
      <c r="H1422" s="540">
        <v>5000</v>
      </c>
      <c r="I1422" s="540"/>
      <c r="J1422" s="540">
        <f t="shared" si="198"/>
        <v>5000</v>
      </c>
      <c r="K1422" s="131"/>
      <c r="L1422" s="388"/>
      <c r="M1422" s="388"/>
      <c r="N1422" s="388"/>
      <c r="O1422" s="131"/>
      <c r="P1422" s="352">
        <f t="shared" si="199"/>
        <v>5000</v>
      </c>
      <c r="Q1422" s="352">
        <f t="shared" si="200"/>
        <v>0</v>
      </c>
      <c r="R1422" s="352">
        <f t="shared" si="201"/>
        <v>5000</v>
      </c>
    </row>
    <row r="1423" spans="2:18" x14ac:dyDescent="0.2">
      <c r="B1423" s="135">
        <f t="shared" si="197"/>
        <v>42</v>
      </c>
      <c r="C1423" s="129"/>
      <c r="D1423" s="129"/>
      <c r="E1423" s="130" t="s">
        <v>672</v>
      </c>
      <c r="F1423" s="351">
        <v>630</v>
      </c>
      <c r="G1423" s="353" t="s">
        <v>449</v>
      </c>
      <c r="H1423" s="540">
        <v>14200</v>
      </c>
      <c r="I1423" s="540"/>
      <c r="J1423" s="540">
        <f t="shared" si="198"/>
        <v>14200</v>
      </c>
      <c r="K1423" s="131"/>
      <c r="L1423" s="388"/>
      <c r="M1423" s="388"/>
      <c r="N1423" s="388"/>
      <c r="O1423" s="131"/>
      <c r="P1423" s="352">
        <f t="shared" si="199"/>
        <v>14200</v>
      </c>
      <c r="Q1423" s="352">
        <f t="shared" si="200"/>
        <v>0</v>
      </c>
      <c r="R1423" s="352">
        <f t="shared" si="201"/>
        <v>14200</v>
      </c>
    </row>
    <row r="1424" spans="2:18" x14ac:dyDescent="0.2">
      <c r="B1424" s="135">
        <f t="shared" si="197"/>
        <v>43</v>
      </c>
      <c r="C1424" s="129"/>
      <c r="D1424" s="129"/>
      <c r="E1424" s="130" t="s">
        <v>672</v>
      </c>
      <c r="F1424" s="351">
        <v>630</v>
      </c>
      <c r="G1424" s="353" t="s">
        <v>695</v>
      </c>
      <c r="H1424" s="540">
        <v>2000</v>
      </c>
      <c r="I1424" s="540"/>
      <c r="J1424" s="540">
        <f t="shared" si="198"/>
        <v>2000</v>
      </c>
      <c r="K1424" s="131"/>
      <c r="L1424" s="388"/>
      <c r="M1424" s="388"/>
      <c r="N1424" s="388"/>
      <c r="O1424" s="131"/>
      <c r="P1424" s="352">
        <f t="shared" si="199"/>
        <v>2000</v>
      </c>
      <c r="Q1424" s="352">
        <f t="shared" si="200"/>
        <v>0</v>
      </c>
      <c r="R1424" s="352">
        <f t="shared" si="201"/>
        <v>2000</v>
      </c>
    </row>
    <row r="1425" spans="2:18" ht="16.5" thickBot="1" x14ac:dyDescent="0.3">
      <c r="B1425" s="135">
        <f t="shared" si="197"/>
        <v>44</v>
      </c>
      <c r="C1425" s="26">
        <v>4</v>
      </c>
      <c r="D1425" s="199" t="s">
        <v>225</v>
      </c>
      <c r="E1425" s="27"/>
      <c r="F1425" s="27"/>
      <c r="G1425" s="196"/>
      <c r="H1425" s="403">
        <v>0</v>
      </c>
      <c r="I1425" s="773">
        <v>0</v>
      </c>
      <c r="J1425" s="773">
        <f t="shared" si="198"/>
        <v>0</v>
      </c>
      <c r="K1425" s="784"/>
      <c r="L1425" s="443">
        <v>18320</v>
      </c>
      <c r="M1425" s="809"/>
      <c r="N1425" s="809">
        <f>M1425+L1425</f>
        <v>18320</v>
      </c>
      <c r="O1425" s="784"/>
      <c r="P1425" s="444">
        <f t="shared" si="199"/>
        <v>18320</v>
      </c>
      <c r="Q1425" s="444">
        <f t="shared" si="200"/>
        <v>0</v>
      </c>
      <c r="R1425" s="444">
        <f t="shared" si="201"/>
        <v>18320</v>
      </c>
    </row>
    <row r="1457" spans="2:20" ht="27.75" thickBot="1" x14ac:dyDescent="0.4">
      <c r="B1457" s="246" t="s">
        <v>226</v>
      </c>
      <c r="C1457" s="246"/>
      <c r="D1457" s="246"/>
      <c r="E1457" s="246"/>
      <c r="F1457" s="246"/>
      <c r="G1457" s="246"/>
      <c r="H1457" s="246"/>
      <c r="I1457" s="246"/>
      <c r="J1457" s="246"/>
      <c r="K1457" s="246"/>
      <c r="L1457" s="246"/>
      <c r="M1457" s="246"/>
      <c r="N1457" s="246"/>
      <c r="O1457" s="246"/>
      <c r="P1457" s="246"/>
    </row>
    <row r="1458" spans="2:20" ht="13.5" customHeight="1" thickBot="1" x14ac:dyDescent="0.25">
      <c r="B1458" s="874" t="s">
        <v>632</v>
      </c>
      <c r="C1458" s="875"/>
      <c r="D1458" s="875"/>
      <c r="E1458" s="875"/>
      <c r="F1458" s="875"/>
      <c r="G1458" s="875"/>
      <c r="H1458" s="875"/>
      <c r="I1458" s="875"/>
      <c r="J1458" s="875"/>
      <c r="K1458" s="875"/>
      <c r="L1458" s="875"/>
      <c r="M1458" s="875"/>
      <c r="N1458" s="876"/>
      <c r="O1458" s="787"/>
      <c r="P1458" s="867" t="s">
        <v>724</v>
      </c>
      <c r="Q1458" s="867" t="s">
        <v>842</v>
      </c>
      <c r="R1458" s="867" t="s">
        <v>724</v>
      </c>
    </row>
    <row r="1459" spans="2:20" ht="13.5" customHeight="1" thickTop="1" x14ac:dyDescent="0.2">
      <c r="B1459" s="523"/>
      <c r="C1459" s="863" t="s">
        <v>478</v>
      </c>
      <c r="D1459" s="863" t="s">
        <v>477</v>
      </c>
      <c r="E1459" s="863" t="s">
        <v>475</v>
      </c>
      <c r="F1459" s="863" t="s">
        <v>476</v>
      </c>
      <c r="G1459" s="877" t="s">
        <v>3</v>
      </c>
      <c r="H1459" s="870" t="s">
        <v>725</v>
      </c>
      <c r="I1459" s="870" t="s">
        <v>842</v>
      </c>
      <c r="J1459" s="870" t="s">
        <v>725</v>
      </c>
      <c r="K1459" s="790"/>
      <c r="L1459" s="872" t="s">
        <v>726</v>
      </c>
      <c r="M1459" s="872" t="s">
        <v>842</v>
      </c>
      <c r="N1459" s="872" t="s">
        <v>726</v>
      </c>
      <c r="O1459" s="781"/>
      <c r="P1459" s="868"/>
      <c r="Q1459" s="868"/>
      <c r="R1459" s="868"/>
    </row>
    <row r="1460" spans="2:20" ht="39" customHeight="1" thickBot="1" x14ac:dyDescent="0.25">
      <c r="B1460" s="523"/>
      <c r="C1460" s="864"/>
      <c r="D1460" s="864"/>
      <c r="E1460" s="864"/>
      <c r="F1460" s="864"/>
      <c r="G1460" s="878"/>
      <c r="H1460" s="871"/>
      <c r="I1460" s="871"/>
      <c r="J1460" s="871"/>
      <c r="K1460" s="790"/>
      <c r="L1460" s="873"/>
      <c r="M1460" s="873"/>
      <c r="N1460" s="873"/>
      <c r="O1460" s="781"/>
      <c r="P1460" s="869"/>
      <c r="Q1460" s="869"/>
      <c r="R1460" s="869"/>
    </row>
    <row r="1461" spans="2:20" ht="19.5" thickTop="1" thickBot="1" x14ac:dyDescent="0.25">
      <c r="B1461" s="524">
        <v>1</v>
      </c>
      <c r="C1461" s="124" t="s">
        <v>227</v>
      </c>
      <c r="D1461" s="110"/>
      <c r="E1461" s="110"/>
      <c r="F1461" s="110"/>
      <c r="G1461" s="204"/>
      <c r="H1461" s="400">
        <f>H1462+H1496+H1507+H1514+H1516+H1524</f>
        <v>3740996</v>
      </c>
      <c r="I1461" s="400">
        <f>I1462+I1496+I1507+I1514+I1516+I1524</f>
        <v>56000</v>
      </c>
      <c r="J1461" s="400">
        <f t="shared" ref="J1461:J1491" si="202">I1461+H1461</f>
        <v>3796996</v>
      </c>
      <c r="K1461" s="783"/>
      <c r="L1461" s="396">
        <f>L1462+L1496+L1507+L1514+L1516+L1524</f>
        <v>92685</v>
      </c>
      <c r="M1461" s="396">
        <f>M1462+M1496+M1507+M1511+M1515+M1523</f>
        <v>0</v>
      </c>
      <c r="N1461" s="396">
        <f>M1461+L1461</f>
        <v>92685</v>
      </c>
      <c r="O1461" s="783"/>
      <c r="P1461" s="359">
        <f t="shared" ref="P1461:P1491" si="203">H1461+L1461</f>
        <v>3833681</v>
      </c>
      <c r="Q1461" s="778">
        <f t="shared" ref="Q1461:Q1491" si="204">I1461+M1461</f>
        <v>56000</v>
      </c>
      <c r="R1461" s="778">
        <f t="shared" ref="R1461:R1491" si="205">Q1461+P1461</f>
        <v>3889681</v>
      </c>
    </row>
    <row r="1462" spans="2:20" ht="16.5" thickTop="1" x14ac:dyDescent="0.25">
      <c r="B1462" s="172">
        <f>B1461+1</f>
        <v>2</v>
      </c>
      <c r="C1462" s="22">
        <v>1</v>
      </c>
      <c r="D1462" s="126" t="s">
        <v>0</v>
      </c>
      <c r="E1462" s="23"/>
      <c r="F1462" s="23"/>
      <c r="G1462" s="193"/>
      <c r="H1462" s="401">
        <f>H1463+H1482+H1474+H1493</f>
        <v>414000</v>
      </c>
      <c r="I1462" s="414">
        <f>I1463+I1474+I1482</f>
        <v>82700</v>
      </c>
      <c r="J1462" s="414">
        <f>I1462+H1462</f>
        <v>496700</v>
      </c>
      <c r="K1462" s="784"/>
      <c r="L1462" s="445">
        <f>SUM(L1466:L1495)</f>
        <v>3500</v>
      </c>
      <c r="M1462" s="810">
        <f>SUM(M1466:M1495)</f>
        <v>0</v>
      </c>
      <c r="N1462" s="810">
        <f>M1462+L1462</f>
        <v>3500</v>
      </c>
      <c r="O1462" s="784"/>
      <c r="P1462" s="360">
        <f t="shared" si="203"/>
        <v>417500</v>
      </c>
      <c r="Q1462" s="360">
        <f t="shared" si="204"/>
        <v>82700</v>
      </c>
      <c r="R1462" s="360">
        <f t="shared" si="205"/>
        <v>500200</v>
      </c>
      <c r="T1462" s="17"/>
    </row>
    <row r="1463" spans="2:20" x14ac:dyDescent="0.2">
      <c r="B1463" s="172">
        <f t="shared" ref="B1463:B1528" si="206">B1462+1</f>
        <v>3</v>
      </c>
      <c r="C1463" s="144"/>
      <c r="D1463" s="156"/>
      <c r="E1463" s="157" t="s">
        <v>267</v>
      </c>
      <c r="F1463" s="227" t="s">
        <v>605</v>
      </c>
      <c r="G1463" s="227"/>
      <c r="H1463" s="374">
        <f>H1464+H1465+H1466+H1473</f>
        <v>47500</v>
      </c>
      <c r="I1463" s="374">
        <f>I1464+I1465+I1466+I1473</f>
        <v>0</v>
      </c>
      <c r="J1463" s="374">
        <f t="shared" si="202"/>
        <v>47500</v>
      </c>
      <c r="K1463" s="147"/>
      <c r="L1463" s="384"/>
      <c r="M1463" s="384"/>
      <c r="N1463" s="384"/>
      <c r="O1463" s="147"/>
      <c r="P1463" s="167">
        <f t="shared" si="203"/>
        <v>47500</v>
      </c>
      <c r="Q1463" s="167">
        <f t="shared" si="204"/>
        <v>0</v>
      </c>
      <c r="R1463" s="167">
        <f t="shared" si="205"/>
        <v>47500</v>
      </c>
      <c r="T1463" s="17"/>
    </row>
    <row r="1464" spans="2:20" x14ac:dyDescent="0.2">
      <c r="B1464" s="172">
        <f t="shared" si="206"/>
        <v>4</v>
      </c>
      <c r="C1464" s="144"/>
      <c r="D1464" s="145"/>
      <c r="E1464" s="150"/>
      <c r="F1464" s="150">
        <v>610</v>
      </c>
      <c r="G1464" s="202" t="s">
        <v>257</v>
      </c>
      <c r="H1464" s="375">
        <v>23125</v>
      </c>
      <c r="I1464" s="375"/>
      <c r="J1464" s="375">
        <f t="shared" si="202"/>
        <v>23125</v>
      </c>
      <c r="K1464" s="147"/>
      <c r="L1464" s="384"/>
      <c r="M1464" s="384"/>
      <c r="N1464" s="384"/>
      <c r="O1464" s="147"/>
      <c r="P1464" s="167">
        <f t="shared" si="203"/>
        <v>23125</v>
      </c>
      <c r="Q1464" s="167">
        <f t="shared" si="204"/>
        <v>0</v>
      </c>
      <c r="R1464" s="167">
        <f t="shared" si="205"/>
        <v>23125</v>
      </c>
    </row>
    <row r="1465" spans="2:20" x14ac:dyDescent="0.2">
      <c r="B1465" s="172">
        <f t="shared" si="206"/>
        <v>5</v>
      </c>
      <c r="C1465" s="144"/>
      <c r="D1465" s="145"/>
      <c r="E1465" s="133"/>
      <c r="F1465" s="150">
        <v>620</v>
      </c>
      <c r="G1465" s="202" t="s">
        <v>259</v>
      </c>
      <c r="H1465" s="375">
        <v>8090</v>
      </c>
      <c r="I1465" s="375"/>
      <c r="J1465" s="375">
        <f t="shared" si="202"/>
        <v>8090</v>
      </c>
      <c r="K1465" s="147"/>
      <c r="L1465" s="384"/>
      <c r="M1465" s="384"/>
      <c r="N1465" s="384"/>
      <c r="O1465" s="147"/>
      <c r="P1465" s="167">
        <f t="shared" si="203"/>
        <v>8090</v>
      </c>
      <c r="Q1465" s="167">
        <f t="shared" si="204"/>
        <v>0</v>
      </c>
      <c r="R1465" s="167">
        <f t="shared" si="205"/>
        <v>8090</v>
      </c>
    </row>
    <row r="1466" spans="2:20" x14ac:dyDescent="0.2">
      <c r="B1466" s="172">
        <f t="shared" si="206"/>
        <v>6</v>
      </c>
      <c r="C1466" s="144"/>
      <c r="D1466" s="145"/>
      <c r="E1466" s="133"/>
      <c r="F1466" s="150">
        <v>630</v>
      </c>
      <c r="G1466" s="202" t="s">
        <v>249</v>
      </c>
      <c r="H1466" s="375">
        <f>SUM(H1467:H1472)</f>
        <v>16095</v>
      </c>
      <c r="I1466" s="375">
        <f>SUM(I1467:I1472)</f>
        <v>-110</v>
      </c>
      <c r="J1466" s="375">
        <f t="shared" si="202"/>
        <v>15985</v>
      </c>
      <c r="K1466" s="147"/>
      <c r="L1466" s="384"/>
      <c r="M1466" s="384"/>
      <c r="N1466" s="384"/>
      <c r="O1466" s="147"/>
      <c r="P1466" s="167">
        <f t="shared" si="203"/>
        <v>16095</v>
      </c>
      <c r="Q1466" s="167">
        <f t="shared" si="204"/>
        <v>-110</v>
      </c>
      <c r="R1466" s="167">
        <f t="shared" si="205"/>
        <v>15985</v>
      </c>
    </row>
    <row r="1467" spans="2:20" x14ac:dyDescent="0.2">
      <c r="B1467" s="172">
        <f t="shared" si="206"/>
        <v>7</v>
      </c>
      <c r="C1467" s="144"/>
      <c r="D1467" s="145"/>
      <c r="E1467" s="133"/>
      <c r="F1467" s="133">
        <v>631</v>
      </c>
      <c r="G1467" s="194" t="s">
        <v>520</v>
      </c>
      <c r="H1467" s="540">
        <v>50</v>
      </c>
      <c r="I1467" s="540"/>
      <c r="J1467" s="540">
        <f t="shared" si="202"/>
        <v>50</v>
      </c>
      <c r="K1467" s="147"/>
      <c r="L1467" s="384"/>
      <c r="M1467" s="384"/>
      <c r="N1467" s="384"/>
      <c r="O1467" s="147"/>
      <c r="P1467" s="168">
        <f t="shared" si="203"/>
        <v>50</v>
      </c>
      <c r="Q1467" s="168">
        <f t="shared" si="204"/>
        <v>0</v>
      </c>
      <c r="R1467" s="168">
        <f t="shared" si="205"/>
        <v>50</v>
      </c>
    </row>
    <row r="1468" spans="2:20" x14ac:dyDescent="0.2">
      <c r="B1468" s="172">
        <f t="shared" si="206"/>
        <v>8</v>
      </c>
      <c r="C1468" s="144"/>
      <c r="D1468" s="145"/>
      <c r="E1468" s="133"/>
      <c r="F1468" s="133">
        <v>632</v>
      </c>
      <c r="G1468" s="194" t="s">
        <v>246</v>
      </c>
      <c r="H1468" s="540">
        <v>1825</v>
      </c>
      <c r="I1468" s="540"/>
      <c r="J1468" s="540">
        <f t="shared" si="202"/>
        <v>1825</v>
      </c>
      <c r="K1468" s="147"/>
      <c r="L1468" s="384"/>
      <c r="M1468" s="384"/>
      <c r="N1468" s="384"/>
      <c r="O1468" s="147"/>
      <c r="P1468" s="168">
        <f t="shared" si="203"/>
        <v>1825</v>
      </c>
      <c r="Q1468" s="168">
        <f t="shared" si="204"/>
        <v>0</v>
      </c>
      <c r="R1468" s="168">
        <f t="shared" si="205"/>
        <v>1825</v>
      </c>
    </row>
    <row r="1469" spans="2:20" x14ac:dyDescent="0.2">
      <c r="B1469" s="172">
        <f t="shared" si="206"/>
        <v>9</v>
      </c>
      <c r="C1469" s="144"/>
      <c r="D1469" s="145"/>
      <c r="E1469" s="133"/>
      <c r="F1469" s="133">
        <v>633</v>
      </c>
      <c r="G1469" s="194" t="s">
        <v>247</v>
      </c>
      <c r="H1469" s="540">
        <v>4600</v>
      </c>
      <c r="I1469" s="540">
        <v>-110</v>
      </c>
      <c r="J1469" s="540">
        <f t="shared" si="202"/>
        <v>4490</v>
      </c>
      <c r="K1469" s="147"/>
      <c r="L1469" s="384"/>
      <c r="M1469" s="384"/>
      <c r="N1469" s="384"/>
      <c r="O1469" s="147"/>
      <c r="P1469" s="168">
        <f t="shared" si="203"/>
        <v>4600</v>
      </c>
      <c r="Q1469" s="168">
        <f t="shared" si="204"/>
        <v>-110</v>
      </c>
      <c r="R1469" s="168">
        <f t="shared" si="205"/>
        <v>4490</v>
      </c>
    </row>
    <row r="1470" spans="2:20" x14ac:dyDescent="0.2">
      <c r="B1470" s="172">
        <f t="shared" si="206"/>
        <v>10</v>
      </c>
      <c r="C1470" s="144"/>
      <c r="D1470" s="145"/>
      <c r="E1470" s="133"/>
      <c r="F1470" s="133">
        <v>634</v>
      </c>
      <c r="G1470" s="194" t="s">
        <v>260</v>
      </c>
      <c r="H1470" s="540">
        <v>2470</v>
      </c>
      <c r="I1470" s="540"/>
      <c r="J1470" s="540">
        <f t="shared" si="202"/>
        <v>2470</v>
      </c>
      <c r="K1470" s="147"/>
      <c r="L1470" s="384"/>
      <c r="M1470" s="384"/>
      <c r="N1470" s="384"/>
      <c r="O1470" s="147"/>
      <c r="P1470" s="168">
        <f t="shared" si="203"/>
        <v>2470</v>
      </c>
      <c r="Q1470" s="168">
        <f t="shared" si="204"/>
        <v>0</v>
      </c>
      <c r="R1470" s="168">
        <f t="shared" si="205"/>
        <v>2470</v>
      </c>
    </row>
    <row r="1471" spans="2:20" x14ac:dyDescent="0.2">
      <c r="B1471" s="172">
        <f t="shared" si="206"/>
        <v>11</v>
      </c>
      <c r="C1471" s="144"/>
      <c r="D1471" s="145"/>
      <c r="E1471" s="145"/>
      <c r="F1471" s="133">
        <v>635</v>
      </c>
      <c r="G1471" s="194" t="s">
        <v>261</v>
      </c>
      <c r="H1471" s="540">
        <v>800</v>
      </c>
      <c r="I1471" s="540"/>
      <c r="J1471" s="540">
        <f t="shared" si="202"/>
        <v>800</v>
      </c>
      <c r="K1471" s="147"/>
      <c r="L1471" s="384"/>
      <c r="M1471" s="384"/>
      <c r="N1471" s="384"/>
      <c r="O1471" s="147"/>
      <c r="P1471" s="168">
        <f t="shared" si="203"/>
        <v>800</v>
      </c>
      <c r="Q1471" s="168">
        <f t="shared" si="204"/>
        <v>0</v>
      </c>
      <c r="R1471" s="168">
        <f t="shared" si="205"/>
        <v>800</v>
      </c>
    </row>
    <row r="1472" spans="2:20" x14ac:dyDescent="0.2">
      <c r="B1472" s="172">
        <f t="shared" si="206"/>
        <v>12</v>
      </c>
      <c r="C1472" s="144"/>
      <c r="D1472" s="145"/>
      <c r="E1472" s="145"/>
      <c r="F1472" s="133">
        <v>637</v>
      </c>
      <c r="G1472" s="194" t="s">
        <v>248</v>
      </c>
      <c r="H1472" s="388">
        <f>6850-500</f>
        <v>6350</v>
      </c>
      <c r="I1472" s="388"/>
      <c r="J1472" s="388">
        <f t="shared" si="202"/>
        <v>6350</v>
      </c>
      <c r="K1472" s="147"/>
      <c r="L1472" s="384"/>
      <c r="M1472" s="384"/>
      <c r="N1472" s="384"/>
      <c r="O1472" s="147"/>
      <c r="P1472" s="168">
        <f t="shared" si="203"/>
        <v>6350</v>
      </c>
      <c r="Q1472" s="168">
        <f t="shared" si="204"/>
        <v>0</v>
      </c>
      <c r="R1472" s="168">
        <f t="shared" si="205"/>
        <v>6350</v>
      </c>
    </row>
    <row r="1473" spans="2:18" x14ac:dyDescent="0.2">
      <c r="B1473" s="172">
        <f t="shared" si="206"/>
        <v>13</v>
      </c>
      <c r="C1473" s="144"/>
      <c r="D1473" s="145"/>
      <c r="E1473" s="145"/>
      <c r="F1473" s="155">
        <v>640</v>
      </c>
      <c r="G1473" s="202" t="s">
        <v>425</v>
      </c>
      <c r="H1473" s="509">
        <v>190</v>
      </c>
      <c r="I1473" s="509">
        <v>110</v>
      </c>
      <c r="J1473" s="509">
        <f t="shared" si="202"/>
        <v>300</v>
      </c>
      <c r="K1473" s="131"/>
      <c r="L1473" s="384"/>
      <c r="M1473" s="384"/>
      <c r="N1473" s="384"/>
      <c r="O1473" s="147"/>
      <c r="P1473" s="167">
        <f t="shared" si="203"/>
        <v>190</v>
      </c>
      <c r="Q1473" s="167">
        <f t="shared" si="204"/>
        <v>110</v>
      </c>
      <c r="R1473" s="167">
        <f t="shared" si="205"/>
        <v>300</v>
      </c>
    </row>
    <row r="1474" spans="2:18" x14ac:dyDescent="0.2">
      <c r="B1474" s="172">
        <f t="shared" si="206"/>
        <v>14</v>
      </c>
      <c r="C1474" s="144"/>
      <c r="D1474" s="156"/>
      <c r="E1474" s="157" t="s">
        <v>267</v>
      </c>
      <c r="F1474" s="227" t="s">
        <v>631</v>
      </c>
      <c r="G1474" s="227"/>
      <c r="H1474" s="374">
        <f>SUM(H1475:H1476)</f>
        <v>26500</v>
      </c>
      <c r="I1474" s="374">
        <f>SUM(I1475:I1476)</f>
        <v>0</v>
      </c>
      <c r="J1474" s="374">
        <f t="shared" si="202"/>
        <v>26500</v>
      </c>
      <c r="K1474" s="147"/>
      <c r="L1474" s="384"/>
      <c r="M1474" s="384"/>
      <c r="N1474" s="384"/>
      <c r="O1474" s="147"/>
      <c r="P1474" s="167">
        <f t="shared" si="203"/>
        <v>26500</v>
      </c>
      <c r="Q1474" s="167">
        <f t="shared" si="204"/>
        <v>0</v>
      </c>
      <c r="R1474" s="167">
        <f t="shared" si="205"/>
        <v>26500</v>
      </c>
    </row>
    <row r="1475" spans="2:18" x14ac:dyDescent="0.2">
      <c r="B1475" s="172">
        <f t="shared" si="206"/>
        <v>15</v>
      </c>
      <c r="C1475" s="144"/>
      <c r="D1475" s="177"/>
      <c r="E1475" s="351"/>
      <c r="F1475" s="150">
        <v>620</v>
      </c>
      <c r="G1475" s="202" t="s">
        <v>259</v>
      </c>
      <c r="H1475" s="509">
        <v>575</v>
      </c>
      <c r="I1475" s="509"/>
      <c r="J1475" s="509">
        <f t="shared" si="202"/>
        <v>575</v>
      </c>
      <c r="K1475" s="147"/>
      <c r="L1475" s="384"/>
      <c r="M1475" s="384"/>
      <c r="N1475" s="384"/>
      <c r="O1475" s="147"/>
      <c r="P1475" s="167">
        <f t="shared" si="203"/>
        <v>575</v>
      </c>
      <c r="Q1475" s="167">
        <f t="shared" si="204"/>
        <v>0</v>
      </c>
      <c r="R1475" s="167">
        <f t="shared" si="205"/>
        <v>575</v>
      </c>
    </row>
    <row r="1476" spans="2:18" x14ac:dyDescent="0.2">
      <c r="B1476" s="172">
        <f t="shared" si="206"/>
        <v>16</v>
      </c>
      <c r="C1476" s="144"/>
      <c r="D1476" s="145"/>
      <c r="E1476" s="145"/>
      <c r="F1476" s="150">
        <v>630</v>
      </c>
      <c r="G1476" s="202" t="s">
        <v>249</v>
      </c>
      <c r="H1476" s="509">
        <f>SUM(H1477:H1481)</f>
        <v>25925</v>
      </c>
      <c r="I1476" s="509">
        <f>SUM(I1477:I1481)</f>
        <v>0</v>
      </c>
      <c r="J1476" s="509">
        <f t="shared" si="202"/>
        <v>25925</v>
      </c>
      <c r="K1476" s="147"/>
      <c r="L1476" s="384"/>
      <c r="M1476" s="384"/>
      <c r="N1476" s="384"/>
      <c r="O1476" s="147"/>
      <c r="P1476" s="167">
        <f t="shared" si="203"/>
        <v>25925</v>
      </c>
      <c r="Q1476" s="167">
        <f t="shared" si="204"/>
        <v>0</v>
      </c>
      <c r="R1476" s="167">
        <f t="shared" si="205"/>
        <v>25925</v>
      </c>
    </row>
    <row r="1477" spans="2:18" x14ac:dyDescent="0.2">
      <c r="B1477" s="172">
        <f t="shared" si="206"/>
        <v>17</v>
      </c>
      <c r="C1477" s="144"/>
      <c r="D1477" s="145"/>
      <c r="E1477" s="145"/>
      <c r="F1477" s="133">
        <v>632</v>
      </c>
      <c r="G1477" s="194" t="s">
        <v>246</v>
      </c>
      <c r="H1477" s="388">
        <v>1525</v>
      </c>
      <c r="I1477" s="388"/>
      <c r="J1477" s="388">
        <f t="shared" si="202"/>
        <v>1525</v>
      </c>
      <c r="K1477" s="147"/>
      <c r="L1477" s="384"/>
      <c r="M1477" s="384"/>
      <c r="N1477" s="384"/>
      <c r="O1477" s="147"/>
      <c r="P1477" s="168">
        <f t="shared" si="203"/>
        <v>1525</v>
      </c>
      <c r="Q1477" s="168">
        <f t="shared" si="204"/>
        <v>0</v>
      </c>
      <c r="R1477" s="168">
        <f t="shared" si="205"/>
        <v>1525</v>
      </c>
    </row>
    <row r="1478" spans="2:18" x14ac:dyDescent="0.2">
      <c r="B1478" s="172">
        <f t="shared" si="206"/>
        <v>18</v>
      </c>
      <c r="C1478" s="144"/>
      <c r="D1478" s="145"/>
      <c r="E1478" s="145"/>
      <c r="F1478" s="133">
        <v>633</v>
      </c>
      <c r="G1478" s="194" t="s">
        <v>247</v>
      </c>
      <c r="H1478" s="388">
        <v>3000</v>
      </c>
      <c r="I1478" s="388"/>
      <c r="J1478" s="388">
        <f t="shared" si="202"/>
        <v>3000</v>
      </c>
      <c r="K1478" s="147"/>
      <c r="L1478" s="384"/>
      <c r="M1478" s="384"/>
      <c r="N1478" s="384"/>
      <c r="O1478" s="147"/>
      <c r="P1478" s="168">
        <f t="shared" si="203"/>
        <v>3000</v>
      </c>
      <c r="Q1478" s="168">
        <f t="shared" si="204"/>
        <v>0</v>
      </c>
      <c r="R1478" s="168">
        <f t="shared" si="205"/>
        <v>3000</v>
      </c>
    </row>
    <row r="1479" spans="2:18" x14ac:dyDescent="0.2">
      <c r="B1479" s="172">
        <f t="shared" si="206"/>
        <v>19</v>
      </c>
      <c r="C1479" s="144"/>
      <c r="D1479" s="145"/>
      <c r="E1479" s="145"/>
      <c r="F1479" s="133">
        <v>634</v>
      </c>
      <c r="G1479" s="194" t="s">
        <v>260</v>
      </c>
      <c r="H1479" s="388">
        <v>200</v>
      </c>
      <c r="I1479" s="388"/>
      <c r="J1479" s="388">
        <f t="shared" si="202"/>
        <v>200</v>
      </c>
      <c r="K1479" s="147"/>
      <c r="L1479" s="384"/>
      <c r="M1479" s="384"/>
      <c r="N1479" s="384"/>
      <c r="O1479" s="147"/>
      <c r="P1479" s="168">
        <f t="shared" si="203"/>
        <v>200</v>
      </c>
      <c r="Q1479" s="168">
        <f t="shared" si="204"/>
        <v>0</v>
      </c>
      <c r="R1479" s="168">
        <f t="shared" si="205"/>
        <v>200</v>
      </c>
    </row>
    <row r="1480" spans="2:18" x14ac:dyDescent="0.2">
      <c r="B1480" s="172">
        <f t="shared" si="206"/>
        <v>20</v>
      </c>
      <c r="C1480" s="144"/>
      <c r="D1480" s="145"/>
      <c r="E1480" s="145"/>
      <c r="F1480" s="133">
        <v>635</v>
      </c>
      <c r="G1480" s="194" t="s">
        <v>261</v>
      </c>
      <c r="H1480" s="388">
        <f>200+16500+3000</f>
        <v>19700</v>
      </c>
      <c r="I1480" s="388"/>
      <c r="J1480" s="388">
        <f t="shared" si="202"/>
        <v>19700</v>
      </c>
      <c r="K1480" s="147"/>
      <c r="L1480" s="384"/>
      <c r="M1480" s="384"/>
      <c r="N1480" s="384"/>
      <c r="O1480" s="147"/>
      <c r="P1480" s="168">
        <f t="shared" si="203"/>
        <v>19700</v>
      </c>
      <c r="Q1480" s="168">
        <f t="shared" si="204"/>
        <v>0</v>
      </c>
      <c r="R1480" s="168">
        <f t="shared" si="205"/>
        <v>19700</v>
      </c>
    </row>
    <row r="1481" spans="2:18" x14ac:dyDescent="0.2">
      <c r="B1481" s="172">
        <f t="shared" si="206"/>
        <v>21</v>
      </c>
      <c r="C1481" s="144"/>
      <c r="D1481" s="145"/>
      <c r="E1481" s="145"/>
      <c r="F1481" s="133">
        <v>637</v>
      </c>
      <c r="G1481" s="194" t="s">
        <v>248</v>
      </c>
      <c r="H1481" s="388">
        <f>2000-500</f>
        <v>1500</v>
      </c>
      <c r="I1481" s="388"/>
      <c r="J1481" s="388">
        <f t="shared" si="202"/>
        <v>1500</v>
      </c>
      <c r="K1481" s="147"/>
      <c r="L1481" s="384"/>
      <c r="M1481" s="384"/>
      <c r="N1481" s="384"/>
      <c r="O1481" s="147"/>
      <c r="P1481" s="168">
        <f t="shared" si="203"/>
        <v>1500</v>
      </c>
      <c r="Q1481" s="168">
        <f t="shared" si="204"/>
        <v>0</v>
      </c>
      <c r="R1481" s="168">
        <f t="shared" si="205"/>
        <v>1500</v>
      </c>
    </row>
    <row r="1482" spans="2:18" x14ac:dyDescent="0.2">
      <c r="B1482" s="172">
        <f t="shared" si="206"/>
        <v>22</v>
      </c>
      <c r="C1482" s="144"/>
      <c r="D1482" s="156"/>
      <c r="E1482" s="157" t="s">
        <v>241</v>
      </c>
      <c r="F1482" s="157"/>
      <c r="G1482" s="227" t="s">
        <v>450</v>
      </c>
      <c r="H1482" s="374">
        <f>H1483+H1484+H1485+H1491</f>
        <v>338500</v>
      </c>
      <c r="I1482" s="374">
        <f>I1483+I1484+I1485+I1491</f>
        <v>82700</v>
      </c>
      <c r="J1482" s="374">
        <f t="shared" si="202"/>
        <v>421200</v>
      </c>
      <c r="K1482" s="147"/>
      <c r="L1482" s="384"/>
      <c r="M1482" s="384"/>
      <c r="N1482" s="384"/>
      <c r="O1482" s="147"/>
      <c r="P1482" s="167">
        <f t="shared" si="203"/>
        <v>338500</v>
      </c>
      <c r="Q1482" s="167">
        <f t="shared" si="204"/>
        <v>82700</v>
      </c>
      <c r="R1482" s="167">
        <f t="shared" si="205"/>
        <v>421200</v>
      </c>
    </row>
    <row r="1483" spans="2:18" x14ac:dyDescent="0.2">
      <c r="B1483" s="172">
        <f t="shared" si="206"/>
        <v>23</v>
      </c>
      <c r="C1483" s="144"/>
      <c r="D1483" s="145"/>
      <c r="E1483" s="145"/>
      <c r="F1483" s="150">
        <v>610</v>
      </c>
      <c r="G1483" s="202" t="s">
        <v>257</v>
      </c>
      <c r="H1483" s="509">
        <f>95000-36700</f>
        <v>58300</v>
      </c>
      <c r="I1483" s="509"/>
      <c r="J1483" s="509">
        <f t="shared" si="202"/>
        <v>58300</v>
      </c>
      <c r="K1483" s="147"/>
      <c r="L1483" s="384"/>
      <c r="M1483" s="384"/>
      <c r="N1483" s="384"/>
      <c r="O1483" s="147"/>
      <c r="P1483" s="167">
        <f t="shared" si="203"/>
        <v>58300</v>
      </c>
      <c r="Q1483" s="167">
        <f t="shared" si="204"/>
        <v>0</v>
      </c>
      <c r="R1483" s="167">
        <f t="shared" si="205"/>
        <v>58300</v>
      </c>
    </row>
    <row r="1484" spans="2:18" x14ac:dyDescent="0.2">
      <c r="B1484" s="172">
        <f t="shared" si="206"/>
        <v>24</v>
      </c>
      <c r="C1484" s="144"/>
      <c r="D1484" s="145"/>
      <c r="E1484" s="145"/>
      <c r="F1484" s="150">
        <v>620</v>
      </c>
      <c r="G1484" s="202" t="s">
        <v>259</v>
      </c>
      <c r="H1484" s="375">
        <f>60000+10100</f>
        <v>70100</v>
      </c>
      <c r="I1484" s="375">
        <v>21660</v>
      </c>
      <c r="J1484" s="375">
        <f t="shared" si="202"/>
        <v>91760</v>
      </c>
      <c r="K1484" s="147"/>
      <c r="L1484" s="384"/>
      <c r="M1484" s="384"/>
      <c r="N1484" s="384"/>
      <c r="O1484" s="147"/>
      <c r="P1484" s="167">
        <f t="shared" si="203"/>
        <v>70100</v>
      </c>
      <c r="Q1484" s="167">
        <f t="shared" si="204"/>
        <v>21660</v>
      </c>
      <c r="R1484" s="167">
        <f t="shared" si="205"/>
        <v>91760</v>
      </c>
    </row>
    <row r="1485" spans="2:18" x14ac:dyDescent="0.2">
      <c r="B1485" s="172">
        <f t="shared" si="206"/>
        <v>25</v>
      </c>
      <c r="C1485" s="144"/>
      <c r="D1485" s="145"/>
      <c r="E1485" s="145"/>
      <c r="F1485" s="150">
        <v>630</v>
      </c>
      <c r="G1485" s="202" t="s">
        <v>249</v>
      </c>
      <c r="H1485" s="375">
        <f>SUM(H1486:H1490)</f>
        <v>209800</v>
      </c>
      <c r="I1485" s="375">
        <f>SUM(I1486:I1490)</f>
        <v>61040</v>
      </c>
      <c r="J1485" s="375">
        <f t="shared" si="202"/>
        <v>270840</v>
      </c>
      <c r="K1485" s="147"/>
      <c r="L1485" s="384"/>
      <c r="M1485" s="384"/>
      <c r="N1485" s="384"/>
      <c r="O1485" s="147"/>
      <c r="P1485" s="167">
        <f t="shared" si="203"/>
        <v>209800</v>
      </c>
      <c r="Q1485" s="167">
        <f t="shared" si="204"/>
        <v>61040</v>
      </c>
      <c r="R1485" s="167">
        <f t="shared" si="205"/>
        <v>270840</v>
      </c>
    </row>
    <row r="1486" spans="2:18" x14ac:dyDescent="0.2">
      <c r="B1486" s="172">
        <f t="shared" si="206"/>
        <v>26</v>
      </c>
      <c r="C1486" s="144"/>
      <c r="D1486" s="145"/>
      <c r="E1486" s="145"/>
      <c r="F1486" s="133">
        <v>633</v>
      </c>
      <c r="G1486" s="194" t="s">
        <v>247</v>
      </c>
      <c r="H1486" s="540">
        <f>29550-2800</f>
        <v>26750</v>
      </c>
      <c r="I1486" s="540"/>
      <c r="J1486" s="540">
        <f t="shared" si="202"/>
        <v>26750</v>
      </c>
      <c r="K1486" s="147"/>
      <c r="L1486" s="384"/>
      <c r="M1486" s="384"/>
      <c r="N1486" s="384"/>
      <c r="O1486" s="147"/>
      <c r="P1486" s="168">
        <f t="shared" si="203"/>
        <v>26750</v>
      </c>
      <c r="Q1486" s="168">
        <f t="shared" si="204"/>
        <v>0</v>
      </c>
      <c r="R1486" s="168">
        <f t="shared" si="205"/>
        <v>26750</v>
      </c>
    </row>
    <row r="1487" spans="2:18" x14ac:dyDescent="0.2">
      <c r="B1487" s="172">
        <f t="shared" si="206"/>
        <v>27</v>
      </c>
      <c r="C1487" s="144"/>
      <c r="D1487" s="145"/>
      <c r="E1487" s="145"/>
      <c r="F1487" s="133">
        <v>634</v>
      </c>
      <c r="G1487" s="194" t="s">
        <v>260</v>
      </c>
      <c r="H1487" s="540">
        <f>30000-9700</f>
        <v>20300</v>
      </c>
      <c r="I1487" s="540"/>
      <c r="J1487" s="540">
        <f t="shared" si="202"/>
        <v>20300</v>
      </c>
      <c r="K1487" s="147"/>
      <c r="L1487" s="384"/>
      <c r="M1487" s="384"/>
      <c r="N1487" s="384"/>
      <c r="O1487" s="147"/>
      <c r="P1487" s="168">
        <f t="shared" si="203"/>
        <v>20300</v>
      </c>
      <c r="Q1487" s="168">
        <f t="shared" si="204"/>
        <v>0</v>
      </c>
      <c r="R1487" s="168">
        <f t="shared" si="205"/>
        <v>20300</v>
      </c>
    </row>
    <row r="1488" spans="2:18" x14ac:dyDescent="0.2">
      <c r="B1488" s="172">
        <f t="shared" si="206"/>
        <v>28</v>
      </c>
      <c r="C1488" s="144"/>
      <c r="D1488" s="145"/>
      <c r="E1488" s="145"/>
      <c r="F1488" s="133">
        <v>635</v>
      </c>
      <c r="G1488" s="194" t="s">
        <v>261</v>
      </c>
      <c r="H1488" s="540">
        <f>50000-16500-20500</f>
        <v>13000</v>
      </c>
      <c r="I1488" s="540">
        <v>-5000</v>
      </c>
      <c r="J1488" s="540">
        <f t="shared" si="202"/>
        <v>8000</v>
      </c>
      <c r="K1488" s="147"/>
      <c r="L1488" s="384"/>
      <c r="M1488" s="384"/>
      <c r="N1488" s="384"/>
      <c r="O1488" s="147"/>
      <c r="P1488" s="168">
        <f t="shared" si="203"/>
        <v>13000</v>
      </c>
      <c r="Q1488" s="168">
        <f t="shared" si="204"/>
        <v>-5000</v>
      </c>
      <c r="R1488" s="168">
        <f t="shared" si="205"/>
        <v>8000</v>
      </c>
    </row>
    <row r="1489" spans="2:18" x14ac:dyDescent="0.2">
      <c r="B1489" s="172">
        <f t="shared" si="206"/>
        <v>29</v>
      </c>
      <c r="C1489" s="144"/>
      <c r="D1489" s="145"/>
      <c r="E1489" s="145"/>
      <c r="F1489" s="133">
        <v>636</v>
      </c>
      <c r="G1489" s="194" t="s">
        <v>347</v>
      </c>
      <c r="H1489" s="540">
        <v>150</v>
      </c>
      <c r="I1489" s="540"/>
      <c r="J1489" s="540">
        <f t="shared" si="202"/>
        <v>150</v>
      </c>
      <c r="K1489" s="147"/>
      <c r="L1489" s="384"/>
      <c r="M1489" s="384"/>
      <c r="N1489" s="384"/>
      <c r="O1489" s="147"/>
      <c r="P1489" s="168">
        <f t="shared" si="203"/>
        <v>150</v>
      </c>
      <c r="Q1489" s="168">
        <f t="shared" si="204"/>
        <v>0</v>
      </c>
      <c r="R1489" s="168">
        <f t="shared" si="205"/>
        <v>150</v>
      </c>
    </row>
    <row r="1490" spans="2:18" x14ac:dyDescent="0.2">
      <c r="B1490" s="172">
        <f t="shared" si="206"/>
        <v>30</v>
      </c>
      <c r="C1490" s="144"/>
      <c r="D1490" s="145"/>
      <c r="E1490" s="145"/>
      <c r="F1490" s="133">
        <v>637</v>
      </c>
      <c r="G1490" s="194" t="s">
        <v>248</v>
      </c>
      <c r="H1490" s="540">
        <f>90000+59600</f>
        <v>149600</v>
      </c>
      <c r="I1490" s="540">
        <v>66040</v>
      </c>
      <c r="J1490" s="540">
        <f t="shared" si="202"/>
        <v>215640</v>
      </c>
      <c r="K1490" s="147"/>
      <c r="L1490" s="384"/>
      <c r="M1490" s="384"/>
      <c r="N1490" s="384"/>
      <c r="O1490" s="147"/>
      <c r="P1490" s="168">
        <f t="shared" si="203"/>
        <v>149600</v>
      </c>
      <c r="Q1490" s="168">
        <f t="shared" si="204"/>
        <v>66040</v>
      </c>
      <c r="R1490" s="168">
        <f t="shared" si="205"/>
        <v>215640</v>
      </c>
    </row>
    <row r="1491" spans="2:18" x14ac:dyDescent="0.2">
      <c r="B1491" s="172">
        <f t="shared" si="206"/>
        <v>31</v>
      </c>
      <c r="C1491" s="144"/>
      <c r="D1491" s="145"/>
      <c r="E1491" s="145"/>
      <c r="F1491" s="150">
        <v>640</v>
      </c>
      <c r="G1491" s="202" t="s">
        <v>425</v>
      </c>
      <c r="H1491" s="375">
        <v>300</v>
      </c>
      <c r="I1491" s="375"/>
      <c r="J1491" s="375">
        <f t="shared" si="202"/>
        <v>300</v>
      </c>
      <c r="K1491" s="147"/>
      <c r="L1491" s="384"/>
      <c r="M1491" s="384"/>
      <c r="N1491" s="384"/>
      <c r="O1491" s="147"/>
      <c r="P1491" s="167">
        <f t="shared" si="203"/>
        <v>300</v>
      </c>
      <c r="Q1491" s="167">
        <f t="shared" si="204"/>
        <v>0</v>
      </c>
      <c r="R1491" s="167">
        <f t="shared" si="205"/>
        <v>300</v>
      </c>
    </row>
    <row r="1492" spans="2:18" x14ac:dyDescent="0.2">
      <c r="B1492" s="172">
        <f t="shared" si="206"/>
        <v>32</v>
      </c>
      <c r="C1492" s="129"/>
      <c r="D1492" s="130"/>
      <c r="E1492" s="130"/>
      <c r="F1492" s="130"/>
      <c r="G1492" s="194"/>
      <c r="H1492" s="540"/>
      <c r="I1492" s="540"/>
      <c r="J1492" s="540"/>
      <c r="K1492" s="131"/>
      <c r="L1492" s="384"/>
      <c r="M1492" s="384"/>
      <c r="N1492" s="384"/>
      <c r="O1492" s="131"/>
      <c r="P1492" s="168"/>
      <c r="Q1492" s="168"/>
      <c r="R1492" s="168"/>
    </row>
    <row r="1493" spans="2:18" x14ac:dyDescent="0.2">
      <c r="B1493" s="172">
        <f t="shared" si="206"/>
        <v>33</v>
      </c>
      <c r="C1493" s="129"/>
      <c r="D1493" s="130"/>
      <c r="E1493" s="130" t="s">
        <v>241</v>
      </c>
      <c r="F1493" s="130" t="s">
        <v>214</v>
      </c>
      <c r="G1493" s="712" t="s">
        <v>811</v>
      </c>
      <c r="H1493" s="713">
        <v>1500</v>
      </c>
      <c r="I1493" s="715"/>
      <c r="J1493" s="715">
        <f>I1493+H1493</f>
        <v>1500</v>
      </c>
      <c r="K1493" s="131"/>
      <c r="L1493" s="735"/>
      <c r="M1493" s="384"/>
      <c r="N1493" s="384"/>
      <c r="O1493" s="131"/>
      <c r="P1493" s="726">
        <f>H1493</f>
        <v>1500</v>
      </c>
      <c r="Q1493" s="168">
        <f>I1493</f>
        <v>0</v>
      </c>
      <c r="R1493" s="168">
        <f>Q1493+P1493</f>
        <v>1500</v>
      </c>
    </row>
    <row r="1494" spans="2:18" ht="24" x14ac:dyDescent="0.2">
      <c r="B1494" s="685">
        <f t="shared" si="206"/>
        <v>34</v>
      </c>
      <c r="C1494" s="129"/>
      <c r="D1494" s="130"/>
      <c r="E1494" s="834" t="s">
        <v>241</v>
      </c>
      <c r="F1494" s="834" t="s">
        <v>322</v>
      </c>
      <c r="G1494" s="736" t="s">
        <v>810</v>
      </c>
      <c r="H1494" s="713"/>
      <c r="I1494" s="715"/>
      <c r="J1494" s="715"/>
      <c r="K1494" s="131"/>
      <c r="L1494" s="737">
        <v>3500</v>
      </c>
      <c r="M1494" s="811"/>
      <c r="N1494" s="811">
        <f>M1494+L1494</f>
        <v>3500</v>
      </c>
      <c r="O1494" s="459"/>
      <c r="P1494" s="738">
        <f>L1494</f>
        <v>3500</v>
      </c>
      <c r="Q1494" s="812">
        <f>M1494</f>
        <v>0</v>
      </c>
      <c r="R1494" s="812">
        <f>Q1494+P1494</f>
        <v>3500</v>
      </c>
    </row>
    <row r="1495" spans="2:18" x14ac:dyDescent="0.2">
      <c r="B1495" s="172">
        <f t="shared" si="206"/>
        <v>35</v>
      </c>
      <c r="C1495" s="129"/>
      <c r="D1495" s="130"/>
      <c r="E1495" s="130"/>
      <c r="F1495" s="130"/>
      <c r="G1495" s="194"/>
      <c r="H1495" s="540"/>
      <c r="I1495" s="540"/>
      <c r="J1495" s="540"/>
      <c r="K1495" s="131"/>
      <c r="L1495" s="384"/>
      <c r="M1495" s="384"/>
      <c r="N1495" s="384"/>
      <c r="O1495" s="131"/>
      <c r="P1495" s="168"/>
      <c r="Q1495" s="168"/>
      <c r="R1495" s="168"/>
    </row>
    <row r="1496" spans="2:18" ht="15.75" x14ac:dyDescent="0.25">
      <c r="B1496" s="172">
        <f t="shared" si="206"/>
        <v>36</v>
      </c>
      <c r="C1496" s="20">
        <v>2</v>
      </c>
      <c r="D1496" s="125" t="s">
        <v>167</v>
      </c>
      <c r="E1496" s="21"/>
      <c r="F1496" s="21"/>
      <c r="G1496" s="195"/>
      <c r="H1496" s="402">
        <f>H1497+H1503</f>
        <v>3092701</v>
      </c>
      <c r="I1496" s="404">
        <f>I1497+I1503</f>
        <v>-33700</v>
      </c>
      <c r="J1496" s="404">
        <f t="shared" ref="J1496:J1510" si="207">I1496+H1496</f>
        <v>3059001</v>
      </c>
      <c r="K1496" s="785"/>
      <c r="L1496" s="446">
        <f>L1497+L1503</f>
        <v>89185</v>
      </c>
      <c r="M1496" s="201">
        <f>M1497+M1503</f>
        <v>0</v>
      </c>
      <c r="N1496" s="201">
        <f>M1496+L1496</f>
        <v>89185</v>
      </c>
      <c r="O1496" s="785"/>
      <c r="P1496" s="361">
        <f t="shared" ref="P1496:P1501" si="208">H1496+L1496</f>
        <v>3181886</v>
      </c>
      <c r="Q1496" s="361">
        <f t="shared" ref="Q1496:Q1510" si="209">I1496+M1496</f>
        <v>-33700</v>
      </c>
      <c r="R1496" s="361">
        <f t="shared" ref="R1496:R1510" si="210">Q1496+P1496</f>
        <v>3148186</v>
      </c>
    </row>
    <row r="1497" spans="2:18" x14ac:dyDescent="0.2">
      <c r="B1497" s="172">
        <f t="shared" si="206"/>
        <v>37</v>
      </c>
      <c r="C1497" s="75"/>
      <c r="D1497" s="178" t="s">
        <v>4</v>
      </c>
      <c r="E1497" s="233"/>
      <c r="F1497" s="233" t="s">
        <v>162</v>
      </c>
      <c r="G1497" s="234"/>
      <c r="H1497" s="374">
        <f>SUM(H1498:H1501)</f>
        <v>3090401</v>
      </c>
      <c r="I1497" s="374">
        <f>SUM(I1498:I1501)</f>
        <v>-33700</v>
      </c>
      <c r="J1497" s="374">
        <f t="shared" si="207"/>
        <v>3056701</v>
      </c>
      <c r="K1497" s="131"/>
      <c r="L1497" s="143">
        <f>L1502</f>
        <v>950</v>
      </c>
      <c r="M1497" s="143">
        <f>SUM(M1498:M1502)</f>
        <v>0</v>
      </c>
      <c r="N1497" s="143"/>
      <c r="O1497" s="131"/>
      <c r="P1497" s="167">
        <f t="shared" si="208"/>
        <v>3091351</v>
      </c>
      <c r="Q1497" s="167">
        <f t="shared" si="209"/>
        <v>-33700</v>
      </c>
      <c r="R1497" s="167">
        <f t="shared" si="210"/>
        <v>3057651</v>
      </c>
    </row>
    <row r="1498" spans="2:18" x14ac:dyDescent="0.2">
      <c r="B1498" s="172">
        <f t="shared" si="206"/>
        <v>38</v>
      </c>
      <c r="C1498" s="129"/>
      <c r="D1498" s="129"/>
      <c r="E1498" s="133" t="s">
        <v>269</v>
      </c>
      <c r="F1498" s="133">
        <v>637</v>
      </c>
      <c r="G1498" s="194" t="s">
        <v>650</v>
      </c>
      <c r="H1498" s="540">
        <f>540000-46000+11200</f>
        <v>505200</v>
      </c>
      <c r="I1498" s="540"/>
      <c r="J1498" s="540">
        <f t="shared" si="207"/>
        <v>505200</v>
      </c>
      <c r="K1498" s="131"/>
      <c r="L1498" s="141"/>
      <c r="M1498" s="141"/>
      <c r="N1498" s="141"/>
      <c r="O1498" s="131"/>
      <c r="P1498" s="169">
        <f t="shared" si="208"/>
        <v>505200</v>
      </c>
      <c r="Q1498" s="169">
        <f t="shared" si="209"/>
        <v>0</v>
      </c>
      <c r="R1498" s="169">
        <f t="shared" si="210"/>
        <v>505200</v>
      </c>
    </row>
    <row r="1499" spans="2:18" x14ac:dyDescent="0.2">
      <c r="B1499" s="172">
        <f t="shared" si="206"/>
        <v>39</v>
      </c>
      <c r="C1499" s="129"/>
      <c r="D1499" s="129"/>
      <c r="E1499" s="133" t="s">
        <v>269</v>
      </c>
      <c r="F1499" s="133">
        <v>637</v>
      </c>
      <c r="G1499" s="194" t="s">
        <v>651</v>
      </c>
      <c r="H1499" s="388">
        <f>2630000-1500-33717-1150-64432</f>
        <v>2529201</v>
      </c>
      <c r="I1499" s="388">
        <v>-29200</v>
      </c>
      <c r="J1499" s="388">
        <f t="shared" si="207"/>
        <v>2500001</v>
      </c>
      <c r="K1499" s="131"/>
      <c r="L1499" s="141"/>
      <c r="M1499" s="141"/>
      <c r="N1499" s="141"/>
      <c r="O1499" s="131"/>
      <c r="P1499" s="169">
        <f t="shared" si="208"/>
        <v>2529201</v>
      </c>
      <c r="Q1499" s="169">
        <f t="shared" si="209"/>
        <v>-29200</v>
      </c>
      <c r="R1499" s="169">
        <f t="shared" si="210"/>
        <v>2500001</v>
      </c>
    </row>
    <row r="1500" spans="2:18" x14ac:dyDescent="0.2">
      <c r="B1500" s="172">
        <f t="shared" si="206"/>
        <v>40</v>
      </c>
      <c r="C1500" s="129"/>
      <c r="D1500" s="129"/>
      <c r="E1500" s="133" t="s">
        <v>269</v>
      </c>
      <c r="F1500" s="133">
        <v>637</v>
      </c>
      <c r="G1500" s="194" t="s">
        <v>652</v>
      </c>
      <c r="H1500" s="540">
        <v>50000</v>
      </c>
      <c r="I1500" s="540">
        <v>-1500</v>
      </c>
      <c r="J1500" s="540">
        <f t="shared" si="207"/>
        <v>48500</v>
      </c>
      <c r="K1500" s="131"/>
      <c r="L1500" s="141"/>
      <c r="M1500" s="141"/>
      <c r="N1500" s="141"/>
      <c r="O1500" s="131"/>
      <c r="P1500" s="169">
        <f t="shared" si="208"/>
        <v>50000</v>
      </c>
      <c r="Q1500" s="169">
        <f t="shared" si="209"/>
        <v>-1500</v>
      </c>
      <c r="R1500" s="169">
        <f t="shared" si="210"/>
        <v>48500</v>
      </c>
    </row>
    <row r="1501" spans="2:18" x14ac:dyDescent="0.2">
      <c r="B1501" s="172">
        <f t="shared" si="206"/>
        <v>41</v>
      </c>
      <c r="C1501" s="129"/>
      <c r="D1501" s="129"/>
      <c r="E1501" s="163" t="s">
        <v>269</v>
      </c>
      <c r="F1501" s="538">
        <v>637</v>
      </c>
      <c r="G1501" s="194" t="s">
        <v>734</v>
      </c>
      <c r="H1501" s="540">
        <v>6000</v>
      </c>
      <c r="I1501" s="540">
        <v>-3000</v>
      </c>
      <c r="J1501" s="540">
        <f t="shared" si="207"/>
        <v>3000</v>
      </c>
      <c r="K1501" s="131"/>
      <c r="L1501" s="143"/>
      <c r="M1501" s="143"/>
      <c r="N1501" s="143"/>
      <c r="O1501" s="131"/>
      <c r="P1501" s="169">
        <f t="shared" si="208"/>
        <v>6000</v>
      </c>
      <c r="Q1501" s="169">
        <f t="shared" si="209"/>
        <v>-3000</v>
      </c>
      <c r="R1501" s="169">
        <f t="shared" si="210"/>
        <v>3000</v>
      </c>
    </row>
    <row r="1502" spans="2:18" x14ac:dyDescent="0.2">
      <c r="B1502" s="172">
        <f t="shared" si="206"/>
        <v>42</v>
      </c>
      <c r="C1502" s="129"/>
      <c r="D1502" s="129"/>
      <c r="E1502" s="163" t="s">
        <v>269</v>
      </c>
      <c r="F1502" s="538">
        <v>717</v>
      </c>
      <c r="G1502" s="194" t="s">
        <v>831</v>
      </c>
      <c r="H1502" s="540"/>
      <c r="I1502" s="540"/>
      <c r="J1502" s="540"/>
      <c r="K1502" s="131"/>
      <c r="L1502" s="143">
        <v>950</v>
      </c>
      <c r="M1502" s="143"/>
      <c r="N1502" s="143">
        <f>M1502+L1502</f>
        <v>950</v>
      </c>
      <c r="O1502" s="131"/>
      <c r="P1502" s="168">
        <v>950</v>
      </c>
      <c r="Q1502" s="169">
        <f t="shared" si="209"/>
        <v>0</v>
      </c>
      <c r="R1502" s="169">
        <f t="shared" si="210"/>
        <v>950</v>
      </c>
    </row>
    <row r="1503" spans="2:18" x14ac:dyDescent="0.2">
      <c r="B1503" s="172">
        <f t="shared" si="206"/>
        <v>43</v>
      </c>
      <c r="C1503" s="75"/>
      <c r="D1503" s="178" t="s">
        <v>5</v>
      </c>
      <c r="E1503" s="233"/>
      <c r="F1503" s="233" t="s">
        <v>105</v>
      </c>
      <c r="G1503" s="234"/>
      <c r="H1503" s="374">
        <f>H1504</f>
        <v>2300</v>
      </c>
      <c r="I1503" s="374">
        <f>I1504</f>
        <v>0</v>
      </c>
      <c r="J1503" s="374">
        <f t="shared" si="207"/>
        <v>2300</v>
      </c>
      <c r="K1503" s="131"/>
      <c r="L1503" s="384">
        <f>SUM(L1504:L1506)</f>
        <v>88235</v>
      </c>
      <c r="M1503" s="384">
        <f>SUM(M1504:M1506)</f>
        <v>0</v>
      </c>
      <c r="N1503" s="384">
        <f>M1503+L1503</f>
        <v>88235</v>
      </c>
      <c r="O1503" s="131"/>
      <c r="P1503" s="167">
        <f t="shared" ref="P1503:P1535" si="211">H1503+L1503</f>
        <v>90535</v>
      </c>
      <c r="Q1503" s="167">
        <f t="shared" si="209"/>
        <v>0</v>
      </c>
      <c r="R1503" s="167">
        <f t="shared" si="210"/>
        <v>90535</v>
      </c>
    </row>
    <row r="1504" spans="2:18" x14ac:dyDescent="0.2">
      <c r="B1504" s="172">
        <f t="shared" si="206"/>
        <v>44</v>
      </c>
      <c r="C1504" s="129"/>
      <c r="D1504" s="129"/>
      <c r="E1504" s="133" t="s">
        <v>269</v>
      </c>
      <c r="F1504" s="133">
        <v>637</v>
      </c>
      <c r="G1504" s="194" t="s">
        <v>270</v>
      </c>
      <c r="H1504" s="540">
        <v>2300</v>
      </c>
      <c r="I1504" s="540"/>
      <c r="J1504" s="540">
        <f t="shared" si="207"/>
        <v>2300</v>
      </c>
      <c r="K1504" s="131"/>
      <c r="L1504" s="141"/>
      <c r="M1504" s="141"/>
      <c r="N1504" s="141"/>
      <c r="O1504" s="131"/>
      <c r="P1504" s="169">
        <f t="shared" si="211"/>
        <v>2300</v>
      </c>
      <c r="Q1504" s="169">
        <f t="shared" si="209"/>
        <v>0</v>
      </c>
      <c r="R1504" s="169">
        <f t="shared" si="210"/>
        <v>2300</v>
      </c>
    </row>
    <row r="1505" spans="1:18" x14ac:dyDescent="0.2">
      <c r="B1505" s="172">
        <f t="shared" si="206"/>
        <v>45</v>
      </c>
      <c r="C1505" s="129"/>
      <c r="D1505" s="161"/>
      <c r="E1505" s="133" t="s">
        <v>269</v>
      </c>
      <c r="F1505" s="133">
        <v>717</v>
      </c>
      <c r="G1505" s="194" t="s">
        <v>434</v>
      </c>
      <c r="H1505" s="369"/>
      <c r="I1505" s="369"/>
      <c r="J1505" s="369">
        <f t="shared" si="207"/>
        <v>0</v>
      </c>
      <c r="K1505" s="131"/>
      <c r="L1505" s="160">
        <v>65060</v>
      </c>
      <c r="M1505" s="160"/>
      <c r="N1505" s="160">
        <f>M1505+L1505</f>
        <v>65060</v>
      </c>
      <c r="O1505" s="131"/>
      <c r="P1505" s="216">
        <f t="shared" si="211"/>
        <v>65060</v>
      </c>
      <c r="Q1505" s="216">
        <f t="shared" si="209"/>
        <v>0</v>
      </c>
      <c r="R1505" s="216">
        <f t="shared" si="210"/>
        <v>65060</v>
      </c>
    </row>
    <row r="1506" spans="1:18" ht="33.75" x14ac:dyDescent="0.2">
      <c r="B1506" s="685">
        <f t="shared" si="206"/>
        <v>46</v>
      </c>
      <c r="C1506" s="466"/>
      <c r="D1506" s="476"/>
      <c r="E1506" s="463" t="s">
        <v>269</v>
      </c>
      <c r="F1506" s="463">
        <v>717</v>
      </c>
      <c r="G1506" s="462" t="s">
        <v>581</v>
      </c>
      <c r="H1506" s="477"/>
      <c r="I1506" s="477"/>
      <c r="J1506" s="477">
        <f t="shared" si="207"/>
        <v>0</v>
      </c>
      <c r="K1506" s="459"/>
      <c r="L1506" s="479">
        <v>23175</v>
      </c>
      <c r="M1506" s="479"/>
      <c r="N1506" s="479">
        <f>M1506+L1506</f>
        <v>23175</v>
      </c>
      <c r="O1506" s="459"/>
      <c r="P1506" s="480">
        <f t="shared" si="211"/>
        <v>23175</v>
      </c>
      <c r="Q1506" s="480">
        <f t="shared" si="209"/>
        <v>0</v>
      </c>
      <c r="R1506" s="480">
        <f t="shared" si="210"/>
        <v>23175</v>
      </c>
    </row>
    <row r="1507" spans="1:18" ht="15.75" x14ac:dyDescent="0.25">
      <c r="B1507" s="172">
        <f t="shared" si="206"/>
        <v>47</v>
      </c>
      <c r="C1507" s="22">
        <v>3</v>
      </c>
      <c r="D1507" s="126" t="s">
        <v>144</v>
      </c>
      <c r="E1507" s="23"/>
      <c r="F1507" s="23"/>
      <c r="G1507" s="193"/>
      <c r="H1507" s="405">
        <f>SUM(H1508:H1512)</f>
        <v>11650</v>
      </c>
      <c r="I1507" s="772">
        <f>SUM(I1508:I1513)</f>
        <v>5000</v>
      </c>
      <c r="J1507" s="772">
        <f t="shared" si="207"/>
        <v>16650</v>
      </c>
      <c r="K1507" s="784"/>
      <c r="L1507" s="448">
        <f>SUM(L1508:L1509)</f>
        <v>0</v>
      </c>
      <c r="M1507" s="198">
        <f>SUM(M1508:M1509)</f>
        <v>0</v>
      </c>
      <c r="N1507" s="198">
        <f>M1507+L1507</f>
        <v>0</v>
      </c>
      <c r="O1507" s="784"/>
      <c r="P1507" s="360">
        <f t="shared" si="211"/>
        <v>11650</v>
      </c>
      <c r="Q1507" s="360">
        <f t="shared" si="209"/>
        <v>5000</v>
      </c>
      <c r="R1507" s="360">
        <f t="shared" si="210"/>
        <v>16650</v>
      </c>
    </row>
    <row r="1508" spans="1:18" x14ac:dyDescent="0.2">
      <c r="B1508" s="172">
        <f t="shared" si="206"/>
        <v>48</v>
      </c>
      <c r="C1508" s="134"/>
      <c r="D1508" s="134"/>
      <c r="E1508" s="538" t="s">
        <v>271</v>
      </c>
      <c r="F1508" s="538">
        <v>637</v>
      </c>
      <c r="G1508" s="205" t="s">
        <v>272</v>
      </c>
      <c r="H1508" s="540">
        <v>7000</v>
      </c>
      <c r="I1508" s="540"/>
      <c r="J1508" s="540">
        <f t="shared" si="207"/>
        <v>7000</v>
      </c>
      <c r="K1508" s="131"/>
      <c r="L1508" s="141"/>
      <c r="M1508" s="141"/>
      <c r="N1508" s="141"/>
      <c r="O1508" s="131"/>
      <c r="P1508" s="169">
        <f t="shared" si="211"/>
        <v>7000</v>
      </c>
      <c r="Q1508" s="169">
        <f t="shared" si="209"/>
        <v>0</v>
      </c>
      <c r="R1508" s="169">
        <f t="shared" si="210"/>
        <v>7000</v>
      </c>
    </row>
    <row r="1509" spans="1:18" x14ac:dyDescent="0.2">
      <c r="B1509" s="172">
        <f t="shared" si="206"/>
        <v>49</v>
      </c>
      <c r="C1509" s="129"/>
      <c r="D1509" s="129"/>
      <c r="E1509" s="538" t="s">
        <v>271</v>
      </c>
      <c r="F1509" s="133">
        <v>633</v>
      </c>
      <c r="G1509" s="194" t="s">
        <v>501</v>
      </c>
      <c r="H1509" s="540">
        <v>100</v>
      </c>
      <c r="I1509" s="540"/>
      <c r="J1509" s="540">
        <f t="shared" si="207"/>
        <v>100</v>
      </c>
      <c r="K1509" s="131"/>
      <c r="L1509" s="141"/>
      <c r="M1509" s="141"/>
      <c r="N1509" s="141"/>
      <c r="O1509" s="131"/>
      <c r="P1509" s="169">
        <f t="shared" si="211"/>
        <v>100</v>
      </c>
      <c r="Q1509" s="169">
        <f t="shared" si="209"/>
        <v>0</v>
      </c>
      <c r="R1509" s="169">
        <f t="shared" si="210"/>
        <v>100</v>
      </c>
    </row>
    <row r="1510" spans="1:18" x14ac:dyDescent="0.2">
      <c r="B1510" s="172">
        <f t="shared" si="206"/>
        <v>50</v>
      </c>
      <c r="C1510" s="129"/>
      <c r="D1510" s="161"/>
      <c r="E1510" s="538" t="s">
        <v>271</v>
      </c>
      <c r="F1510" s="538">
        <v>637</v>
      </c>
      <c r="G1510" s="194" t="s">
        <v>545</v>
      </c>
      <c r="H1510" s="369">
        <v>900</v>
      </c>
      <c r="I1510" s="369"/>
      <c r="J1510" s="369">
        <f t="shared" si="207"/>
        <v>900</v>
      </c>
      <c r="K1510" s="131"/>
      <c r="L1510" s="160"/>
      <c r="M1510" s="160"/>
      <c r="N1510" s="160"/>
      <c r="O1510" s="131"/>
      <c r="P1510" s="216">
        <f t="shared" si="211"/>
        <v>900</v>
      </c>
      <c r="Q1510" s="216">
        <f t="shared" si="209"/>
        <v>0</v>
      </c>
      <c r="R1510" s="216">
        <f t="shared" si="210"/>
        <v>900</v>
      </c>
    </row>
    <row r="1511" spans="1:18" x14ac:dyDescent="0.2">
      <c r="B1511" s="172">
        <f t="shared" si="206"/>
        <v>51</v>
      </c>
      <c r="C1511" s="129"/>
      <c r="D1511" s="161"/>
      <c r="E1511" s="538" t="s">
        <v>271</v>
      </c>
      <c r="F1511" s="538">
        <v>637</v>
      </c>
      <c r="G1511" s="194" t="s">
        <v>833</v>
      </c>
      <c r="H1511" s="369">
        <v>1150</v>
      </c>
      <c r="I1511" s="369"/>
      <c r="J1511" s="369">
        <f t="shared" ref="J1511:J1512" si="212">I1511+H1511</f>
        <v>1150</v>
      </c>
      <c r="K1511" s="131"/>
      <c r="L1511" s="160"/>
      <c r="M1511" s="160"/>
      <c r="N1511" s="160"/>
      <c r="O1511" s="131"/>
      <c r="P1511" s="216">
        <f t="shared" si="211"/>
        <v>1150</v>
      </c>
      <c r="Q1511" s="216">
        <f t="shared" ref="Q1511:Q1535" si="213">I1511+M1511</f>
        <v>0</v>
      </c>
      <c r="R1511" s="216">
        <f t="shared" ref="R1511:R1535" si="214">Q1511+P1511</f>
        <v>1150</v>
      </c>
    </row>
    <row r="1512" spans="1:18" s="836" customFormat="1" ht="36" x14ac:dyDescent="0.2">
      <c r="A1512" s="835"/>
      <c r="B1512" s="685">
        <f t="shared" si="206"/>
        <v>52</v>
      </c>
      <c r="C1512" s="466"/>
      <c r="D1512" s="476"/>
      <c r="E1512" s="470" t="s">
        <v>277</v>
      </c>
      <c r="F1512" s="470">
        <v>640</v>
      </c>
      <c r="G1512" s="511" t="s">
        <v>860</v>
      </c>
      <c r="H1512" s="477">
        <v>2500</v>
      </c>
      <c r="I1512" s="477"/>
      <c r="J1512" s="477">
        <f t="shared" si="212"/>
        <v>2500</v>
      </c>
      <c r="K1512" s="459"/>
      <c r="L1512" s="479"/>
      <c r="M1512" s="479"/>
      <c r="N1512" s="479"/>
      <c r="O1512" s="459"/>
      <c r="P1512" s="480">
        <f t="shared" si="211"/>
        <v>2500</v>
      </c>
      <c r="Q1512" s="480">
        <f t="shared" ref="Q1512" si="215">I1512+M1512</f>
        <v>0</v>
      </c>
      <c r="R1512" s="480">
        <f t="shared" ref="R1512" si="216">Q1512+P1512</f>
        <v>2500</v>
      </c>
    </row>
    <row r="1513" spans="1:18" s="836" customFormat="1" ht="36" x14ac:dyDescent="0.2">
      <c r="A1513" s="835"/>
      <c r="B1513" s="685">
        <f t="shared" si="206"/>
        <v>53</v>
      </c>
      <c r="C1513" s="466"/>
      <c r="D1513" s="476"/>
      <c r="E1513" s="470" t="s">
        <v>277</v>
      </c>
      <c r="F1513" s="470">
        <v>640</v>
      </c>
      <c r="G1513" s="511" t="s">
        <v>863</v>
      </c>
      <c r="H1513" s="477">
        <v>0</v>
      </c>
      <c r="I1513" s="477">
        <v>5000</v>
      </c>
      <c r="J1513" s="477">
        <f t="shared" ref="J1513" si="217">I1513+H1513</f>
        <v>5000</v>
      </c>
      <c r="K1513" s="459"/>
      <c r="L1513" s="479"/>
      <c r="M1513" s="479"/>
      <c r="N1513" s="479"/>
      <c r="O1513" s="459"/>
      <c r="P1513" s="480">
        <f t="shared" ref="P1513" si="218">H1513+L1513</f>
        <v>0</v>
      </c>
      <c r="Q1513" s="480">
        <f t="shared" ref="Q1513" si="219">I1513+M1513</f>
        <v>5000</v>
      </c>
      <c r="R1513" s="480">
        <f t="shared" ref="R1513" si="220">Q1513+P1513</f>
        <v>5000</v>
      </c>
    </row>
    <row r="1514" spans="1:18" ht="15.75" x14ac:dyDescent="0.25">
      <c r="B1514" s="685">
        <f t="shared" si="206"/>
        <v>54</v>
      </c>
      <c r="C1514" s="22">
        <v>4</v>
      </c>
      <c r="D1514" s="126" t="s">
        <v>115</v>
      </c>
      <c r="E1514" s="23"/>
      <c r="F1514" s="23"/>
      <c r="G1514" s="193"/>
      <c r="H1514" s="405">
        <f>H1515</f>
        <v>15000</v>
      </c>
      <c r="I1514" s="772">
        <f>I1515</f>
        <v>0</v>
      </c>
      <c r="J1514" s="772">
        <f t="shared" ref="J1514:J1535" si="221">I1514+H1514</f>
        <v>15000</v>
      </c>
      <c r="K1514" s="784"/>
      <c r="L1514" s="448">
        <v>0</v>
      </c>
      <c r="M1514" s="198">
        <v>0</v>
      </c>
      <c r="N1514" s="198">
        <f>M1514+L1514</f>
        <v>0</v>
      </c>
      <c r="O1514" s="784"/>
      <c r="P1514" s="360">
        <f t="shared" si="211"/>
        <v>15000</v>
      </c>
      <c r="Q1514" s="360">
        <f t="shared" si="213"/>
        <v>0</v>
      </c>
      <c r="R1514" s="360">
        <f t="shared" si="214"/>
        <v>15000</v>
      </c>
    </row>
    <row r="1515" spans="1:18" ht="24" x14ac:dyDescent="0.2">
      <c r="B1515" s="685">
        <f t="shared" si="206"/>
        <v>55</v>
      </c>
      <c r="C1515" s="469"/>
      <c r="D1515" s="469"/>
      <c r="E1515" s="470" t="s">
        <v>241</v>
      </c>
      <c r="F1515" s="470">
        <v>640</v>
      </c>
      <c r="G1515" s="619" t="s">
        <v>578</v>
      </c>
      <c r="H1515" s="546">
        <v>15000</v>
      </c>
      <c r="I1515" s="546"/>
      <c r="J1515" s="546">
        <f t="shared" si="221"/>
        <v>15000</v>
      </c>
      <c r="K1515" s="459"/>
      <c r="L1515" s="460"/>
      <c r="M1515" s="460"/>
      <c r="N1515" s="460"/>
      <c r="O1515" s="459"/>
      <c r="P1515" s="471">
        <f t="shared" si="211"/>
        <v>15000</v>
      </c>
      <c r="Q1515" s="471">
        <f t="shared" si="213"/>
        <v>0</v>
      </c>
      <c r="R1515" s="471">
        <f t="shared" si="214"/>
        <v>15000</v>
      </c>
    </row>
    <row r="1516" spans="1:18" ht="15.75" x14ac:dyDescent="0.25">
      <c r="B1516" s="172">
        <f t="shared" si="206"/>
        <v>56</v>
      </c>
      <c r="C1516" s="22">
        <v>5</v>
      </c>
      <c r="D1516" s="126" t="s">
        <v>116</v>
      </c>
      <c r="E1516" s="23"/>
      <c r="F1516" s="23"/>
      <c r="G1516" s="193"/>
      <c r="H1516" s="405">
        <f>H1517</f>
        <v>9645</v>
      </c>
      <c r="I1516" s="772">
        <f>I1517</f>
        <v>2000</v>
      </c>
      <c r="J1516" s="772">
        <f t="shared" si="221"/>
        <v>11645</v>
      </c>
      <c r="K1516" s="784"/>
      <c r="L1516" s="448">
        <v>0</v>
      </c>
      <c r="M1516" s="198">
        <v>0</v>
      </c>
      <c r="N1516" s="198">
        <f>M1516+L1516</f>
        <v>0</v>
      </c>
      <c r="O1516" s="784"/>
      <c r="P1516" s="360">
        <f t="shared" si="211"/>
        <v>9645</v>
      </c>
      <c r="Q1516" s="360">
        <f t="shared" si="213"/>
        <v>2000</v>
      </c>
      <c r="R1516" s="360">
        <f t="shared" si="214"/>
        <v>11645</v>
      </c>
    </row>
    <row r="1517" spans="1:18" x14ac:dyDescent="0.2">
      <c r="B1517" s="172">
        <f t="shared" si="206"/>
        <v>57</v>
      </c>
      <c r="C1517" s="134"/>
      <c r="D1517" s="134"/>
      <c r="E1517" s="157" t="s">
        <v>241</v>
      </c>
      <c r="F1517" s="157"/>
      <c r="G1517" s="227" t="s">
        <v>445</v>
      </c>
      <c r="H1517" s="374">
        <f>H1518+H1519+H1520</f>
        <v>9645</v>
      </c>
      <c r="I1517" s="374">
        <f>I1518+I1519+I1520</f>
        <v>2000</v>
      </c>
      <c r="J1517" s="374">
        <f t="shared" si="221"/>
        <v>11645</v>
      </c>
      <c r="K1517" s="131"/>
      <c r="L1517" s="141"/>
      <c r="M1517" s="141"/>
      <c r="N1517" s="141"/>
      <c r="O1517" s="131"/>
      <c r="P1517" s="545">
        <f t="shared" si="211"/>
        <v>9645</v>
      </c>
      <c r="Q1517" s="545">
        <f t="shared" si="213"/>
        <v>2000</v>
      </c>
      <c r="R1517" s="545">
        <f t="shared" si="214"/>
        <v>11645</v>
      </c>
    </row>
    <row r="1518" spans="1:18" x14ac:dyDescent="0.2">
      <c r="B1518" s="172">
        <f t="shared" si="206"/>
        <v>58</v>
      </c>
      <c r="C1518" s="129"/>
      <c r="D1518" s="129"/>
      <c r="E1518" s="150"/>
      <c r="F1518" s="150">
        <v>610</v>
      </c>
      <c r="G1518" s="202" t="s">
        <v>257</v>
      </c>
      <c r="H1518" s="375">
        <v>1100</v>
      </c>
      <c r="I1518" s="375"/>
      <c r="J1518" s="375">
        <f t="shared" si="221"/>
        <v>1100</v>
      </c>
      <c r="K1518" s="131"/>
      <c r="L1518" s="141"/>
      <c r="M1518" s="141"/>
      <c r="N1518" s="141"/>
      <c r="O1518" s="131"/>
      <c r="P1518" s="545">
        <f t="shared" si="211"/>
        <v>1100</v>
      </c>
      <c r="Q1518" s="545">
        <f t="shared" si="213"/>
        <v>0</v>
      </c>
      <c r="R1518" s="545">
        <f t="shared" si="214"/>
        <v>1100</v>
      </c>
    </row>
    <row r="1519" spans="1:18" x14ac:dyDescent="0.2">
      <c r="B1519" s="172">
        <f t="shared" si="206"/>
        <v>59</v>
      </c>
      <c r="C1519" s="129"/>
      <c r="D1519" s="129"/>
      <c r="E1519" s="133"/>
      <c r="F1519" s="150">
        <v>620</v>
      </c>
      <c r="G1519" s="202" t="s">
        <v>259</v>
      </c>
      <c r="H1519" s="375">
        <v>395</v>
      </c>
      <c r="I1519" s="375"/>
      <c r="J1519" s="375">
        <f t="shared" si="221"/>
        <v>395</v>
      </c>
      <c r="K1519" s="131"/>
      <c r="L1519" s="141"/>
      <c r="M1519" s="141"/>
      <c r="N1519" s="141"/>
      <c r="O1519" s="131"/>
      <c r="P1519" s="545">
        <f t="shared" si="211"/>
        <v>395</v>
      </c>
      <c r="Q1519" s="545">
        <f t="shared" si="213"/>
        <v>0</v>
      </c>
      <c r="R1519" s="545">
        <f t="shared" si="214"/>
        <v>395</v>
      </c>
    </row>
    <row r="1520" spans="1:18" x14ac:dyDescent="0.2">
      <c r="B1520" s="172">
        <f t="shared" si="206"/>
        <v>60</v>
      </c>
      <c r="C1520" s="129"/>
      <c r="D1520" s="129"/>
      <c r="E1520" s="133"/>
      <c r="F1520" s="150">
        <v>630</v>
      </c>
      <c r="G1520" s="202" t="s">
        <v>236</v>
      </c>
      <c r="H1520" s="375">
        <f>SUM(H1521:H1523)</f>
        <v>8150</v>
      </c>
      <c r="I1520" s="375">
        <f>SUM(I1521:I1523)</f>
        <v>2000</v>
      </c>
      <c r="J1520" s="375">
        <f t="shared" si="221"/>
        <v>10150</v>
      </c>
      <c r="K1520" s="131"/>
      <c r="L1520" s="141"/>
      <c r="M1520" s="141"/>
      <c r="N1520" s="141"/>
      <c r="O1520" s="131"/>
      <c r="P1520" s="545">
        <f t="shared" si="211"/>
        <v>8150</v>
      </c>
      <c r="Q1520" s="545">
        <f t="shared" si="213"/>
        <v>2000</v>
      </c>
      <c r="R1520" s="545">
        <f t="shared" si="214"/>
        <v>10150</v>
      </c>
    </row>
    <row r="1521" spans="2:18" x14ac:dyDescent="0.2">
      <c r="B1521" s="172">
        <f t="shared" si="206"/>
        <v>61</v>
      </c>
      <c r="C1521" s="129"/>
      <c r="D1521" s="129"/>
      <c r="E1521" s="133"/>
      <c r="F1521" s="133">
        <v>632</v>
      </c>
      <c r="G1521" s="194" t="s">
        <v>246</v>
      </c>
      <c r="H1521" s="540">
        <v>5000</v>
      </c>
      <c r="I1521" s="540"/>
      <c r="J1521" s="540">
        <f t="shared" si="221"/>
        <v>5000</v>
      </c>
      <c r="K1521" s="131"/>
      <c r="L1521" s="141"/>
      <c r="M1521" s="141"/>
      <c r="N1521" s="141"/>
      <c r="O1521" s="131"/>
      <c r="P1521" s="169">
        <f t="shared" si="211"/>
        <v>5000</v>
      </c>
      <c r="Q1521" s="169">
        <f t="shared" si="213"/>
        <v>0</v>
      </c>
      <c r="R1521" s="169">
        <f t="shared" si="214"/>
        <v>5000</v>
      </c>
    </row>
    <row r="1522" spans="2:18" x14ac:dyDescent="0.2">
      <c r="B1522" s="172">
        <f t="shared" si="206"/>
        <v>62</v>
      </c>
      <c r="C1522" s="129"/>
      <c r="D1522" s="129"/>
      <c r="E1522" s="133"/>
      <c r="F1522" s="133">
        <v>633</v>
      </c>
      <c r="G1522" s="194" t="s">
        <v>247</v>
      </c>
      <c r="H1522" s="540">
        <v>1250</v>
      </c>
      <c r="I1522" s="540">
        <v>2000</v>
      </c>
      <c r="J1522" s="540">
        <f t="shared" si="221"/>
        <v>3250</v>
      </c>
      <c r="K1522" s="131"/>
      <c r="L1522" s="141"/>
      <c r="M1522" s="141"/>
      <c r="N1522" s="141"/>
      <c r="O1522" s="131"/>
      <c r="P1522" s="169">
        <f t="shared" si="211"/>
        <v>1250</v>
      </c>
      <c r="Q1522" s="169">
        <f t="shared" si="213"/>
        <v>2000</v>
      </c>
      <c r="R1522" s="169">
        <f t="shared" si="214"/>
        <v>3250</v>
      </c>
    </row>
    <row r="1523" spans="2:18" x14ac:dyDescent="0.2">
      <c r="B1523" s="172">
        <f t="shared" si="206"/>
        <v>63</v>
      </c>
      <c r="C1523" s="129"/>
      <c r="D1523" s="129"/>
      <c r="E1523" s="133"/>
      <c r="F1523" s="133">
        <v>637</v>
      </c>
      <c r="G1523" s="194" t="s">
        <v>248</v>
      </c>
      <c r="H1523" s="540">
        <v>1900</v>
      </c>
      <c r="I1523" s="540"/>
      <c r="J1523" s="540">
        <f t="shared" si="221"/>
        <v>1900</v>
      </c>
      <c r="K1523" s="131"/>
      <c r="L1523" s="141"/>
      <c r="M1523" s="141"/>
      <c r="N1523" s="141"/>
      <c r="O1523" s="131"/>
      <c r="P1523" s="169">
        <f t="shared" si="211"/>
        <v>1900</v>
      </c>
      <c r="Q1523" s="169">
        <f t="shared" si="213"/>
        <v>0</v>
      </c>
      <c r="R1523" s="169">
        <f t="shared" si="214"/>
        <v>1900</v>
      </c>
    </row>
    <row r="1524" spans="2:18" ht="15.75" x14ac:dyDescent="0.25">
      <c r="B1524" s="172">
        <f t="shared" si="206"/>
        <v>64</v>
      </c>
      <c r="C1524" s="22">
        <v>6</v>
      </c>
      <c r="D1524" s="126" t="s">
        <v>176</v>
      </c>
      <c r="E1524" s="23"/>
      <c r="F1524" s="23"/>
      <c r="G1524" s="193"/>
      <c r="H1524" s="405">
        <f>H1525</f>
        <v>198000</v>
      </c>
      <c r="I1524" s="772">
        <f>I1525</f>
        <v>0</v>
      </c>
      <c r="J1524" s="772">
        <f t="shared" si="221"/>
        <v>198000</v>
      </c>
      <c r="K1524" s="784"/>
      <c r="L1524" s="448">
        <f>SUM(L1525:L1535)</f>
        <v>0</v>
      </c>
      <c r="M1524" s="198">
        <f>SUM(M1525:M1535)</f>
        <v>0</v>
      </c>
      <c r="N1524" s="198">
        <f>M1524+L1524</f>
        <v>0</v>
      </c>
      <c r="O1524" s="784"/>
      <c r="P1524" s="360">
        <f t="shared" si="211"/>
        <v>198000</v>
      </c>
      <c r="Q1524" s="360">
        <f t="shared" si="213"/>
        <v>0</v>
      </c>
      <c r="R1524" s="360">
        <f t="shared" si="214"/>
        <v>198000</v>
      </c>
    </row>
    <row r="1525" spans="2:18" x14ac:dyDescent="0.2">
      <c r="B1525" s="172">
        <f t="shared" si="206"/>
        <v>65</v>
      </c>
      <c r="C1525" s="134"/>
      <c r="D1525" s="134"/>
      <c r="E1525" s="157" t="s">
        <v>241</v>
      </c>
      <c r="F1525" s="157"/>
      <c r="G1525" s="227" t="s">
        <v>445</v>
      </c>
      <c r="H1525" s="374">
        <f>H1526+H1527+H1528+H1535</f>
        <v>198000</v>
      </c>
      <c r="I1525" s="374">
        <f>I1526+I1527+I1528+I1535</f>
        <v>0</v>
      </c>
      <c r="J1525" s="374">
        <f t="shared" si="221"/>
        <v>198000</v>
      </c>
      <c r="K1525" s="131"/>
      <c r="L1525" s="141"/>
      <c r="M1525" s="141"/>
      <c r="N1525" s="141"/>
      <c r="O1525" s="131"/>
      <c r="P1525" s="545">
        <f t="shared" si="211"/>
        <v>198000</v>
      </c>
      <c r="Q1525" s="545">
        <f t="shared" si="213"/>
        <v>0</v>
      </c>
      <c r="R1525" s="545">
        <f t="shared" si="214"/>
        <v>198000</v>
      </c>
    </row>
    <row r="1526" spans="2:18" x14ac:dyDescent="0.2">
      <c r="B1526" s="172">
        <f t="shared" si="206"/>
        <v>66</v>
      </c>
      <c r="C1526" s="129"/>
      <c r="D1526" s="129"/>
      <c r="E1526" s="150"/>
      <c r="F1526" s="150">
        <v>610</v>
      </c>
      <c r="G1526" s="202" t="s">
        <v>257</v>
      </c>
      <c r="H1526" s="375">
        <f>49800+17900+18200</f>
        <v>85900</v>
      </c>
      <c r="I1526" s="375"/>
      <c r="J1526" s="375">
        <f t="shared" si="221"/>
        <v>85900</v>
      </c>
      <c r="K1526" s="131"/>
      <c r="L1526" s="141"/>
      <c r="M1526" s="141"/>
      <c r="N1526" s="141"/>
      <c r="O1526" s="131"/>
      <c r="P1526" s="545">
        <f t="shared" si="211"/>
        <v>85900</v>
      </c>
      <c r="Q1526" s="545">
        <f t="shared" si="213"/>
        <v>0</v>
      </c>
      <c r="R1526" s="545">
        <f t="shared" si="214"/>
        <v>85900</v>
      </c>
    </row>
    <row r="1527" spans="2:18" x14ac:dyDescent="0.2">
      <c r="B1527" s="172">
        <f t="shared" si="206"/>
        <v>67</v>
      </c>
      <c r="C1527" s="129"/>
      <c r="D1527" s="129"/>
      <c r="E1527" s="133"/>
      <c r="F1527" s="150">
        <v>620</v>
      </c>
      <c r="G1527" s="202" t="s">
        <v>259</v>
      </c>
      <c r="H1527" s="375">
        <f>10150+1420+14210+815+3045+1015+4825+1080</f>
        <v>36560</v>
      </c>
      <c r="I1527" s="375"/>
      <c r="J1527" s="375">
        <f t="shared" si="221"/>
        <v>36560</v>
      </c>
      <c r="K1527" s="131"/>
      <c r="L1527" s="141"/>
      <c r="M1527" s="141"/>
      <c r="N1527" s="141"/>
      <c r="O1527" s="131"/>
      <c r="P1527" s="545">
        <f t="shared" si="211"/>
        <v>36560</v>
      </c>
      <c r="Q1527" s="545">
        <f t="shared" si="213"/>
        <v>0</v>
      </c>
      <c r="R1527" s="545">
        <f t="shared" si="214"/>
        <v>36560</v>
      </c>
    </row>
    <row r="1528" spans="2:18" x14ac:dyDescent="0.2">
      <c r="B1528" s="172">
        <f t="shared" si="206"/>
        <v>68</v>
      </c>
      <c r="C1528" s="129"/>
      <c r="D1528" s="129"/>
      <c r="E1528" s="133"/>
      <c r="F1528" s="150">
        <v>630</v>
      </c>
      <c r="G1528" s="202" t="s">
        <v>236</v>
      </c>
      <c r="H1528" s="375">
        <f>SUM(H1529:H1534)</f>
        <v>75390</v>
      </c>
      <c r="I1528" s="375">
        <f>SUM(I1529:I1534)</f>
        <v>-3200</v>
      </c>
      <c r="J1528" s="375">
        <f t="shared" si="221"/>
        <v>72190</v>
      </c>
      <c r="K1528" s="131"/>
      <c r="L1528" s="141"/>
      <c r="M1528" s="141"/>
      <c r="N1528" s="141"/>
      <c r="O1528" s="131"/>
      <c r="P1528" s="545">
        <f t="shared" si="211"/>
        <v>75390</v>
      </c>
      <c r="Q1528" s="545">
        <f t="shared" si="213"/>
        <v>-3200</v>
      </c>
      <c r="R1528" s="545">
        <f t="shared" si="214"/>
        <v>72190</v>
      </c>
    </row>
    <row r="1529" spans="2:18" x14ac:dyDescent="0.2">
      <c r="B1529" s="172">
        <f t="shared" ref="B1529:B1535" si="222">B1528+1</f>
        <v>69</v>
      </c>
      <c r="C1529" s="129"/>
      <c r="D1529" s="129"/>
      <c r="E1529" s="133"/>
      <c r="F1529" s="133">
        <v>631</v>
      </c>
      <c r="G1529" s="194" t="s">
        <v>520</v>
      </c>
      <c r="H1529" s="540">
        <f>100</f>
        <v>100</v>
      </c>
      <c r="I1529" s="540"/>
      <c r="J1529" s="540">
        <f t="shared" si="221"/>
        <v>100</v>
      </c>
      <c r="K1529" s="131"/>
      <c r="L1529" s="141"/>
      <c r="M1529" s="141"/>
      <c r="N1529" s="141"/>
      <c r="O1529" s="131"/>
      <c r="P1529" s="169">
        <f t="shared" si="211"/>
        <v>100</v>
      </c>
      <c r="Q1529" s="169">
        <f t="shared" si="213"/>
        <v>0</v>
      </c>
      <c r="R1529" s="169">
        <f t="shared" si="214"/>
        <v>100</v>
      </c>
    </row>
    <row r="1530" spans="2:18" x14ac:dyDescent="0.2">
      <c r="B1530" s="172">
        <f t="shared" si="222"/>
        <v>70</v>
      </c>
      <c r="C1530" s="129"/>
      <c r="D1530" s="129"/>
      <c r="E1530" s="133"/>
      <c r="F1530" s="133">
        <v>632</v>
      </c>
      <c r="G1530" s="194" t="s">
        <v>246</v>
      </c>
      <c r="H1530" s="540">
        <f>2700+500</f>
        <v>3200</v>
      </c>
      <c r="I1530" s="540"/>
      <c r="J1530" s="540">
        <f t="shared" si="221"/>
        <v>3200</v>
      </c>
      <c r="K1530" s="131"/>
      <c r="L1530" s="141"/>
      <c r="M1530" s="141"/>
      <c r="N1530" s="141"/>
      <c r="O1530" s="131"/>
      <c r="P1530" s="169">
        <f t="shared" si="211"/>
        <v>3200</v>
      </c>
      <c r="Q1530" s="169">
        <f t="shared" si="213"/>
        <v>0</v>
      </c>
      <c r="R1530" s="169">
        <f t="shared" si="214"/>
        <v>3200</v>
      </c>
    </row>
    <row r="1531" spans="2:18" x14ac:dyDescent="0.2">
      <c r="B1531" s="172">
        <f t="shared" si="222"/>
        <v>71</v>
      </c>
      <c r="C1531" s="129"/>
      <c r="D1531" s="129"/>
      <c r="E1531" s="133"/>
      <c r="F1531" s="133">
        <v>633</v>
      </c>
      <c r="G1531" s="194" t="s">
        <v>247</v>
      </c>
      <c r="H1531" s="540">
        <f>1000+1700+200+500+50</f>
        <v>3450</v>
      </c>
      <c r="I1531" s="540"/>
      <c r="J1531" s="540">
        <f t="shared" si="221"/>
        <v>3450</v>
      </c>
      <c r="K1531" s="131"/>
      <c r="L1531" s="141"/>
      <c r="M1531" s="141"/>
      <c r="N1531" s="141"/>
      <c r="O1531" s="131"/>
      <c r="P1531" s="169">
        <f t="shared" si="211"/>
        <v>3450</v>
      </c>
      <c r="Q1531" s="169">
        <f t="shared" si="213"/>
        <v>0</v>
      </c>
      <c r="R1531" s="169">
        <f t="shared" si="214"/>
        <v>3450</v>
      </c>
    </row>
    <row r="1532" spans="2:18" x14ac:dyDescent="0.2">
      <c r="B1532" s="172">
        <f t="shared" si="222"/>
        <v>72</v>
      </c>
      <c r="C1532" s="129"/>
      <c r="D1532" s="129"/>
      <c r="E1532" s="133"/>
      <c r="F1532" s="133">
        <v>634</v>
      </c>
      <c r="G1532" s="194" t="s">
        <v>260</v>
      </c>
      <c r="H1532" s="540">
        <f>3200+2500+4000+400</f>
        <v>10100</v>
      </c>
      <c r="I1532" s="540"/>
      <c r="J1532" s="540">
        <f t="shared" si="221"/>
        <v>10100</v>
      </c>
      <c r="K1532" s="131"/>
      <c r="L1532" s="141"/>
      <c r="M1532" s="141"/>
      <c r="N1532" s="141"/>
      <c r="O1532" s="131"/>
      <c r="P1532" s="169">
        <f t="shared" si="211"/>
        <v>10100</v>
      </c>
      <c r="Q1532" s="169">
        <f t="shared" si="213"/>
        <v>0</v>
      </c>
      <c r="R1532" s="169">
        <f t="shared" si="214"/>
        <v>10100</v>
      </c>
    </row>
    <row r="1533" spans="2:18" x14ac:dyDescent="0.2">
      <c r="B1533" s="172">
        <f t="shared" si="222"/>
        <v>73</v>
      </c>
      <c r="C1533" s="129"/>
      <c r="D1533" s="129"/>
      <c r="E1533" s="133"/>
      <c r="F1533" s="133">
        <v>635</v>
      </c>
      <c r="G1533" s="194" t="s">
        <v>261</v>
      </c>
      <c r="H1533" s="540">
        <f>4000+100</f>
        <v>4100</v>
      </c>
      <c r="I1533" s="540"/>
      <c r="J1533" s="540">
        <f t="shared" si="221"/>
        <v>4100</v>
      </c>
      <c r="K1533" s="131"/>
      <c r="L1533" s="141"/>
      <c r="M1533" s="141"/>
      <c r="N1533" s="141"/>
      <c r="O1533" s="131"/>
      <c r="P1533" s="169">
        <f t="shared" si="211"/>
        <v>4100</v>
      </c>
      <c r="Q1533" s="169">
        <f t="shared" si="213"/>
        <v>0</v>
      </c>
      <c r="R1533" s="169">
        <f t="shared" si="214"/>
        <v>4100</v>
      </c>
    </row>
    <row r="1534" spans="2:18" x14ac:dyDescent="0.2">
      <c r="B1534" s="172">
        <f t="shared" si="222"/>
        <v>74</v>
      </c>
      <c r="C1534" s="129"/>
      <c r="D1534" s="129"/>
      <c r="E1534" s="133"/>
      <c r="F1534" s="133">
        <v>637</v>
      </c>
      <c r="G1534" s="194" t="s">
        <v>248</v>
      </c>
      <c r="H1534" s="540">
        <f>56440-2000</f>
        <v>54440</v>
      </c>
      <c r="I1534" s="540">
        <v>-3200</v>
      </c>
      <c r="J1534" s="540">
        <f t="shared" si="221"/>
        <v>51240</v>
      </c>
      <c r="K1534" s="131"/>
      <c r="L1534" s="141"/>
      <c r="M1534" s="141"/>
      <c r="N1534" s="141"/>
      <c r="O1534" s="131"/>
      <c r="P1534" s="169">
        <f t="shared" si="211"/>
        <v>54440</v>
      </c>
      <c r="Q1534" s="169">
        <f t="shared" si="213"/>
        <v>-3200</v>
      </c>
      <c r="R1534" s="169">
        <f t="shared" si="214"/>
        <v>51240</v>
      </c>
    </row>
    <row r="1535" spans="2:18" ht="13.5" thickBot="1" x14ac:dyDescent="0.25">
      <c r="B1535" s="210">
        <f t="shared" si="222"/>
        <v>75</v>
      </c>
      <c r="C1535" s="340"/>
      <c r="D1535" s="340"/>
      <c r="E1535" s="214"/>
      <c r="F1535" s="829">
        <v>640</v>
      </c>
      <c r="G1535" s="830" t="s">
        <v>425</v>
      </c>
      <c r="H1535" s="831">
        <f>150</f>
        <v>150</v>
      </c>
      <c r="I1535" s="831">
        <v>3200</v>
      </c>
      <c r="J1535" s="831">
        <f t="shared" si="221"/>
        <v>3350</v>
      </c>
      <c r="K1535" s="832"/>
      <c r="L1535" s="654"/>
      <c r="M1535" s="654"/>
      <c r="N1535" s="654"/>
      <c r="O1535" s="832"/>
      <c r="P1535" s="833">
        <f t="shared" si="211"/>
        <v>150</v>
      </c>
      <c r="Q1535" s="833">
        <f t="shared" si="213"/>
        <v>3200</v>
      </c>
      <c r="R1535" s="833">
        <f t="shared" si="214"/>
        <v>3350</v>
      </c>
    </row>
    <row r="1568" spans="2:16" ht="27.75" thickBot="1" x14ac:dyDescent="0.4">
      <c r="B1568" s="507" t="s">
        <v>165</v>
      </c>
      <c r="C1568" s="507"/>
      <c r="D1568" s="507"/>
      <c r="E1568" s="507"/>
      <c r="F1568" s="507"/>
      <c r="G1568" s="507"/>
      <c r="H1568" s="508"/>
      <c r="I1568" s="507"/>
      <c r="J1568" s="507"/>
      <c r="K1568" s="246"/>
      <c r="L1568" s="507"/>
      <c r="M1568" s="507"/>
      <c r="N1568" s="507"/>
      <c r="O1568" s="246"/>
      <c r="P1568" s="507"/>
    </row>
    <row r="1569" spans="2:18" ht="13.5" customHeight="1" thickBot="1" x14ac:dyDescent="0.25">
      <c r="B1569" s="874" t="s">
        <v>632</v>
      </c>
      <c r="C1569" s="875"/>
      <c r="D1569" s="875"/>
      <c r="E1569" s="875"/>
      <c r="F1569" s="875"/>
      <c r="G1569" s="875"/>
      <c r="H1569" s="875"/>
      <c r="I1569" s="875"/>
      <c r="J1569" s="875"/>
      <c r="K1569" s="875"/>
      <c r="L1569" s="875"/>
      <c r="M1569" s="875"/>
      <c r="N1569" s="876"/>
      <c r="O1569" s="787"/>
      <c r="P1569" s="867" t="s">
        <v>724</v>
      </c>
      <c r="Q1569" s="867" t="s">
        <v>842</v>
      </c>
      <c r="R1569" s="867" t="s">
        <v>724</v>
      </c>
    </row>
    <row r="1570" spans="2:18" ht="13.5" customHeight="1" thickTop="1" x14ac:dyDescent="0.2">
      <c r="B1570" s="523"/>
      <c r="C1570" s="863" t="s">
        <v>478</v>
      </c>
      <c r="D1570" s="863" t="s">
        <v>477</v>
      </c>
      <c r="E1570" s="863" t="s">
        <v>475</v>
      </c>
      <c r="F1570" s="863" t="s">
        <v>476</v>
      </c>
      <c r="G1570" s="877" t="s">
        <v>3</v>
      </c>
      <c r="H1570" s="870" t="s">
        <v>725</v>
      </c>
      <c r="I1570" s="870" t="s">
        <v>842</v>
      </c>
      <c r="J1570" s="870" t="s">
        <v>725</v>
      </c>
      <c r="K1570" s="790"/>
      <c r="L1570" s="872" t="s">
        <v>726</v>
      </c>
      <c r="M1570" s="872" t="s">
        <v>842</v>
      </c>
      <c r="N1570" s="872" t="s">
        <v>726</v>
      </c>
      <c r="O1570" s="781"/>
      <c r="P1570" s="868"/>
      <c r="Q1570" s="868"/>
      <c r="R1570" s="868"/>
    </row>
    <row r="1571" spans="2:18" ht="43.5" customHeight="1" thickBot="1" x14ac:dyDescent="0.25">
      <c r="B1571" s="523"/>
      <c r="C1571" s="864"/>
      <c r="D1571" s="864"/>
      <c r="E1571" s="864"/>
      <c r="F1571" s="864"/>
      <c r="G1571" s="878"/>
      <c r="H1571" s="871"/>
      <c r="I1571" s="871"/>
      <c r="J1571" s="871"/>
      <c r="K1571" s="790"/>
      <c r="L1571" s="873"/>
      <c r="M1571" s="873"/>
      <c r="N1571" s="873"/>
      <c r="O1571" s="781"/>
      <c r="P1571" s="869"/>
      <c r="Q1571" s="869"/>
      <c r="R1571" s="869"/>
    </row>
    <row r="1572" spans="2:18" ht="19.5" thickTop="1" thickBot="1" x14ac:dyDescent="0.25">
      <c r="B1572" s="634">
        <v>1</v>
      </c>
      <c r="C1572" s="124" t="s">
        <v>228</v>
      </c>
      <c r="D1572" s="110"/>
      <c r="E1572" s="110"/>
      <c r="F1572" s="110"/>
      <c r="G1572" s="204"/>
      <c r="H1572" s="400">
        <f>H1573+H1583+H1585+H1598+H1607+H1651+H1670+H1681+H1683+H1689+H1698</f>
        <v>2032357</v>
      </c>
      <c r="I1572" s="400">
        <f>I1573+I1583+I1585+I1598+I1607+I1651+I1670+I1681+I1683+I1689+I1698</f>
        <v>4161</v>
      </c>
      <c r="J1572" s="400">
        <f t="shared" ref="J1572:J1617" si="223">I1572+H1572</f>
        <v>2036518</v>
      </c>
      <c r="K1572" s="783"/>
      <c r="L1572" s="197">
        <f>L1573+L1583+L1585+L1598+L1607+L1651+L1670+L1681+L1683+L1689+L1698</f>
        <v>0</v>
      </c>
      <c r="M1572" s="197">
        <f>M1573+M1583+M1585+M1598+M1607+M1650+M1668+M1679+M1681+M1687+M1696</f>
        <v>0</v>
      </c>
      <c r="N1572" s="197">
        <f>M1572+L1572</f>
        <v>0</v>
      </c>
      <c r="O1572" s="783"/>
      <c r="P1572" s="359">
        <f t="shared" ref="P1572:P1617" si="224">H1572+L1572</f>
        <v>2032357</v>
      </c>
      <c r="Q1572" s="778">
        <f t="shared" ref="Q1572:Q1617" si="225">I1572+M1572</f>
        <v>4161</v>
      </c>
      <c r="R1572" s="778">
        <f t="shared" ref="R1572:R1617" si="226">Q1572+P1572</f>
        <v>2036518</v>
      </c>
    </row>
    <row r="1573" spans="2:18" ht="16.5" thickTop="1" x14ac:dyDescent="0.25">
      <c r="B1573" s="172">
        <f>B1572+1</f>
        <v>2</v>
      </c>
      <c r="C1573" s="22">
        <v>1</v>
      </c>
      <c r="D1573" s="126" t="s">
        <v>100</v>
      </c>
      <c r="E1573" s="23"/>
      <c r="F1573" s="23"/>
      <c r="G1573" s="193"/>
      <c r="H1573" s="401">
        <f>H1574</f>
        <v>175350</v>
      </c>
      <c r="I1573" s="414">
        <f>I1574</f>
        <v>0</v>
      </c>
      <c r="J1573" s="414">
        <f t="shared" si="223"/>
        <v>175350</v>
      </c>
      <c r="K1573" s="784"/>
      <c r="L1573" s="445">
        <f>L1574</f>
        <v>0</v>
      </c>
      <c r="M1573" s="810">
        <f>M1574</f>
        <v>0</v>
      </c>
      <c r="N1573" s="810">
        <f>M1573+L1573</f>
        <v>0</v>
      </c>
      <c r="O1573" s="784"/>
      <c r="P1573" s="360">
        <f t="shared" si="224"/>
        <v>175350</v>
      </c>
      <c r="Q1573" s="360">
        <f t="shared" si="225"/>
        <v>0</v>
      </c>
      <c r="R1573" s="360">
        <f t="shared" si="226"/>
        <v>175350</v>
      </c>
    </row>
    <row r="1574" spans="2:18" x14ac:dyDescent="0.2">
      <c r="B1574" s="172">
        <f t="shared" ref="B1574:B1637" si="227">B1573+1</f>
        <v>3</v>
      </c>
      <c r="C1574" s="144"/>
      <c r="D1574" s="145"/>
      <c r="E1574" s="346" t="s">
        <v>677</v>
      </c>
      <c r="F1574" s="346"/>
      <c r="G1574" s="347" t="s">
        <v>451</v>
      </c>
      <c r="H1574" s="395">
        <f>H1575+H1576+H1577+H1582</f>
        <v>175350</v>
      </c>
      <c r="I1574" s="395">
        <f>I1575+I1576+I1577+I1582</f>
        <v>0</v>
      </c>
      <c r="J1574" s="395">
        <f t="shared" si="223"/>
        <v>175350</v>
      </c>
      <c r="K1574" s="147"/>
      <c r="L1574" s="449">
        <v>0</v>
      </c>
      <c r="M1574" s="449">
        <v>0</v>
      </c>
      <c r="N1574" s="449">
        <f>M1574+L1574</f>
        <v>0</v>
      </c>
      <c r="O1574" s="147"/>
      <c r="P1574" s="348">
        <f t="shared" si="224"/>
        <v>175350</v>
      </c>
      <c r="Q1574" s="348">
        <f t="shared" si="225"/>
        <v>0</v>
      </c>
      <c r="R1574" s="348">
        <f t="shared" si="226"/>
        <v>175350</v>
      </c>
    </row>
    <row r="1575" spans="2:18" x14ac:dyDescent="0.2">
      <c r="B1575" s="172">
        <f t="shared" si="227"/>
        <v>4</v>
      </c>
      <c r="C1575" s="144"/>
      <c r="D1575" s="145"/>
      <c r="E1575" s="150"/>
      <c r="F1575" s="150">
        <v>610</v>
      </c>
      <c r="G1575" s="202" t="s">
        <v>257</v>
      </c>
      <c r="H1575" s="375">
        <v>94630</v>
      </c>
      <c r="I1575" s="375"/>
      <c r="J1575" s="375">
        <f t="shared" si="223"/>
        <v>94630</v>
      </c>
      <c r="K1575" s="147"/>
      <c r="L1575" s="384"/>
      <c r="M1575" s="384"/>
      <c r="N1575" s="384"/>
      <c r="O1575" s="147"/>
      <c r="P1575" s="167">
        <f t="shared" si="224"/>
        <v>94630</v>
      </c>
      <c r="Q1575" s="167">
        <f t="shared" si="225"/>
        <v>0</v>
      </c>
      <c r="R1575" s="167">
        <f t="shared" si="226"/>
        <v>94630</v>
      </c>
    </row>
    <row r="1576" spans="2:18" x14ac:dyDescent="0.2">
      <c r="B1576" s="172">
        <f t="shared" si="227"/>
        <v>5</v>
      </c>
      <c r="C1576" s="144"/>
      <c r="D1576" s="145"/>
      <c r="E1576" s="133"/>
      <c r="F1576" s="150">
        <v>620</v>
      </c>
      <c r="G1576" s="202" t="s">
        <v>259</v>
      </c>
      <c r="H1576" s="375">
        <v>32965</v>
      </c>
      <c r="I1576" s="375"/>
      <c r="J1576" s="375">
        <f t="shared" si="223"/>
        <v>32965</v>
      </c>
      <c r="K1576" s="147"/>
      <c r="L1576" s="384"/>
      <c r="M1576" s="384"/>
      <c r="N1576" s="384"/>
      <c r="O1576" s="147"/>
      <c r="P1576" s="167">
        <f t="shared" si="224"/>
        <v>32965</v>
      </c>
      <c r="Q1576" s="167">
        <f t="shared" si="225"/>
        <v>0</v>
      </c>
      <c r="R1576" s="167">
        <f t="shared" si="226"/>
        <v>32965</v>
      </c>
    </row>
    <row r="1577" spans="2:18" x14ac:dyDescent="0.2">
      <c r="B1577" s="172">
        <f t="shared" si="227"/>
        <v>6</v>
      </c>
      <c r="C1577" s="144"/>
      <c r="D1577" s="145"/>
      <c r="E1577" s="133"/>
      <c r="F1577" s="150">
        <v>630</v>
      </c>
      <c r="G1577" s="202" t="s">
        <v>341</v>
      </c>
      <c r="H1577" s="375">
        <f>SUM(H1578:H1581)</f>
        <v>47455</v>
      </c>
      <c r="I1577" s="375">
        <f>SUM(I1578:I1581)</f>
        <v>0</v>
      </c>
      <c r="J1577" s="375">
        <f t="shared" si="223"/>
        <v>47455</v>
      </c>
      <c r="K1577" s="147"/>
      <c r="L1577" s="384"/>
      <c r="M1577" s="384"/>
      <c r="N1577" s="384"/>
      <c r="O1577" s="147"/>
      <c r="P1577" s="167">
        <f t="shared" si="224"/>
        <v>47455</v>
      </c>
      <c r="Q1577" s="167">
        <f t="shared" si="225"/>
        <v>0</v>
      </c>
      <c r="R1577" s="167">
        <f t="shared" si="226"/>
        <v>47455</v>
      </c>
    </row>
    <row r="1578" spans="2:18" x14ac:dyDescent="0.2">
      <c r="B1578" s="172">
        <f t="shared" si="227"/>
        <v>7</v>
      </c>
      <c r="C1578" s="144"/>
      <c r="D1578" s="145"/>
      <c r="E1578" s="133"/>
      <c r="F1578" s="133">
        <v>632</v>
      </c>
      <c r="G1578" s="194" t="s">
        <v>246</v>
      </c>
      <c r="H1578" s="540">
        <v>15880</v>
      </c>
      <c r="I1578" s="540"/>
      <c r="J1578" s="540">
        <f t="shared" si="223"/>
        <v>15880</v>
      </c>
      <c r="K1578" s="147"/>
      <c r="L1578" s="384"/>
      <c r="M1578" s="384"/>
      <c r="N1578" s="384"/>
      <c r="O1578" s="147"/>
      <c r="P1578" s="168">
        <f t="shared" si="224"/>
        <v>15880</v>
      </c>
      <c r="Q1578" s="168">
        <f t="shared" si="225"/>
        <v>0</v>
      </c>
      <c r="R1578" s="168">
        <f t="shared" si="226"/>
        <v>15880</v>
      </c>
    </row>
    <row r="1579" spans="2:18" x14ac:dyDescent="0.2">
      <c r="B1579" s="172">
        <f t="shared" si="227"/>
        <v>8</v>
      </c>
      <c r="C1579" s="144"/>
      <c r="D1579" s="145"/>
      <c r="E1579" s="133"/>
      <c r="F1579" s="133">
        <v>633</v>
      </c>
      <c r="G1579" s="194" t="s">
        <v>247</v>
      </c>
      <c r="H1579" s="540">
        <v>23750</v>
      </c>
      <c r="I1579" s="540"/>
      <c r="J1579" s="540">
        <f t="shared" si="223"/>
        <v>23750</v>
      </c>
      <c r="K1579" s="147"/>
      <c r="L1579" s="384"/>
      <c r="M1579" s="384"/>
      <c r="N1579" s="384"/>
      <c r="O1579" s="147"/>
      <c r="P1579" s="168">
        <f t="shared" si="224"/>
        <v>23750</v>
      </c>
      <c r="Q1579" s="168">
        <f t="shared" si="225"/>
        <v>0</v>
      </c>
      <c r="R1579" s="168">
        <f t="shared" si="226"/>
        <v>23750</v>
      </c>
    </row>
    <row r="1580" spans="2:18" x14ac:dyDescent="0.2">
      <c r="B1580" s="172">
        <f t="shared" si="227"/>
        <v>9</v>
      </c>
      <c r="C1580" s="144"/>
      <c r="D1580" s="145"/>
      <c r="E1580" s="133"/>
      <c r="F1580" s="133">
        <v>635</v>
      </c>
      <c r="G1580" s="194" t="s">
        <v>261</v>
      </c>
      <c r="H1580" s="540">
        <v>3310</v>
      </c>
      <c r="I1580" s="540"/>
      <c r="J1580" s="540">
        <f t="shared" si="223"/>
        <v>3310</v>
      </c>
      <c r="K1580" s="147"/>
      <c r="L1580" s="384"/>
      <c r="M1580" s="384"/>
      <c r="N1580" s="384"/>
      <c r="O1580" s="147"/>
      <c r="P1580" s="168">
        <f t="shared" si="224"/>
        <v>3310</v>
      </c>
      <c r="Q1580" s="168">
        <f t="shared" si="225"/>
        <v>0</v>
      </c>
      <c r="R1580" s="168">
        <f t="shared" si="226"/>
        <v>3310</v>
      </c>
    </row>
    <row r="1581" spans="2:18" x14ac:dyDescent="0.2">
      <c r="B1581" s="172">
        <f t="shared" si="227"/>
        <v>10</v>
      </c>
      <c r="C1581" s="144"/>
      <c r="D1581" s="145"/>
      <c r="E1581" s="133"/>
      <c r="F1581" s="133">
        <v>637</v>
      </c>
      <c r="G1581" s="194" t="s">
        <v>248</v>
      </c>
      <c r="H1581" s="540">
        <v>4515</v>
      </c>
      <c r="I1581" s="540"/>
      <c r="J1581" s="540">
        <f t="shared" si="223"/>
        <v>4515</v>
      </c>
      <c r="K1581" s="147"/>
      <c r="L1581" s="384"/>
      <c r="M1581" s="384"/>
      <c r="N1581" s="384"/>
      <c r="O1581" s="147"/>
      <c r="P1581" s="168">
        <f t="shared" si="224"/>
        <v>4515</v>
      </c>
      <c r="Q1581" s="168">
        <f t="shared" si="225"/>
        <v>0</v>
      </c>
      <c r="R1581" s="168">
        <f t="shared" si="226"/>
        <v>4515</v>
      </c>
    </row>
    <row r="1582" spans="2:18" x14ac:dyDescent="0.2">
      <c r="B1582" s="172">
        <f t="shared" si="227"/>
        <v>11</v>
      </c>
      <c r="C1582" s="144"/>
      <c r="D1582" s="145"/>
      <c r="E1582" s="145"/>
      <c r="F1582" s="150">
        <v>640</v>
      </c>
      <c r="G1582" s="202" t="s">
        <v>297</v>
      </c>
      <c r="H1582" s="375">
        <v>300</v>
      </c>
      <c r="I1582" s="375"/>
      <c r="J1582" s="375">
        <f t="shared" si="223"/>
        <v>300</v>
      </c>
      <c r="K1582" s="147"/>
      <c r="L1582" s="146"/>
      <c r="M1582" s="146"/>
      <c r="N1582" s="146"/>
      <c r="O1582" s="147"/>
      <c r="P1582" s="169">
        <f t="shared" si="224"/>
        <v>300</v>
      </c>
      <c r="Q1582" s="169">
        <f t="shared" si="225"/>
        <v>0</v>
      </c>
      <c r="R1582" s="169">
        <f t="shared" si="226"/>
        <v>300</v>
      </c>
    </row>
    <row r="1583" spans="2:18" ht="15.75" x14ac:dyDescent="0.25">
      <c r="B1583" s="172">
        <f t="shared" si="227"/>
        <v>12</v>
      </c>
      <c r="C1583" s="20">
        <v>2</v>
      </c>
      <c r="D1583" s="125" t="s">
        <v>229</v>
      </c>
      <c r="E1583" s="21"/>
      <c r="F1583" s="21"/>
      <c r="G1583" s="195"/>
      <c r="H1583" s="402">
        <f>H1584</f>
        <v>1000</v>
      </c>
      <c r="I1583" s="404">
        <f>I1584</f>
        <v>0</v>
      </c>
      <c r="J1583" s="404">
        <f t="shared" si="223"/>
        <v>1000</v>
      </c>
      <c r="K1583" s="785"/>
      <c r="L1583" s="450">
        <v>0</v>
      </c>
      <c r="M1583" s="450">
        <v>0</v>
      </c>
      <c r="N1583" s="450">
        <f>M1583+L1583</f>
        <v>0</v>
      </c>
      <c r="O1583" s="785"/>
      <c r="P1583" s="361">
        <f t="shared" si="224"/>
        <v>1000</v>
      </c>
      <c r="Q1583" s="361">
        <f t="shared" si="225"/>
        <v>0</v>
      </c>
      <c r="R1583" s="361">
        <f t="shared" si="226"/>
        <v>1000</v>
      </c>
    </row>
    <row r="1584" spans="2:18" x14ac:dyDescent="0.2">
      <c r="B1584" s="172">
        <f t="shared" si="227"/>
        <v>13</v>
      </c>
      <c r="C1584" s="129"/>
      <c r="D1584" s="129"/>
      <c r="E1584" s="133" t="s">
        <v>673</v>
      </c>
      <c r="F1584" s="133">
        <v>640</v>
      </c>
      <c r="G1584" s="194" t="s">
        <v>283</v>
      </c>
      <c r="H1584" s="540">
        <v>1000</v>
      </c>
      <c r="I1584" s="540"/>
      <c r="J1584" s="540">
        <f t="shared" si="223"/>
        <v>1000</v>
      </c>
      <c r="K1584" s="131"/>
      <c r="L1584" s="141"/>
      <c r="M1584" s="141"/>
      <c r="N1584" s="141"/>
      <c r="O1584" s="131"/>
      <c r="P1584" s="169">
        <f t="shared" si="224"/>
        <v>1000</v>
      </c>
      <c r="Q1584" s="169">
        <f t="shared" si="225"/>
        <v>0</v>
      </c>
      <c r="R1584" s="169">
        <f t="shared" si="226"/>
        <v>1000</v>
      </c>
    </row>
    <row r="1585" spans="2:18" ht="15.75" x14ac:dyDescent="0.25">
      <c r="B1585" s="172">
        <f t="shared" si="227"/>
        <v>14</v>
      </c>
      <c r="C1585" s="22">
        <v>3</v>
      </c>
      <c r="D1585" s="126" t="s">
        <v>2</v>
      </c>
      <c r="E1585" s="23"/>
      <c r="F1585" s="23"/>
      <c r="G1585" s="193"/>
      <c r="H1585" s="408">
        <f>H1586+H1587+H1588+H1589+H1597</f>
        <v>14965</v>
      </c>
      <c r="I1585" s="408">
        <f>I1586+I1587+I1588+I1589+I1597</f>
        <v>0</v>
      </c>
      <c r="J1585" s="408">
        <f t="shared" si="223"/>
        <v>14965</v>
      </c>
      <c r="K1585" s="784"/>
      <c r="L1585" s="450">
        <v>0</v>
      </c>
      <c r="M1585" s="450">
        <v>0</v>
      </c>
      <c r="N1585" s="450">
        <f>M1585+L1585</f>
        <v>0</v>
      </c>
      <c r="O1585" s="784"/>
      <c r="P1585" s="361">
        <f t="shared" si="224"/>
        <v>14965</v>
      </c>
      <c r="Q1585" s="361">
        <f t="shared" si="225"/>
        <v>0</v>
      </c>
      <c r="R1585" s="361">
        <f t="shared" si="226"/>
        <v>14965</v>
      </c>
    </row>
    <row r="1586" spans="2:18" x14ac:dyDescent="0.2">
      <c r="B1586" s="172">
        <f t="shared" si="227"/>
        <v>15</v>
      </c>
      <c r="C1586" s="129"/>
      <c r="D1586" s="161"/>
      <c r="E1586" s="464" t="s">
        <v>674</v>
      </c>
      <c r="F1586" s="159">
        <v>640</v>
      </c>
      <c r="G1586" s="194" t="s">
        <v>284</v>
      </c>
      <c r="H1586" s="369">
        <v>2000</v>
      </c>
      <c r="I1586" s="369"/>
      <c r="J1586" s="369">
        <f t="shared" si="223"/>
        <v>2000</v>
      </c>
      <c r="K1586" s="131"/>
      <c r="L1586" s="160"/>
      <c r="M1586" s="160"/>
      <c r="N1586" s="160"/>
      <c r="O1586" s="131"/>
      <c r="P1586" s="216">
        <f t="shared" si="224"/>
        <v>2000</v>
      </c>
      <c r="Q1586" s="216">
        <f t="shared" si="225"/>
        <v>0</v>
      </c>
      <c r="R1586" s="216">
        <f t="shared" si="226"/>
        <v>2000</v>
      </c>
    </row>
    <row r="1587" spans="2:18" ht="24" x14ac:dyDescent="0.2">
      <c r="B1587" s="172">
        <f t="shared" si="227"/>
        <v>16</v>
      </c>
      <c r="C1587" s="129"/>
      <c r="D1587" s="161"/>
      <c r="E1587" s="464" t="s">
        <v>674</v>
      </c>
      <c r="F1587" s="464">
        <v>640</v>
      </c>
      <c r="G1587" s="620" t="s">
        <v>610</v>
      </c>
      <c r="H1587" s="477">
        <v>898</v>
      </c>
      <c r="I1587" s="477"/>
      <c r="J1587" s="477">
        <f t="shared" si="223"/>
        <v>898</v>
      </c>
      <c r="K1587" s="459"/>
      <c r="L1587" s="479"/>
      <c r="M1587" s="479"/>
      <c r="N1587" s="479"/>
      <c r="O1587" s="459"/>
      <c r="P1587" s="480">
        <f t="shared" si="224"/>
        <v>898</v>
      </c>
      <c r="Q1587" s="480">
        <f t="shared" si="225"/>
        <v>0</v>
      </c>
      <c r="R1587" s="480">
        <f t="shared" si="226"/>
        <v>898</v>
      </c>
    </row>
    <row r="1588" spans="2:18" ht="24" x14ac:dyDescent="0.2">
      <c r="B1588" s="172">
        <f t="shared" si="227"/>
        <v>17</v>
      </c>
      <c r="C1588" s="129"/>
      <c r="D1588" s="161"/>
      <c r="E1588" s="464" t="s">
        <v>674</v>
      </c>
      <c r="F1588" s="464">
        <v>640</v>
      </c>
      <c r="G1588" s="620" t="s">
        <v>611</v>
      </c>
      <c r="H1588" s="477">
        <v>1910</v>
      </c>
      <c r="I1588" s="477"/>
      <c r="J1588" s="477">
        <f t="shared" si="223"/>
        <v>1910</v>
      </c>
      <c r="K1588" s="459"/>
      <c r="L1588" s="479"/>
      <c r="M1588" s="479"/>
      <c r="N1588" s="479"/>
      <c r="O1588" s="459"/>
      <c r="P1588" s="480">
        <f t="shared" si="224"/>
        <v>1910</v>
      </c>
      <c r="Q1588" s="480">
        <f t="shared" si="225"/>
        <v>0</v>
      </c>
      <c r="R1588" s="480">
        <f t="shared" si="226"/>
        <v>1910</v>
      </c>
    </row>
    <row r="1589" spans="2:18" ht="36" x14ac:dyDescent="0.2">
      <c r="B1589" s="172">
        <f t="shared" si="227"/>
        <v>18</v>
      </c>
      <c r="C1589" s="129"/>
      <c r="D1589" s="161"/>
      <c r="E1589" s="464" t="s">
        <v>674</v>
      </c>
      <c r="F1589" s="464">
        <v>640</v>
      </c>
      <c r="G1589" s="620" t="s">
        <v>612</v>
      </c>
      <c r="H1589" s="369">
        <f>SUM(H1590:H1596)</f>
        <v>8157</v>
      </c>
      <c r="I1589" s="477">
        <f>SUM(I1590:I1596)</f>
        <v>0</v>
      </c>
      <c r="J1589" s="477">
        <f t="shared" si="223"/>
        <v>8157</v>
      </c>
      <c r="K1589" s="131"/>
      <c r="L1589" s="160"/>
      <c r="M1589" s="479"/>
      <c r="N1589" s="479"/>
      <c r="O1589" s="131"/>
      <c r="P1589" s="216">
        <f t="shared" si="224"/>
        <v>8157</v>
      </c>
      <c r="Q1589" s="480">
        <f t="shared" si="225"/>
        <v>0</v>
      </c>
      <c r="R1589" s="480">
        <f t="shared" si="226"/>
        <v>8157</v>
      </c>
    </row>
    <row r="1590" spans="2:18" x14ac:dyDescent="0.2">
      <c r="B1590" s="172">
        <f t="shared" si="227"/>
        <v>19</v>
      </c>
      <c r="C1590" s="129"/>
      <c r="D1590" s="161"/>
      <c r="E1590" s="464"/>
      <c r="F1590" s="464"/>
      <c r="G1590" s="620" t="s">
        <v>613</v>
      </c>
      <c r="H1590" s="369">
        <v>417</v>
      </c>
      <c r="I1590" s="369"/>
      <c r="J1590" s="369">
        <f t="shared" si="223"/>
        <v>417</v>
      </c>
      <c r="K1590" s="131"/>
      <c r="L1590" s="160"/>
      <c r="M1590" s="160"/>
      <c r="N1590" s="160"/>
      <c r="O1590" s="131"/>
      <c r="P1590" s="216">
        <f t="shared" si="224"/>
        <v>417</v>
      </c>
      <c r="Q1590" s="216">
        <f t="shared" si="225"/>
        <v>0</v>
      </c>
      <c r="R1590" s="216">
        <f t="shared" si="226"/>
        <v>417</v>
      </c>
    </row>
    <row r="1591" spans="2:18" x14ac:dyDescent="0.2">
      <c r="B1591" s="172">
        <f t="shared" si="227"/>
        <v>20</v>
      </c>
      <c r="C1591" s="129"/>
      <c r="D1591" s="161"/>
      <c r="E1591" s="464"/>
      <c r="F1591" s="464"/>
      <c r="G1591" s="620" t="s">
        <v>614</v>
      </c>
      <c r="H1591" s="369">
        <v>1802</v>
      </c>
      <c r="I1591" s="369"/>
      <c r="J1591" s="369">
        <f t="shared" si="223"/>
        <v>1802</v>
      </c>
      <c r="K1591" s="131"/>
      <c r="L1591" s="160"/>
      <c r="M1591" s="160"/>
      <c r="N1591" s="160"/>
      <c r="O1591" s="131"/>
      <c r="P1591" s="216">
        <f t="shared" si="224"/>
        <v>1802</v>
      </c>
      <c r="Q1591" s="216">
        <f t="shared" si="225"/>
        <v>0</v>
      </c>
      <c r="R1591" s="216">
        <f t="shared" si="226"/>
        <v>1802</v>
      </c>
    </row>
    <row r="1592" spans="2:18" x14ac:dyDescent="0.2">
      <c r="B1592" s="172">
        <f t="shared" si="227"/>
        <v>21</v>
      </c>
      <c r="C1592" s="129"/>
      <c r="D1592" s="161"/>
      <c r="E1592" s="464"/>
      <c r="F1592" s="464"/>
      <c r="G1592" s="620" t="s">
        <v>615</v>
      </c>
      <c r="H1592" s="369">
        <v>1350</v>
      </c>
      <c r="I1592" s="369"/>
      <c r="J1592" s="369">
        <f t="shared" si="223"/>
        <v>1350</v>
      </c>
      <c r="K1592" s="131"/>
      <c r="L1592" s="160"/>
      <c r="M1592" s="160"/>
      <c r="N1592" s="160"/>
      <c r="O1592" s="131"/>
      <c r="P1592" s="216">
        <f t="shared" si="224"/>
        <v>1350</v>
      </c>
      <c r="Q1592" s="216">
        <f t="shared" si="225"/>
        <v>0</v>
      </c>
      <c r="R1592" s="216">
        <f t="shared" si="226"/>
        <v>1350</v>
      </c>
    </row>
    <row r="1593" spans="2:18" x14ac:dyDescent="0.2">
      <c r="B1593" s="172">
        <f t="shared" si="227"/>
        <v>22</v>
      </c>
      <c r="C1593" s="129"/>
      <c r="D1593" s="161"/>
      <c r="E1593" s="464"/>
      <c r="F1593" s="464"/>
      <c r="G1593" s="620" t="s">
        <v>616</v>
      </c>
      <c r="H1593" s="369">
        <v>366</v>
      </c>
      <c r="I1593" s="369"/>
      <c r="J1593" s="369">
        <f t="shared" si="223"/>
        <v>366</v>
      </c>
      <c r="K1593" s="131"/>
      <c r="L1593" s="160"/>
      <c r="M1593" s="160"/>
      <c r="N1593" s="160"/>
      <c r="O1593" s="131"/>
      <c r="P1593" s="216">
        <f t="shared" si="224"/>
        <v>366</v>
      </c>
      <c r="Q1593" s="216">
        <f t="shared" si="225"/>
        <v>0</v>
      </c>
      <c r="R1593" s="216">
        <f t="shared" si="226"/>
        <v>366</v>
      </c>
    </row>
    <row r="1594" spans="2:18" x14ac:dyDescent="0.2">
      <c r="B1594" s="172">
        <f t="shared" si="227"/>
        <v>23</v>
      </c>
      <c r="C1594" s="129"/>
      <c r="D1594" s="161"/>
      <c r="E1594" s="464"/>
      <c r="F1594" s="464"/>
      <c r="G1594" s="620" t="s">
        <v>617</v>
      </c>
      <c r="H1594" s="369">
        <v>474</v>
      </c>
      <c r="I1594" s="369"/>
      <c r="J1594" s="369">
        <f t="shared" si="223"/>
        <v>474</v>
      </c>
      <c r="K1594" s="131"/>
      <c r="L1594" s="160"/>
      <c r="M1594" s="160"/>
      <c r="N1594" s="160"/>
      <c r="O1594" s="131"/>
      <c r="P1594" s="216">
        <f t="shared" si="224"/>
        <v>474</v>
      </c>
      <c r="Q1594" s="216">
        <f t="shared" si="225"/>
        <v>0</v>
      </c>
      <c r="R1594" s="216">
        <f t="shared" si="226"/>
        <v>474</v>
      </c>
    </row>
    <row r="1595" spans="2:18" x14ac:dyDescent="0.2">
      <c r="B1595" s="172">
        <f t="shared" si="227"/>
        <v>24</v>
      </c>
      <c r="C1595" s="129"/>
      <c r="D1595" s="161"/>
      <c r="E1595" s="464"/>
      <c r="F1595" s="464"/>
      <c r="G1595" s="620" t="s">
        <v>618</v>
      </c>
      <c r="H1595" s="369">
        <v>1070</v>
      </c>
      <c r="I1595" s="369"/>
      <c r="J1595" s="369">
        <f t="shared" si="223"/>
        <v>1070</v>
      </c>
      <c r="K1595" s="131"/>
      <c r="L1595" s="160"/>
      <c r="M1595" s="160"/>
      <c r="N1595" s="160"/>
      <c r="O1595" s="131"/>
      <c r="P1595" s="216">
        <f t="shared" si="224"/>
        <v>1070</v>
      </c>
      <c r="Q1595" s="216">
        <f t="shared" si="225"/>
        <v>0</v>
      </c>
      <c r="R1595" s="216">
        <f t="shared" si="226"/>
        <v>1070</v>
      </c>
    </row>
    <row r="1596" spans="2:18" x14ac:dyDescent="0.2">
      <c r="B1596" s="172">
        <f t="shared" si="227"/>
        <v>25</v>
      </c>
      <c r="C1596" s="129"/>
      <c r="D1596" s="161"/>
      <c r="E1596" s="464"/>
      <c r="F1596" s="464"/>
      <c r="G1596" s="620" t="s">
        <v>619</v>
      </c>
      <c r="H1596" s="369">
        <v>2678</v>
      </c>
      <c r="I1596" s="369"/>
      <c r="J1596" s="369">
        <f t="shared" si="223"/>
        <v>2678</v>
      </c>
      <c r="K1596" s="131"/>
      <c r="L1596" s="160"/>
      <c r="M1596" s="160"/>
      <c r="N1596" s="160"/>
      <c r="O1596" s="131"/>
      <c r="P1596" s="216">
        <f t="shared" si="224"/>
        <v>2678</v>
      </c>
      <c r="Q1596" s="216">
        <f t="shared" si="225"/>
        <v>0</v>
      </c>
      <c r="R1596" s="216">
        <f t="shared" si="226"/>
        <v>2678</v>
      </c>
    </row>
    <row r="1597" spans="2:18" ht="33.75" x14ac:dyDescent="0.2">
      <c r="B1597" s="172">
        <f t="shared" si="227"/>
        <v>26</v>
      </c>
      <c r="C1597" s="129"/>
      <c r="D1597" s="161"/>
      <c r="E1597" s="464" t="s">
        <v>674</v>
      </c>
      <c r="F1597" s="464">
        <v>640</v>
      </c>
      <c r="G1597" s="567" t="s">
        <v>628</v>
      </c>
      <c r="H1597" s="477">
        <v>2000</v>
      </c>
      <c r="I1597" s="477"/>
      <c r="J1597" s="477">
        <f t="shared" si="223"/>
        <v>2000</v>
      </c>
      <c r="K1597" s="131"/>
      <c r="L1597" s="160"/>
      <c r="M1597" s="160"/>
      <c r="N1597" s="160"/>
      <c r="O1597" s="131"/>
      <c r="P1597" s="566">
        <f t="shared" si="224"/>
        <v>2000</v>
      </c>
      <c r="Q1597" s="566">
        <f t="shared" si="225"/>
        <v>0</v>
      </c>
      <c r="R1597" s="566">
        <f t="shared" si="226"/>
        <v>2000</v>
      </c>
    </row>
    <row r="1598" spans="2:18" ht="15.75" x14ac:dyDescent="0.25">
      <c r="B1598" s="172">
        <f t="shared" si="227"/>
        <v>27</v>
      </c>
      <c r="C1598" s="22">
        <v>4</v>
      </c>
      <c r="D1598" s="126" t="s">
        <v>320</v>
      </c>
      <c r="E1598" s="23"/>
      <c r="F1598" s="23"/>
      <c r="G1598" s="193"/>
      <c r="H1598" s="405">
        <f>H1599</f>
        <v>22458</v>
      </c>
      <c r="I1598" s="772">
        <f>I1599</f>
        <v>0</v>
      </c>
      <c r="J1598" s="772">
        <f t="shared" si="223"/>
        <v>22458</v>
      </c>
      <c r="K1598" s="784"/>
      <c r="L1598" s="451">
        <v>0</v>
      </c>
      <c r="M1598" s="451">
        <v>0</v>
      </c>
      <c r="N1598" s="451">
        <f>M1598+L1598</f>
        <v>0</v>
      </c>
      <c r="O1598" s="784"/>
      <c r="P1598" s="360">
        <f t="shared" si="224"/>
        <v>22458</v>
      </c>
      <c r="Q1598" s="360">
        <f t="shared" si="225"/>
        <v>0</v>
      </c>
      <c r="R1598" s="360">
        <f t="shared" si="226"/>
        <v>22458</v>
      </c>
    </row>
    <row r="1599" spans="2:18" x14ac:dyDescent="0.2">
      <c r="B1599" s="172">
        <f t="shared" si="227"/>
        <v>28</v>
      </c>
      <c r="C1599" s="134"/>
      <c r="D1599" s="134"/>
      <c r="E1599" s="346" t="s">
        <v>673</v>
      </c>
      <c r="F1599" s="346"/>
      <c r="G1599" s="347" t="s">
        <v>452</v>
      </c>
      <c r="H1599" s="395">
        <f>H1600+H1601+H1602</f>
        <v>22458</v>
      </c>
      <c r="I1599" s="395">
        <f>I1600+I1601+I1602</f>
        <v>0</v>
      </c>
      <c r="J1599" s="395">
        <f t="shared" si="223"/>
        <v>22458</v>
      </c>
      <c r="K1599" s="131"/>
      <c r="L1599" s="452"/>
      <c r="M1599" s="452"/>
      <c r="N1599" s="452"/>
      <c r="O1599" s="131"/>
      <c r="P1599" s="349">
        <f t="shared" si="224"/>
        <v>22458</v>
      </c>
      <c r="Q1599" s="349">
        <f t="shared" si="225"/>
        <v>0</v>
      </c>
      <c r="R1599" s="349">
        <f t="shared" si="226"/>
        <v>22458</v>
      </c>
    </row>
    <row r="1600" spans="2:18" x14ac:dyDescent="0.2">
      <c r="B1600" s="172">
        <f t="shared" si="227"/>
        <v>29</v>
      </c>
      <c r="C1600" s="129"/>
      <c r="D1600" s="129"/>
      <c r="E1600" s="150"/>
      <c r="F1600" s="150">
        <v>610</v>
      </c>
      <c r="G1600" s="202" t="s">
        <v>257</v>
      </c>
      <c r="H1600" s="375">
        <v>11031</v>
      </c>
      <c r="I1600" s="375"/>
      <c r="J1600" s="375">
        <f t="shared" si="223"/>
        <v>11031</v>
      </c>
      <c r="K1600" s="131"/>
      <c r="L1600" s="141"/>
      <c r="M1600" s="141"/>
      <c r="N1600" s="141"/>
      <c r="O1600" s="131"/>
      <c r="P1600" s="545">
        <f t="shared" si="224"/>
        <v>11031</v>
      </c>
      <c r="Q1600" s="545">
        <f t="shared" si="225"/>
        <v>0</v>
      </c>
      <c r="R1600" s="545">
        <f t="shared" si="226"/>
        <v>11031</v>
      </c>
    </row>
    <row r="1601" spans="2:18" x14ac:dyDescent="0.2">
      <c r="B1601" s="172">
        <f t="shared" si="227"/>
        <v>30</v>
      </c>
      <c r="C1601" s="129"/>
      <c r="D1601" s="129"/>
      <c r="E1601" s="133"/>
      <c r="F1601" s="150">
        <v>620</v>
      </c>
      <c r="G1601" s="202" t="s">
        <v>259</v>
      </c>
      <c r="H1601" s="375">
        <v>3861</v>
      </c>
      <c r="I1601" s="375"/>
      <c r="J1601" s="375">
        <f t="shared" si="223"/>
        <v>3861</v>
      </c>
      <c r="K1601" s="131"/>
      <c r="L1601" s="141"/>
      <c r="M1601" s="141"/>
      <c r="N1601" s="141"/>
      <c r="O1601" s="131"/>
      <c r="P1601" s="545">
        <f t="shared" si="224"/>
        <v>3861</v>
      </c>
      <c r="Q1601" s="545">
        <f t="shared" si="225"/>
        <v>0</v>
      </c>
      <c r="R1601" s="545">
        <f t="shared" si="226"/>
        <v>3861</v>
      </c>
    </row>
    <row r="1602" spans="2:18" x14ac:dyDescent="0.2">
      <c r="B1602" s="172">
        <f t="shared" si="227"/>
        <v>31</v>
      </c>
      <c r="C1602" s="129"/>
      <c r="D1602" s="129"/>
      <c r="E1602" s="133"/>
      <c r="F1602" s="150">
        <v>630</v>
      </c>
      <c r="G1602" s="202" t="s">
        <v>341</v>
      </c>
      <c r="H1602" s="375">
        <f>SUM(H1603:H1606)</f>
        <v>7566</v>
      </c>
      <c r="I1602" s="375">
        <f>SUM(I1603:I1606)</f>
        <v>0</v>
      </c>
      <c r="J1602" s="375">
        <f t="shared" si="223"/>
        <v>7566</v>
      </c>
      <c r="K1602" s="131"/>
      <c r="L1602" s="141"/>
      <c r="M1602" s="141"/>
      <c r="N1602" s="141"/>
      <c r="O1602" s="131"/>
      <c r="P1602" s="545">
        <f t="shared" si="224"/>
        <v>7566</v>
      </c>
      <c r="Q1602" s="545">
        <f t="shared" si="225"/>
        <v>0</v>
      </c>
      <c r="R1602" s="545">
        <f t="shared" si="226"/>
        <v>7566</v>
      </c>
    </row>
    <row r="1603" spans="2:18" x14ac:dyDescent="0.2">
      <c r="B1603" s="172">
        <f t="shared" si="227"/>
        <v>32</v>
      </c>
      <c r="C1603" s="129"/>
      <c r="D1603" s="129"/>
      <c r="E1603" s="133"/>
      <c r="F1603" s="133">
        <v>632</v>
      </c>
      <c r="G1603" s="194" t="s">
        <v>246</v>
      </c>
      <c r="H1603" s="540">
        <v>5113</v>
      </c>
      <c r="I1603" s="540"/>
      <c r="J1603" s="540">
        <f t="shared" si="223"/>
        <v>5113</v>
      </c>
      <c r="K1603" s="131"/>
      <c r="L1603" s="141"/>
      <c r="M1603" s="141"/>
      <c r="N1603" s="141"/>
      <c r="O1603" s="131"/>
      <c r="P1603" s="169">
        <f t="shared" si="224"/>
        <v>5113</v>
      </c>
      <c r="Q1603" s="169">
        <f t="shared" si="225"/>
        <v>0</v>
      </c>
      <c r="R1603" s="169">
        <f t="shared" si="226"/>
        <v>5113</v>
      </c>
    </row>
    <row r="1604" spans="2:18" x14ac:dyDescent="0.2">
      <c r="B1604" s="172">
        <f t="shared" si="227"/>
        <v>33</v>
      </c>
      <c r="C1604" s="129"/>
      <c r="D1604" s="129"/>
      <c r="E1604" s="133"/>
      <c r="F1604" s="133">
        <v>633</v>
      </c>
      <c r="G1604" s="194" t="s">
        <v>247</v>
      </c>
      <c r="H1604" s="540">
        <v>100</v>
      </c>
      <c r="I1604" s="540"/>
      <c r="J1604" s="540">
        <f t="shared" si="223"/>
        <v>100</v>
      </c>
      <c r="K1604" s="131"/>
      <c r="L1604" s="141"/>
      <c r="M1604" s="141"/>
      <c r="N1604" s="141"/>
      <c r="O1604" s="131"/>
      <c r="P1604" s="169">
        <f t="shared" si="224"/>
        <v>100</v>
      </c>
      <c r="Q1604" s="169">
        <f t="shared" si="225"/>
        <v>0</v>
      </c>
      <c r="R1604" s="169">
        <f t="shared" si="226"/>
        <v>100</v>
      </c>
    </row>
    <row r="1605" spans="2:18" x14ac:dyDescent="0.2">
      <c r="B1605" s="172">
        <f t="shared" si="227"/>
        <v>34</v>
      </c>
      <c r="C1605" s="129"/>
      <c r="D1605" s="129"/>
      <c r="E1605" s="133"/>
      <c r="F1605" s="133">
        <v>635</v>
      </c>
      <c r="G1605" s="194" t="s">
        <v>261</v>
      </c>
      <c r="H1605" s="540">
        <v>500</v>
      </c>
      <c r="I1605" s="540"/>
      <c r="J1605" s="540">
        <f t="shared" si="223"/>
        <v>500</v>
      </c>
      <c r="K1605" s="131"/>
      <c r="L1605" s="141"/>
      <c r="M1605" s="141"/>
      <c r="N1605" s="141"/>
      <c r="O1605" s="131"/>
      <c r="P1605" s="169">
        <f t="shared" si="224"/>
        <v>500</v>
      </c>
      <c r="Q1605" s="169">
        <f t="shared" si="225"/>
        <v>0</v>
      </c>
      <c r="R1605" s="169">
        <f t="shared" si="226"/>
        <v>500</v>
      </c>
    </row>
    <row r="1606" spans="2:18" x14ac:dyDescent="0.2">
      <c r="B1606" s="172">
        <f t="shared" si="227"/>
        <v>35</v>
      </c>
      <c r="C1606" s="129"/>
      <c r="D1606" s="129"/>
      <c r="E1606" s="133"/>
      <c r="F1606" s="133">
        <v>637</v>
      </c>
      <c r="G1606" s="194" t="s">
        <v>321</v>
      </c>
      <c r="H1606" s="540">
        <v>1853</v>
      </c>
      <c r="I1606" s="540"/>
      <c r="J1606" s="540">
        <f t="shared" si="223"/>
        <v>1853</v>
      </c>
      <c r="K1606" s="131"/>
      <c r="L1606" s="141"/>
      <c r="M1606" s="141"/>
      <c r="N1606" s="141"/>
      <c r="O1606" s="131"/>
      <c r="P1606" s="169">
        <f t="shared" si="224"/>
        <v>1853</v>
      </c>
      <c r="Q1606" s="169">
        <f t="shared" si="225"/>
        <v>0</v>
      </c>
      <c r="R1606" s="169">
        <f t="shared" si="226"/>
        <v>1853</v>
      </c>
    </row>
    <row r="1607" spans="2:18" ht="15.75" x14ac:dyDescent="0.25">
      <c r="B1607" s="172">
        <f t="shared" si="227"/>
        <v>36</v>
      </c>
      <c r="C1607" s="22">
        <v>5</v>
      </c>
      <c r="D1607" s="126" t="s">
        <v>145</v>
      </c>
      <c r="E1607" s="23"/>
      <c r="F1607" s="23"/>
      <c r="G1607" s="193"/>
      <c r="H1607" s="405">
        <f>H1608+H1626+H1640</f>
        <v>447905</v>
      </c>
      <c r="I1607" s="772">
        <f>I1608+I1625+I1639</f>
        <v>0</v>
      </c>
      <c r="J1607" s="772">
        <f t="shared" si="223"/>
        <v>447905</v>
      </c>
      <c r="K1607" s="784"/>
      <c r="L1607" s="451">
        <v>0</v>
      </c>
      <c r="M1607" s="451">
        <v>0</v>
      </c>
      <c r="N1607" s="451">
        <f>M1607+L1607</f>
        <v>0</v>
      </c>
      <c r="O1607" s="784"/>
      <c r="P1607" s="360">
        <f t="shared" si="224"/>
        <v>447905</v>
      </c>
      <c r="Q1607" s="360">
        <f t="shared" si="225"/>
        <v>0</v>
      </c>
      <c r="R1607" s="360">
        <f t="shared" si="226"/>
        <v>447905</v>
      </c>
    </row>
    <row r="1608" spans="2:18" x14ac:dyDescent="0.2">
      <c r="B1608" s="172">
        <f t="shared" si="227"/>
        <v>37</v>
      </c>
      <c r="C1608" s="75"/>
      <c r="D1608" s="178" t="s">
        <v>4</v>
      </c>
      <c r="E1608" s="526" t="s">
        <v>675</v>
      </c>
      <c r="F1608" s="233" t="s">
        <v>457</v>
      </c>
      <c r="G1608" s="234"/>
      <c r="H1608" s="374">
        <f>H1609+H1623+H1624+H1625+H1619+H1620+H1621</f>
        <v>8135</v>
      </c>
      <c r="I1608" s="374">
        <f>I1609+I1622+I1623+I1624+I1619+I1620</f>
        <v>0</v>
      </c>
      <c r="J1608" s="374">
        <f t="shared" si="223"/>
        <v>8135</v>
      </c>
      <c r="K1608" s="131"/>
      <c r="L1608" s="447"/>
      <c r="M1608" s="447"/>
      <c r="N1608" s="447"/>
      <c r="O1608" s="131"/>
      <c r="P1608" s="235">
        <f t="shared" si="224"/>
        <v>8135</v>
      </c>
      <c r="Q1608" s="235">
        <f t="shared" si="225"/>
        <v>0</v>
      </c>
      <c r="R1608" s="235">
        <f t="shared" si="226"/>
        <v>8135</v>
      </c>
    </row>
    <row r="1609" spans="2:18" x14ac:dyDescent="0.2">
      <c r="B1609" s="172">
        <f t="shared" si="227"/>
        <v>38</v>
      </c>
      <c r="C1609" s="129"/>
      <c r="D1609" s="129"/>
      <c r="E1609" s="133"/>
      <c r="F1609" s="150">
        <v>630</v>
      </c>
      <c r="G1609" s="202" t="s">
        <v>236</v>
      </c>
      <c r="H1609" s="509">
        <f>SUM(H1610:H1617)</f>
        <v>5035</v>
      </c>
      <c r="I1609" s="509">
        <f>SUM(I1610:I1617)</f>
        <v>0</v>
      </c>
      <c r="J1609" s="509">
        <f t="shared" si="223"/>
        <v>5035</v>
      </c>
      <c r="K1609" s="131"/>
      <c r="L1609" s="141"/>
      <c r="M1609" s="141"/>
      <c r="N1609" s="141"/>
      <c r="O1609" s="131"/>
      <c r="P1609" s="271">
        <f t="shared" si="224"/>
        <v>5035</v>
      </c>
      <c r="Q1609" s="271">
        <f t="shared" si="225"/>
        <v>0</v>
      </c>
      <c r="R1609" s="271">
        <f t="shared" si="226"/>
        <v>5035</v>
      </c>
    </row>
    <row r="1610" spans="2:18" x14ac:dyDescent="0.2">
      <c r="B1610" s="172">
        <f t="shared" si="227"/>
        <v>39</v>
      </c>
      <c r="C1610" s="129"/>
      <c r="D1610" s="129"/>
      <c r="E1610" s="163" t="s">
        <v>675</v>
      </c>
      <c r="F1610" s="538">
        <v>630</v>
      </c>
      <c r="G1610" s="194" t="s">
        <v>620</v>
      </c>
      <c r="H1610" s="540">
        <v>496</v>
      </c>
      <c r="I1610" s="540"/>
      <c r="J1610" s="540">
        <f t="shared" si="223"/>
        <v>496</v>
      </c>
      <c r="K1610" s="131"/>
      <c r="L1610" s="143"/>
      <c r="M1610" s="143"/>
      <c r="N1610" s="143"/>
      <c r="O1610" s="131"/>
      <c r="P1610" s="168">
        <f t="shared" si="224"/>
        <v>496</v>
      </c>
      <c r="Q1610" s="168">
        <f t="shared" si="225"/>
        <v>0</v>
      </c>
      <c r="R1610" s="168">
        <f t="shared" si="226"/>
        <v>496</v>
      </c>
    </row>
    <row r="1611" spans="2:18" x14ac:dyDescent="0.2">
      <c r="B1611" s="172">
        <f t="shared" si="227"/>
        <v>40</v>
      </c>
      <c r="C1611" s="129"/>
      <c r="D1611" s="129"/>
      <c r="E1611" s="163" t="s">
        <v>675</v>
      </c>
      <c r="F1611" s="538">
        <v>630</v>
      </c>
      <c r="G1611" s="620" t="s">
        <v>621</v>
      </c>
      <c r="H1611" s="540">
        <v>467</v>
      </c>
      <c r="I1611" s="540"/>
      <c r="J1611" s="540">
        <f t="shared" si="223"/>
        <v>467</v>
      </c>
      <c r="K1611" s="131"/>
      <c r="L1611" s="143"/>
      <c r="M1611" s="143"/>
      <c r="N1611" s="143"/>
      <c r="O1611" s="131"/>
      <c r="P1611" s="168">
        <f t="shared" si="224"/>
        <v>467</v>
      </c>
      <c r="Q1611" s="168">
        <f t="shared" si="225"/>
        <v>0</v>
      </c>
      <c r="R1611" s="168">
        <f t="shared" si="226"/>
        <v>467</v>
      </c>
    </row>
    <row r="1612" spans="2:18" x14ac:dyDescent="0.2">
      <c r="B1612" s="172">
        <f t="shared" si="227"/>
        <v>41</v>
      </c>
      <c r="C1612" s="129"/>
      <c r="D1612" s="129"/>
      <c r="E1612" s="163" t="s">
        <v>675</v>
      </c>
      <c r="F1612" s="538">
        <v>630</v>
      </c>
      <c r="G1612" s="620" t="s">
        <v>622</v>
      </c>
      <c r="H1612" s="540">
        <v>711</v>
      </c>
      <c r="I1612" s="540"/>
      <c r="J1612" s="540">
        <f t="shared" si="223"/>
        <v>711</v>
      </c>
      <c r="K1612" s="131"/>
      <c r="L1612" s="143"/>
      <c r="M1612" s="143"/>
      <c r="N1612" s="143"/>
      <c r="O1612" s="131"/>
      <c r="P1612" s="168">
        <f t="shared" si="224"/>
        <v>711</v>
      </c>
      <c r="Q1612" s="168">
        <f t="shared" si="225"/>
        <v>0</v>
      </c>
      <c r="R1612" s="168">
        <f t="shared" si="226"/>
        <v>711</v>
      </c>
    </row>
    <row r="1613" spans="2:18" ht="24" x14ac:dyDescent="0.2">
      <c r="B1613" s="172">
        <f t="shared" si="227"/>
        <v>42</v>
      </c>
      <c r="C1613" s="129"/>
      <c r="D1613" s="129"/>
      <c r="E1613" s="163" t="s">
        <v>675</v>
      </c>
      <c r="F1613" s="538">
        <v>630</v>
      </c>
      <c r="G1613" s="620" t="s">
        <v>623</v>
      </c>
      <c r="H1613" s="540">
        <v>632</v>
      </c>
      <c r="I1613" s="540"/>
      <c r="J1613" s="540">
        <f t="shared" si="223"/>
        <v>632</v>
      </c>
      <c r="K1613" s="131"/>
      <c r="L1613" s="143"/>
      <c r="M1613" s="143"/>
      <c r="N1613" s="143"/>
      <c r="O1613" s="131"/>
      <c r="P1613" s="168">
        <f t="shared" si="224"/>
        <v>632</v>
      </c>
      <c r="Q1613" s="168">
        <f t="shared" si="225"/>
        <v>0</v>
      </c>
      <c r="R1613" s="168">
        <f t="shared" si="226"/>
        <v>632</v>
      </c>
    </row>
    <row r="1614" spans="2:18" x14ac:dyDescent="0.2">
      <c r="B1614" s="172">
        <f t="shared" si="227"/>
        <v>43</v>
      </c>
      <c r="C1614" s="129"/>
      <c r="D1614" s="129"/>
      <c r="E1614" s="163" t="s">
        <v>675</v>
      </c>
      <c r="F1614" s="538">
        <v>630</v>
      </c>
      <c r="G1614" s="620" t="s">
        <v>624</v>
      </c>
      <c r="H1614" s="540">
        <v>524</v>
      </c>
      <c r="I1614" s="540"/>
      <c r="J1614" s="540">
        <f t="shared" si="223"/>
        <v>524</v>
      </c>
      <c r="K1614" s="131"/>
      <c r="L1614" s="143"/>
      <c r="M1614" s="143"/>
      <c r="N1614" s="143"/>
      <c r="O1614" s="131"/>
      <c r="P1614" s="168">
        <f t="shared" si="224"/>
        <v>524</v>
      </c>
      <c r="Q1614" s="168">
        <f t="shared" si="225"/>
        <v>0</v>
      </c>
      <c r="R1614" s="168">
        <f t="shared" si="226"/>
        <v>524</v>
      </c>
    </row>
    <row r="1615" spans="2:18" x14ac:dyDescent="0.2">
      <c r="B1615" s="172">
        <f t="shared" si="227"/>
        <v>44</v>
      </c>
      <c r="C1615" s="129"/>
      <c r="D1615" s="129"/>
      <c r="E1615" s="163" t="s">
        <v>675</v>
      </c>
      <c r="F1615" s="538">
        <v>630</v>
      </c>
      <c r="G1615" s="620" t="s">
        <v>625</v>
      </c>
      <c r="H1615" s="540">
        <v>1099</v>
      </c>
      <c r="I1615" s="540"/>
      <c r="J1615" s="540">
        <f t="shared" si="223"/>
        <v>1099</v>
      </c>
      <c r="K1615" s="131"/>
      <c r="L1615" s="143"/>
      <c r="M1615" s="143"/>
      <c r="N1615" s="143"/>
      <c r="O1615" s="131"/>
      <c r="P1615" s="168">
        <f t="shared" si="224"/>
        <v>1099</v>
      </c>
      <c r="Q1615" s="168">
        <f t="shared" si="225"/>
        <v>0</v>
      </c>
      <c r="R1615" s="168">
        <f t="shared" si="226"/>
        <v>1099</v>
      </c>
    </row>
    <row r="1616" spans="2:18" x14ac:dyDescent="0.2">
      <c r="B1616" s="172">
        <f t="shared" si="227"/>
        <v>45</v>
      </c>
      <c r="C1616" s="129"/>
      <c r="D1616" s="129"/>
      <c r="E1616" s="163" t="s">
        <v>675</v>
      </c>
      <c r="F1616" s="538">
        <v>630</v>
      </c>
      <c r="G1616" s="620" t="s">
        <v>626</v>
      </c>
      <c r="H1616" s="540">
        <v>675</v>
      </c>
      <c r="I1616" s="540"/>
      <c r="J1616" s="540">
        <f t="shared" si="223"/>
        <v>675</v>
      </c>
      <c r="K1616" s="131"/>
      <c r="L1616" s="143"/>
      <c r="M1616" s="143"/>
      <c r="N1616" s="143"/>
      <c r="O1616" s="131"/>
      <c r="P1616" s="168">
        <f t="shared" si="224"/>
        <v>675</v>
      </c>
      <c r="Q1616" s="168">
        <f t="shared" si="225"/>
        <v>0</v>
      </c>
      <c r="R1616" s="168">
        <f t="shared" si="226"/>
        <v>675</v>
      </c>
    </row>
    <row r="1617" spans="2:18" x14ac:dyDescent="0.2">
      <c r="B1617" s="172">
        <f t="shared" si="227"/>
        <v>46</v>
      </c>
      <c r="C1617" s="129"/>
      <c r="D1617" s="129"/>
      <c r="E1617" s="163" t="s">
        <v>675</v>
      </c>
      <c r="F1617" s="538">
        <v>630</v>
      </c>
      <c r="G1617" s="620" t="s">
        <v>627</v>
      </c>
      <c r="H1617" s="540">
        <v>431</v>
      </c>
      <c r="I1617" s="540"/>
      <c r="J1617" s="540">
        <f t="shared" si="223"/>
        <v>431</v>
      </c>
      <c r="K1617" s="131"/>
      <c r="L1617" s="143"/>
      <c r="M1617" s="143"/>
      <c r="N1617" s="143"/>
      <c r="O1617" s="131"/>
      <c r="P1617" s="168">
        <f t="shared" si="224"/>
        <v>431</v>
      </c>
      <c r="Q1617" s="168">
        <f t="shared" si="225"/>
        <v>0</v>
      </c>
      <c r="R1617" s="168">
        <f t="shared" si="226"/>
        <v>431</v>
      </c>
    </row>
    <row r="1618" spans="2:18" x14ac:dyDescent="0.2">
      <c r="B1618" s="172">
        <f t="shared" si="227"/>
        <v>47</v>
      </c>
      <c r="C1618" s="129"/>
      <c r="D1618" s="129"/>
      <c r="E1618" s="163"/>
      <c r="F1618" s="538"/>
      <c r="G1618" s="620"/>
      <c r="H1618" s="540"/>
      <c r="I1618" s="540"/>
      <c r="J1618" s="540"/>
      <c r="K1618" s="131"/>
      <c r="L1618" s="143"/>
      <c r="M1618" s="143"/>
      <c r="N1618" s="143"/>
      <c r="O1618" s="131"/>
      <c r="P1618" s="168"/>
      <c r="Q1618" s="168"/>
      <c r="R1618" s="168"/>
    </row>
    <row r="1619" spans="2:18" x14ac:dyDescent="0.2">
      <c r="B1619" s="172">
        <f t="shared" si="227"/>
        <v>48</v>
      </c>
      <c r="C1619" s="129"/>
      <c r="D1619" s="129"/>
      <c r="E1619" s="163" t="s">
        <v>672</v>
      </c>
      <c r="F1619" s="538">
        <v>640</v>
      </c>
      <c r="G1619" s="620" t="s">
        <v>735</v>
      </c>
      <c r="H1619" s="540">
        <f>600-230</f>
        <v>370</v>
      </c>
      <c r="I1619" s="540"/>
      <c r="J1619" s="540">
        <f>I1619+H1619</f>
        <v>370</v>
      </c>
      <c r="K1619" s="131"/>
      <c r="L1619" s="143"/>
      <c r="M1619" s="143"/>
      <c r="N1619" s="143"/>
      <c r="O1619" s="131"/>
      <c r="P1619" s="168">
        <f t="shared" ref="P1619:Q1621" si="228">H1619+L1619</f>
        <v>370</v>
      </c>
      <c r="Q1619" s="168">
        <f t="shared" si="228"/>
        <v>0</v>
      </c>
      <c r="R1619" s="168">
        <f>Q1619+P1619</f>
        <v>370</v>
      </c>
    </row>
    <row r="1620" spans="2:18" x14ac:dyDescent="0.2">
      <c r="B1620" s="172">
        <f t="shared" si="227"/>
        <v>49</v>
      </c>
      <c r="C1620" s="129"/>
      <c r="D1620" s="129"/>
      <c r="E1620" s="163" t="s">
        <v>672</v>
      </c>
      <c r="F1620" s="538">
        <v>640</v>
      </c>
      <c r="G1620" s="620" t="s">
        <v>736</v>
      </c>
      <c r="H1620" s="540">
        <v>1500</v>
      </c>
      <c r="I1620" s="540"/>
      <c r="J1620" s="540">
        <f>I1620+H1620</f>
        <v>1500</v>
      </c>
      <c r="K1620" s="131"/>
      <c r="L1620" s="143"/>
      <c r="M1620" s="143"/>
      <c r="N1620" s="143"/>
      <c r="O1620" s="131"/>
      <c r="P1620" s="168">
        <f t="shared" si="228"/>
        <v>1500</v>
      </c>
      <c r="Q1620" s="168">
        <f t="shared" si="228"/>
        <v>0</v>
      </c>
      <c r="R1620" s="168">
        <f>Q1620+P1620</f>
        <v>1500</v>
      </c>
    </row>
    <row r="1621" spans="2:18" x14ac:dyDescent="0.2">
      <c r="B1621" s="172">
        <f t="shared" si="227"/>
        <v>50</v>
      </c>
      <c r="C1621" s="129"/>
      <c r="D1621" s="129"/>
      <c r="E1621" s="163" t="s">
        <v>672</v>
      </c>
      <c r="F1621" s="538">
        <v>640</v>
      </c>
      <c r="G1621" s="620" t="s">
        <v>840</v>
      </c>
      <c r="H1621" s="540">
        <v>230</v>
      </c>
      <c r="I1621" s="540"/>
      <c r="J1621" s="540"/>
      <c r="K1621" s="131"/>
      <c r="L1621" s="143"/>
      <c r="M1621" s="143"/>
      <c r="N1621" s="143"/>
      <c r="O1621" s="131"/>
      <c r="P1621" s="168">
        <f t="shared" si="228"/>
        <v>230</v>
      </c>
      <c r="Q1621" s="168">
        <f t="shared" si="228"/>
        <v>0</v>
      </c>
      <c r="R1621" s="168">
        <f>Q1621+P1621</f>
        <v>230</v>
      </c>
    </row>
    <row r="1622" spans="2:18" x14ac:dyDescent="0.2">
      <c r="B1622" s="172">
        <f t="shared" si="227"/>
        <v>51</v>
      </c>
      <c r="C1622" s="129"/>
      <c r="D1622" s="129"/>
      <c r="E1622" s="163"/>
      <c r="F1622" s="538"/>
      <c r="G1622" s="620"/>
      <c r="H1622" s="540"/>
      <c r="I1622" s="540"/>
      <c r="J1622" s="540">
        <f t="shared" ref="J1622:J1624" si="229">I1622+H1622</f>
        <v>0</v>
      </c>
      <c r="K1622" s="131"/>
      <c r="L1622" s="143"/>
      <c r="M1622" s="143"/>
      <c r="N1622" s="143"/>
      <c r="O1622" s="131"/>
      <c r="P1622" s="168"/>
      <c r="Q1622" s="168"/>
      <c r="R1622" s="168"/>
    </row>
    <row r="1623" spans="2:18" x14ac:dyDescent="0.2">
      <c r="B1623" s="172">
        <f t="shared" si="227"/>
        <v>52</v>
      </c>
      <c r="C1623" s="129"/>
      <c r="D1623" s="129"/>
      <c r="E1623" s="163"/>
      <c r="F1623" s="538">
        <v>633</v>
      </c>
      <c r="G1623" s="194" t="s">
        <v>582</v>
      </c>
      <c r="H1623" s="540">
        <v>150</v>
      </c>
      <c r="I1623" s="540"/>
      <c r="J1623" s="540">
        <f t="shared" si="229"/>
        <v>150</v>
      </c>
      <c r="K1623" s="131"/>
      <c r="L1623" s="143"/>
      <c r="M1623" s="143"/>
      <c r="N1623" s="143"/>
      <c r="O1623" s="131"/>
      <c r="P1623" s="168">
        <f t="shared" ref="P1623:P1637" si="230">H1623+L1623</f>
        <v>150</v>
      </c>
      <c r="Q1623" s="168">
        <f t="shared" ref="Q1623:Q1637" si="231">I1623+M1623</f>
        <v>0</v>
      </c>
      <c r="R1623" s="168">
        <f t="shared" ref="R1623:R1637" si="232">Q1623+P1623</f>
        <v>150</v>
      </c>
    </row>
    <row r="1624" spans="2:18" x14ac:dyDescent="0.2">
      <c r="B1624" s="172">
        <f t="shared" si="227"/>
        <v>53</v>
      </c>
      <c r="C1624" s="129"/>
      <c r="D1624" s="129"/>
      <c r="E1624" s="163"/>
      <c r="F1624" s="538">
        <v>634</v>
      </c>
      <c r="G1624" s="194" t="s">
        <v>582</v>
      </c>
      <c r="H1624" s="540">
        <v>650</v>
      </c>
      <c r="I1624" s="540"/>
      <c r="J1624" s="540">
        <f t="shared" si="229"/>
        <v>650</v>
      </c>
      <c r="K1624" s="131"/>
      <c r="L1624" s="143"/>
      <c r="M1624" s="143"/>
      <c r="N1624" s="143"/>
      <c r="O1624" s="131"/>
      <c r="P1624" s="168">
        <f t="shared" si="230"/>
        <v>650</v>
      </c>
      <c r="Q1624" s="168">
        <f t="shared" si="231"/>
        <v>0</v>
      </c>
      <c r="R1624" s="168">
        <f t="shared" si="232"/>
        <v>650</v>
      </c>
    </row>
    <row r="1625" spans="2:18" x14ac:dyDescent="0.2">
      <c r="B1625" s="172">
        <f t="shared" si="227"/>
        <v>54</v>
      </c>
      <c r="C1625" s="129"/>
      <c r="D1625" s="129"/>
      <c r="E1625" s="163"/>
      <c r="F1625" s="538">
        <v>637</v>
      </c>
      <c r="G1625" s="194" t="s">
        <v>582</v>
      </c>
      <c r="H1625" s="540">
        <v>200</v>
      </c>
      <c r="I1625" s="540"/>
      <c r="J1625" s="540">
        <f t="shared" ref="J1625" si="233">I1625+H1625</f>
        <v>200</v>
      </c>
      <c r="K1625" s="131"/>
      <c r="L1625" s="143"/>
      <c r="M1625" s="143"/>
      <c r="N1625" s="143"/>
      <c r="O1625" s="131"/>
      <c r="P1625" s="168">
        <f t="shared" si="230"/>
        <v>200</v>
      </c>
      <c r="Q1625" s="168">
        <f t="shared" si="231"/>
        <v>0</v>
      </c>
      <c r="R1625" s="168">
        <f t="shared" si="232"/>
        <v>200</v>
      </c>
    </row>
    <row r="1626" spans="2:18" x14ac:dyDescent="0.2">
      <c r="B1626" s="172">
        <f t="shared" si="227"/>
        <v>55</v>
      </c>
      <c r="C1626" s="75"/>
      <c r="D1626" s="178" t="s">
        <v>5</v>
      </c>
      <c r="E1626" s="233"/>
      <c r="F1626" s="233" t="s">
        <v>188</v>
      </c>
      <c r="G1626" s="234"/>
      <c r="H1626" s="374">
        <f>H1627+H1639</f>
        <v>419840</v>
      </c>
      <c r="I1626" s="374">
        <f>I1627+I1639</f>
        <v>0</v>
      </c>
      <c r="J1626" s="374">
        <f t="shared" ref="J1626:J1637" si="234">I1626+H1626</f>
        <v>419840</v>
      </c>
      <c r="K1626" s="131"/>
      <c r="L1626" s="447"/>
      <c r="M1626" s="447"/>
      <c r="N1626" s="447"/>
      <c r="O1626" s="131"/>
      <c r="P1626" s="238">
        <f t="shared" si="230"/>
        <v>419840</v>
      </c>
      <c r="Q1626" s="238">
        <f t="shared" si="231"/>
        <v>0</v>
      </c>
      <c r="R1626" s="238">
        <f t="shared" si="232"/>
        <v>419840</v>
      </c>
    </row>
    <row r="1627" spans="2:18" x14ac:dyDescent="0.2">
      <c r="B1627" s="172">
        <f t="shared" si="227"/>
        <v>56</v>
      </c>
      <c r="C1627" s="129"/>
      <c r="D1627" s="129"/>
      <c r="E1627" s="346" t="s">
        <v>675</v>
      </c>
      <c r="F1627" s="346"/>
      <c r="G1627" s="347" t="s">
        <v>291</v>
      </c>
      <c r="H1627" s="395">
        <f>H1628+H1629+H1630+H1637</f>
        <v>413202</v>
      </c>
      <c r="I1627" s="395">
        <f>I1628+I1629+I1630+I1637</f>
        <v>0</v>
      </c>
      <c r="J1627" s="395">
        <f t="shared" si="234"/>
        <v>413202</v>
      </c>
      <c r="K1627" s="131"/>
      <c r="L1627" s="452"/>
      <c r="M1627" s="452"/>
      <c r="N1627" s="452"/>
      <c r="O1627" s="131"/>
      <c r="P1627" s="349">
        <f t="shared" si="230"/>
        <v>413202</v>
      </c>
      <c r="Q1627" s="349">
        <f t="shared" si="231"/>
        <v>0</v>
      </c>
      <c r="R1627" s="349">
        <f t="shared" si="232"/>
        <v>413202</v>
      </c>
    </row>
    <row r="1628" spans="2:18" x14ac:dyDescent="0.2">
      <c r="B1628" s="172">
        <f t="shared" si="227"/>
        <v>57</v>
      </c>
      <c r="C1628" s="129"/>
      <c r="D1628" s="129"/>
      <c r="E1628" s="150"/>
      <c r="F1628" s="150">
        <v>610</v>
      </c>
      <c r="G1628" s="202" t="s">
        <v>257</v>
      </c>
      <c r="H1628" s="375">
        <v>176108</v>
      </c>
      <c r="I1628" s="375"/>
      <c r="J1628" s="375">
        <f t="shared" si="234"/>
        <v>176108</v>
      </c>
      <c r="K1628" s="131"/>
      <c r="L1628" s="141"/>
      <c r="M1628" s="141"/>
      <c r="N1628" s="141"/>
      <c r="O1628" s="131"/>
      <c r="P1628" s="545">
        <f t="shared" si="230"/>
        <v>176108</v>
      </c>
      <c r="Q1628" s="545">
        <f t="shared" si="231"/>
        <v>0</v>
      </c>
      <c r="R1628" s="545">
        <f t="shared" si="232"/>
        <v>176108</v>
      </c>
    </row>
    <row r="1629" spans="2:18" x14ac:dyDescent="0.2">
      <c r="B1629" s="172">
        <f t="shared" si="227"/>
        <v>58</v>
      </c>
      <c r="C1629" s="129"/>
      <c r="D1629" s="129"/>
      <c r="E1629" s="133"/>
      <c r="F1629" s="150">
        <v>620</v>
      </c>
      <c r="G1629" s="202" t="s">
        <v>259</v>
      </c>
      <c r="H1629" s="375">
        <v>61638</v>
      </c>
      <c r="I1629" s="375"/>
      <c r="J1629" s="375">
        <f t="shared" si="234"/>
        <v>61638</v>
      </c>
      <c r="K1629" s="131"/>
      <c r="L1629" s="141"/>
      <c r="M1629" s="141"/>
      <c r="N1629" s="141"/>
      <c r="O1629" s="131"/>
      <c r="P1629" s="545">
        <f t="shared" si="230"/>
        <v>61638</v>
      </c>
      <c r="Q1629" s="545">
        <f t="shared" si="231"/>
        <v>0</v>
      </c>
      <c r="R1629" s="545">
        <f t="shared" si="232"/>
        <v>61638</v>
      </c>
    </row>
    <row r="1630" spans="2:18" x14ac:dyDescent="0.2">
      <c r="B1630" s="172">
        <f t="shared" si="227"/>
        <v>59</v>
      </c>
      <c r="C1630" s="129"/>
      <c r="D1630" s="129"/>
      <c r="E1630" s="133"/>
      <c r="F1630" s="150">
        <v>630</v>
      </c>
      <c r="G1630" s="202" t="s">
        <v>236</v>
      </c>
      <c r="H1630" s="375">
        <f>SUM(H1631:H1636)</f>
        <v>171206</v>
      </c>
      <c r="I1630" s="375">
        <f>SUM(I1631:I1636)</f>
        <v>0</v>
      </c>
      <c r="J1630" s="375">
        <f t="shared" si="234"/>
        <v>171206</v>
      </c>
      <c r="K1630" s="131"/>
      <c r="L1630" s="141"/>
      <c r="M1630" s="141"/>
      <c r="N1630" s="141"/>
      <c r="O1630" s="131"/>
      <c r="P1630" s="545">
        <f t="shared" si="230"/>
        <v>171206</v>
      </c>
      <c r="Q1630" s="545">
        <f t="shared" si="231"/>
        <v>0</v>
      </c>
      <c r="R1630" s="545">
        <f t="shared" si="232"/>
        <v>171206</v>
      </c>
    </row>
    <row r="1631" spans="2:18" x14ac:dyDescent="0.2">
      <c r="B1631" s="172">
        <f t="shared" si="227"/>
        <v>60</v>
      </c>
      <c r="C1631" s="129"/>
      <c r="D1631" s="129"/>
      <c r="E1631" s="133"/>
      <c r="F1631" s="133">
        <v>631</v>
      </c>
      <c r="G1631" s="194" t="s">
        <v>520</v>
      </c>
      <c r="H1631" s="540">
        <v>200</v>
      </c>
      <c r="I1631" s="540"/>
      <c r="J1631" s="540">
        <f t="shared" si="234"/>
        <v>200</v>
      </c>
      <c r="K1631" s="131"/>
      <c r="L1631" s="141"/>
      <c r="M1631" s="141"/>
      <c r="N1631" s="141"/>
      <c r="O1631" s="131"/>
      <c r="P1631" s="169">
        <f t="shared" si="230"/>
        <v>200</v>
      </c>
      <c r="Q1631" s="169">
        <f t="shared" si="231"/>
        <v>0</v>
      </c>
      <c r="R1631" s="169">
        <f t="shared" si="232"/>
        <v>200</v>
      </c>
    </row>
    <row r="1632" spans="2:18" x14ac:dyDescent="0.2">
      <c r="B1632" s="172">
        <f t="shared" si="227"/>
        <v>61</v>
      </c>
      <c r="C1632" s="129"/>
      <c r="D1632" s="129"/>
      <c r="E1632" s="133"/>
      <c r="F1632" s="133">
        <v>632</v>
      </c>
      <c r="G1632" s="194" t="s">
        <v>246</v>
      </c>
      <c r="H1632" s="540">
        <v>57655</v>
      </c>
      <c r="I1632" s="540"/>
      <c r="J1632" s="540">
        <f t="shared" si="234"/>
        <v>57655</v>
      </c>
      <c r="K1632" s="131"/>
      <c r="L1632" s="141"/>
      <c r="M1632" s="141"/>
      <c r="N1632" s="141"/>
      <c r="O1632" s="131"/>
      <c r="P1632" s="169">
        <f t="shared" si="230"/>
        <v>57655</v>
      </c>
      <c r="Q1632" s="169">
        <f t="shared" si="231"/>
        <v>0</v>
      </c>
      <c r="R1632" s="169">
        <f t="shared" si="232"/>
        <v>57655</v>
      </c>
    </row>
    <row r="1633" spans="2:18" x14ac:dyDescent="0.2">
      <c r="B1633" s="172">
        <f t="shared" si="227"/>
        <v>62</v>
      </c>
      <c r="C1633" s="129"/>
      <c r="D1633" s="129"/>
      <c r="E1633" s="133"/>
      <c r="F1633" s="133">
        <v>633</v>
      </c>
      <c r="G1633" s="194" t="s">
        <v>247</v>
      </c>
      <c r="H1633" s="540">
        <v>19350</v>
      </c>
      <c r="I1633" s="540"/>
      <c r="J1633" s="540">
        <f t="shared" si="234"/>
        <v>19350</v>
      </c>
      <c r="K1633" s="131"/>
      <c r="L1633" s="141"/>
      <c r="M1633" s="141"/>
      <c r="N1633" s="141"/>
      <c r="O1633" s="131"/>
      <c r="P1633" s="169">
        <f t="shared" si="230"/>
        <v>19350</v>
      </c>
      <c r="Q1633" s="169">
        <f t="shared" si="231"/>
        <v>0</v>
      </c>
      <c r="R1633" s="169">
        <f t="shared" si="232"/>
        <v>19350</v>
      </c>
    </row>
    <row r="1634" spans="2:18" x14ac:dyDescent="0.2">
      <c r="B1634" s="172">
        <f t="shared" si="227"/>
        <v>63</v>
      </c>
      <c r="C1634" s="129"/>
      <c r="D1634" s="129"/>
      <c r="E1634" s="133"/>
      <c r="F1634" s="133">
        <v>634</v>
      </c>
      <c r="G1634" s="194" t="s">
        <v>260</v>
      </c>
      <c r="H1634" s="540">
        <v>2450</v>
      </c>
      <c r="I1634" s="540"/>
      <c r="J1634" s="540">
        <f t="shared" si="234"/>
        <v>2450</v>
      </c>
      <c r="K1634" s="131"/>
      <c r="L1634" s="141"/>
      <c r="M1634" s="141"/>
      <c r="N1634" s="141"/>
      <c r="O1634" s="131"/>
      <c r="P1634" s="169">
        <f t="shared" si="230"/>
        <v>2450</v>
      </c>
      <c r="Q1634" s="169">
        <f t="shared" si="231"/>
        <v>0</v>
      </c>
      <c r="R1634" s="169">
        <f t="shared" si="232"/>
        <v>2450</v>
      </c>
    </row>
    <row r="1635" spans="2:18" x14ac:dyDescent="0.2">
      <c r="B1635" s="172">
        <f t="shared" si="227"/>
        <v>64</v>
      </c>
      <c r="C1635" s="129"/>
      <c r="D1635" s="129"/>
      <c r="E1635" s="133"/>
      <c r="F1635" s="133">
        <v>635</v>
      </c>
      <c r="G1635" s="194" t="s">
        <v>261</v>
      </c>
      <c r="H1635" s="369">
        <v>22000</v>
      </c>
      <c r="I1635" s="369"/>
      <c r="J1635" s="369">
        <f t="shared" si="234"/>
        <v>22000</v>
      </c>
      <c r="K1635" s="131"/>
      <c r="L1635" s="160"/>
      <c r="M1635" s="160"/>
      <c r="N1635" s="160"/>
      <c r="O1635" s="131"/>
      <c r="P1635" s="216">
        <f t="shared" si="230"/>
        <v>22000</v>
      </c>
      <c r="Q1635" s="216">
        <f t="shared" si="231"/>
        <v>0</v>
      </c>
      <c r="R1635" s="216">
        <f t="shared" si="232"/>
        <v>22000</v>
      </c>
    </row>
    <row r="1636" spans="2:18" x14ac:dyDescent="0.2">
      <c r="B1636" s="172">
        <f t="shared" si="227"/>
        <v>65</v>
      </c>
      <c r="C1636" s="129"/>
      <c r="D1636" s="129"/>
      <c r="E1636" s="133"/>
      <c r="F1636" s="133">
        <v>637</v>
      </c>
      <c r="G1636" s="194" t="s">
        <v>248</v>
      </c>
      <c r="H1636" s="540">
        <v>69551</v>
      </c>
      <c r="I1636" s="540"/>
      <c r="J1636" s="540">
        <f t="shared" si="234"/>
        <v>69551</v>
      </c>
      <c r="K1636" s="131"/>
      <c r="L1636" s="141"/>
      <c r="M1636" s="141"/>
      <c r="N1636" s="141"/>
      <c r="O1636" s="131"/>
      <c r="P1636" s="169">
        <f t="shared" si="230"/>
        <v>69551</v>
      </c>
      <c r="Q1636" s="169">
        <f t="shared" si="231"/>
        <v>0</v>
      </c>
      <c r="R1636" s="169">
        <f t="shared" si="232"/>
        <v>69551</v>
      </c>
    </row>
    <row r="1637" spans="2:18" x14ac:dyDescent="0.2">
      <c r="B1637" s="172">
        <f t="shared" si="227"/>
        <v>66</v>
      </c>
      <c r="C1637" s="129"/>
      <c r="D1637" s="129"/>
      <c r="E1637" s="133"/>
      <c r="F1637" s="213">
        <v>640</v>
      </c>
      <c r="G1637" s="202" t="s">
        <v>521</v>
      </c>
      <c r="H1637" s="375">
        <v>4250</v>
      </c>
      <c r="I1637" s="375"/>
      <c r="J1637" s="375">
        <f t="shared" si="234"/>
        <v>4250</v>
      </c>
      <c r="K1637" s="131"/>
      <c r="L1637" s="141"/>
      <c r="M1637" s="141"/>
      <c r="N1637" s="141"/>
      <c r="O1637" s="131"/>
      <c r="P1637" s="169">
        <f t="shared" si="230"/>
        <v>4250</v>
      </c>
      <c r="Q1637" s="169">
        <f t="shared" si="231"/>
        <v>0</v>
      </c>
      <c r="R1637" s="169">
        <f t="shared" si="232"/>
        <v>4250</v>
      </c>
    </row>
    <row r="1638" spans="2:18" x14ac:dyDescent="0.2">
      <c r="B1638" s="172">
        <f t="shared" ref="B1638:B1701" si="235">B1637+1</f>
        <v>67</v>
      </c>
      <c r="C1638" s="129"/>
      <c r="D1638" s="129"/>
      <c r="E1638" s="163"/>
      <c r="F1638" s="673"/>
      <c r="G1638" s="202"/>
      <c r="H1638" s="375"/>
      <c r="I1638" s="375"/>
      <c r="J1638" s="375"/>
      <c r="K1638" s="131"/>
      <c r="L1638" s="143"/>
      <c r="M1638" s="143"/>
      <c r="N1638" s="143"/>
      <c r="O1638" s="131"/>
      <c r="P1638" s="169"/>
      <c r="Q1638" s="169"/>
      <c r="R1638" s="169"/>
    </row>
    <row r="1639" spans="2:18" x14ac:dyDescent="0.2">
      <c r="B1639" s="172">
        <f t="shared" si="235"/>
        <v>68</v>
      </c>
      <c r="C1639" s="129"/>
      <c r="D1639" s="129"/>
      <c r="E1639" s="163" t="s">
        <v>675</v>
      </c>
      <c r="F1639" s="674">
        <v>637</v>
      </c>
      <c r="G1639" s="194" t="s">
        <v>797</v>
      </c>
      <c r="H1639" s="540">
        <v>6638</v>
      </c>
      <c r="I1639" s="540"/>
      <c r="J1639" s="540">
        <f t="shared" ref="J1639:J1645" si="236">I1639+H1639</f>
        <v>6638</v>
      </c>
      <c r="K1639" s="131"/>
      <c r="L1639" s="143"/>
      <c r="M1639" s="143"/>
      <c r="N1639" s="143"/>
      <c r="O1639" s="131"/>
      <c r="P1639" s="169">
        <f t="shared" ref="P1639:P1645" si="237">H1639+L1639</f>
        <v>6638</v>
      </c>
      <c r="Q1639" s="169">
        <f t="shared" ref="Q1639:Q1645" si="238">I1639+M1639</f>
        <v>0</v>
      </c>
      <c r="R1639" s="169">
        <f t="shared" ref="R1639:R1645" si="239">Q1639+P1639</f>
        <v>6638</v>
      </c>
    </row>
    <row r="1640" spans="2:18" x14ac:dyDescent="0.2">
      <c r="B1640" s="172">
        <f t="shared" si="235"/>
        <v>69</v>
      </c>
      <c r="C1640" s="75"/>
      <c r="D1640" s="178" t="s">
        <v>6</v>
      </c>
      <c r="E1640" s="233"/>
      <c r="F1640" s="233" t="s">
        <v>567</v>
      </c>
      <c r="G1640" s="234"/>
      <c r="H1640" s="374">
        <f>H1641+H1647+H1648+H1649+H1650</f>
        <v>19930</v>
      </c>
      <c r="I1640" s="374">
        <f>I1641+I1647+I1648+I1649+I1650</f>
        <v>1150</v>
      </c>
      <c r="J1640" s="374">
        <f t="shared" si="236"/>
        <v>21080</v>
      </c>
      <c r="K1640" s="131"/>
      <c r="L1640" s="447"/>
      <c r="M1640" s="447"/>
      <c r="N1640" s="447"/>
      <c r="O1640" s="131"/>
      <c r="P1640" s="238">
        <f t="shared" si="237"/>
        <v>19930</v>
      </c>
      <c r="Q1640" s="238">
        <f t="shared" si="238"/>
        <v>1150</v>
      </c>
      <c r="R1640" s="238">
        <f t="shared" si="239"/>
        <v>21080</v>
      </c>
    </row>
    <row r="1641" spans="2:18" x14ac:dyDescent="0.2">
      <c r="B1641" s="172">
        <f t="shared" si="235"/>
        <v>70</v>
      </c>
      <c r="C1641" s="129"/>
      <c r="D1641" s="129"/>
      <c r="E1641" s="155" t="s">
        <v>675</v>
      </c>
      <c r="F1641" s="155"/>
      <c r="G1641" s="202" t="s">
        <v>445</v>
      </c>
      <c r="H1641" s="375">
        <f>SUM(H1642:H1645)</f>
        <v>18300</v>
      </c>
      <c r="I1641" s="375">
        <f>SUM(I1642:I1645)</f>
        <v>1150</v>
      </c>
      <c r="J1641" s="375">
        <f t="shared" si="236"/>
        <v>19450</v>
      </c>
      <c r="K1641" s="131"/>
      <c r="L1641" s="141"/>
      <c r="M1641" s="141"/>
      <c r="N1641" s="141"/>
      <c r="O1641" s="131"/>
      <c r="P1641" s="545">
        <f t="shared" si="237"/>
        <v>18300</v>
      </c>
      <c r="Q1641" s="545">
        <f t="shared" si="238"/>
        <v>1150</v>
      </c>
      <c r="R1641" s="545">
        <f t="shared" si="239"/>
        <v>19450</v>
      </c>
    </row>
    <row r="1642" spans="2:18" x14ac:dyDescent="0.2">
      <c r="B1642" s="172">
        <f t="shared" si="235"/>
        <v>71</v>
      </c>
      <c r="C1642" s="129"/>
      <c r="D1642" s="129"/>
      <c r="E1642" s="133"/>
      <c r="F1642" s="133">
        <v>632</v>
      </c>
      <c r="G1642" s="194" t="s">
        <v>246</v>
      </c>
      <c r="H1642" s="540">
        <v>17800</v>
      </c>
      <c r="I1642" s="540"/>
      <c r="J1642" s="540">
        <f t="shared" si="236"/>
        <v>17800</v>
      </c>
      <c r="K1642" s="131"/>
      <c r="L1642" s="141"/>
      <c r="M1642" s="141"/>
      <c r="N1642" s="141"/>
      <c r="O1642" s="131"/>
      <c r="P1642" s="169">
        <f t="shared" si="237"/>
        <v>17800</v>
      </c>
      <c r="Q1642" s="169">
        <f t="shared" si="238"/>
        <v>0</v>
      </c>
      <c r="R1642" s="169">
        <f t="shared" si="239"/>
        <v>17800</v>
      </c>
    </row>
    <row r="1643" spans="2:18" x14ac:dyDescent="0.2">
      <c r="B1643" s="172">
        <f t="shared" si="235"/>
        <v>72</v>
      </c>
      <c r="C1643" s="129"/>
      <c r="D1643" s="129"/>
      <c r="E1643" s="133"/>
      <c r="F1643" s="133">
        <v>633</v>
      </c>
      <c r="G1643" s="194" t="s">
        <v>247</v>
      </c>
      <c r="H1643" s="540">
        <v>100</v>
      </c>
      <c r="I1643" s="540">
        <v>150</v>
      </c>
      <c r="J1643" s="540">
        <f t="shared" si="236"/>
        <v>250</v>
      </c>
      <c r="K1643" s="131"/>
      <c r="L1643" s="141"/>
      <c r="M1643" s="141"/>
      <c r="N1643" s="141"/>
      <c r="O1643" s="131"/>
      <c r="P1643" s="169">
        <f t="shared" si="237"/>
        <v>100</v>
      </c>
      <c r="Q1643" s="169">
        <f t="shared" si="238"/>
        <v>150</v>
      </c>
      <c r="R1643" s="169">
        <f t="shared" si="239"/>
        <v>250</v>
      </c>
    </row>
    <row r="1644" spans="2:18" x14ac:dyDescent="0.2">
      <c r="B1644" s="172">
        <f t="shared" si="235"/>
        <v>73</v>
      </c>
      <c r="C1644" s="129"/>
      <c r="D1644" s="129"/>
      <c r="E1644" s="133"/>
      <c r="F1644" s="133">
        <v>635</v>
      </c>
      <c r="G1644" s="194" t="s">
        <v>261</v>
      </c>
      <c r="H1644" s="540">
        <v>300</v>
      </c>
      <c r="I1644" s="540">
        <v>1000</v>
      </c>
      <c r="J1644" s="540">
        <f t="shared" si="236"/>
        <v>1300</v>
      </c>
      <c r="K1644" s="131"/>
      <c r="L1644" s="141"/>
      <c r="M1644" s="141"/>
      <c r="N1644" s="141"/>
      <c r="O1644" s="131"/>
      <c r="P1644" s="169">
        <f t="shared" si="237"/>
        <v>300</v>
      </c>
      <c r="Q1644" s="169">
        <f t="shared" si="238"/>
        <v>1000</v>
      </c>
      <c r="R1644" s="169">
        <f t="shared" si="239"/>
        <v>1300</v>
      </c>
    </row>
    <row r="1645" spans="2:18" x14ac:dyDescent="0.2">
      <c r="B1645" s="172">
        <f t="shared" si="235"/>
        <v>74</v>
      </c>
      <c r="C1645" s="129"/>
      <c r="D1645" s="129"/>
      <c r="E1645" s="133"/>
      <c r="F1645" s="133">
        <v>637</v>
      </c>
      <c r="G1645" s="194" t="s">
        <v>248</v>
      </c>
      <c r="H1645" s="540">
        <v>100</v>
      </c>
      <c r="I1645" s="540"/>
      <c r="J1645" s="540">
        <f t="shared" si="236"/>
        <v>100</v>
      </c>
      <c r="K1645" s="131"/>
      <c r="L1645" s="141"/>
      <c r="M1645" s="141"/>
      <c r="N1645" s="141"/>
      <c r="O1645" s="131"/>
      <c r="P1645" s="169">
        <f t="shared" si="237"/>
        <v>100</v>
      </c>
      <c r="Q1645" s="169">
        <f t="shared" si="238"/>
        <v>0</v>
      </c>
      <c r="R1645" s="169">
        <f t="shared" si="239"/>
        <v>100</v>
      </c>
    </row>
    <row r="1646" spans="2:18" x14ac:dyDescent="0.2">
      <c r="B1646" s="172">
        <f t="shared" si="235"/>
        <v>75</v>
      </c>
      <c r="C1646" s="129"/>
      <c r="D1646" s="129"/>
      <c r="E1646" s="133"/>
      <c r="F1646" s="133"/>
      <c r="G1646" s="194"/>
      <c r="H1646" s="540"/>
      <c r="I1646" s="540"/>
      <c r="J1646" s="540"/>
      <c r="K1646" s="131"/>
      <c r="L1646" s="141"/>
      <c r="M1646" s="141"/>
      <c r="N1646" s="141"/>
      <c r="O1646" s="131"/>
      <c r="P1646" s="169"/>
      <c r="Q1646" s="169"/>
      <c r="R1646" s="169"/>
    </row>
    <row r="1647" spans="2:18" x14ac:dyDescent="0.2">
      <c r="B1647" s="172">
        <f t="shared" si="235"/>
        <v>76</v>
      </c>
      <c r="C1647" s="129"/>
      <c r="D1647" s="129"/>
      <c r="E1647" s="133"/>
      <c r="F1647" s="133">
        <v>633</v>
      </c>
      <c r="G1647" s="194" t="s">
        <v>247</v>
      </c>
      <c r="H1647" s="540">
        <v>1200</v>
      </c>
      <c r="I1647" s="540"/>
      <c r="J1647" s="540">
        <f t="shared" ref="J1647:J1662" si="240">I1647+H1647</f>
        <v>1200</v>
      </c>
      <c r="K1647" s="131"/>
      <c r="L1647" s="141"/>
      <c r="M1647" s="141"/>
      <c r="N1647" s="141"/>
      <c r="O1647" s="131"/>
      <c r="P1647" s="169">
        <f t="shared" ref="P1647:P1662" si="241">H1647+L1647</f>
        <v>1200</v>
      </c>
      <c r="Q1647" s="169">
        <f t="shared" ref="Q1647:Q1662" si="242">I1647+M1647</f>
        <v>0</v>
      </c>
      <c r="R1647" s="169">
        <f t="shared" ref="R1647:R1662" si="243">Q1647+P1647</f>
        <v>1200</v>
      </c>
    </row>
    <row r="1648" spans="2:18" x14ac:dyDescent="0.2">
      <c r="B1648" s="172">
        <f t="shared" si="235"/>
        <v>77</v>
      </c>
      <c r="C1648" s="129"/>
      <c r="D1648" s="538"/>
      <c r="E1648" s="161"/>
      <c r="F1648" s="538">
        <v>635</v>
      </c>
      <c r="G1648" s="194" t="s">
        <v>261</v>
      </c>
      <c r="H1648" s="369">
        <v>200</v>
      </c>
      <c r="I1648" s="369"/>
      <c r="J1648" s="369">
        <f t="shared" si="240"/>
        <v>200</v>
      </c>
      <c r="K1648" s="131"/>
      <c r="L1648" s="160"/>
      <c r="M1648" s="160"/>
      <c r="N1648" s="160"/>
      <c r="O1648" s="131"/>
      <c r="P1648" s="216">
        <f t="shared" si="241"/>
        <v>200</v>
      </c>
      <c r="Q1648" s="216">
        <f t="shared" si="242"/>
        <v>0</v>
      </c>
      <c r="R1648" s="216">
        <f t="shared" si="243"/>
        <v>200</v>
      </c>
    </row>
    <row r="1649" spans="2:18" x14ac:dyDescent="0.2">
      <c r="B1649" s="172">
        <f t="shared" si="235"/>
        <v>78</v>
      </c>
      <c r="C1649" s="129"/>
      <c r="D1649" s="133"/>
      <c r="E1649" s="161"/>
      <c r="F1649" s="133">
        <v>637</v>
      </c>
      <c r="G1649" s="194" t="s">
        <v>248</v>
      </c>
      <c r="H1649" s="369">
        <v>150</v>
      </c>
      <c r="I1649" s="369"/>
      <c r="J1649" s="369">
        <f t="shared" si="240"/>
        <v>150</v>
      </c>
      <c r="K1649" s="131"/>
      <c r="L1649" s="160"/>
      <c r="M1649" s="160"/>
      <c r="N1649" s="160"/>
      <c r="O1649" s="131"/>
      <c r="P1649" s="216">
        <f t="shared" si="241"/>
        <v>150</v>
      </c>
      <c r="Q1649" s="216">
        <f t="shared" si="242"/>
        <v>0</v>
      </c>
      <c r="R1649" s="216">
        <f t="shared" si="243"/>
        <v>150</v>
      </c>
    </row>
    <row r="1650" spans="2:18" x14ac:dyDescent="0.2">
      <c r="B1650" s="172">
        <f t="shared" si="235"/>
        <v>79</v>
      </c>
      <c r="C1650" s="129"/>
      <c r="D1650" s="161"/>
      <c r="E1650" s="538"/>
      <c r="F1650" s="538">
        <v>637</v>
      </c>
      <c r="G1650" s="194" t="s">
        <v>304</v>
      </c>
      <c r="H1650" s="369">
        <v>80</v>
      </c>
      <c r="I1650" s="369"/>
      <c r="J1650" s="369">
        <f t="shared" si="240"/>
        <v>80</v>
      </c>
      <c r="K1650" s="131"/>
      <c r="L1650" s="160"/>
      <c r="M1650" s="160"/>
      <c r="N1650" s="160"/>
      <c r="O1650" s="131"/>
      <c r="P1650" s="216">
        <f t="shared" si="241"/>
        <v>80</v>
      </c>
      <c r="Q1650" s="216">
        <f t="shared" si="242"/>
        <v>0</v>
      </c>
      <c r="R1650" s="216">
        <f t="shared" si="243"/>
        <v>80</v>
      </c>
    </row>
    <row r="1651" spans="2:18" ht="15.75" x14ac:dyDescent="0.25">
      <c r="B1651" s="172">
        <f t="shared" si="235"/>
        <v>80</v>
      </c>
      <c r="C1651" s="22">
        <v>6</v>
      </c>
      <c r="D1651" s="126" t="s">
        <v>69</v>
      </c>
      <c r="E1651" s="23"/>
      <c r="F1651" s="23"/>
      <c r="G1651" s="193"/>
      <c r="H1651" s="405">
        <f>H1652+H1665+H1664+H1667+H1668</f>
        <v>895108</v>
      </c>
      <c r="I1651" s="772">
        <f>I1652+I1665+I1664+I1667</f>
        <v>8861</v>
      </c>
      <c r="J1651" s="772">
        <f t="shared" si="240"/>
        <v>903969</v>
      </c>
      <c r="K1651" s="784"/>
      <c r="L1651" s="451">
        <f>L1652</f>
        <v>0</v>
      </c>
      <c r="M1651" s="451">
        <f>M1652</f>
        <v>0</v>
      </c>
      <c r="N1651" s="451">
        <f>M1651+L1651</f>
        <v>0</v>
      </c>
      <c r="O1651" s="784"/>
      <c r="P1651" s="360">
        <f t="shared" si="241"/>
        <v>895108</v>
      </c>
      <c r="Q1651" s="360">
        <f t="shared" si="242"/>
        <v>8861</v>
      </c>
      <c r="R1651" s="360">
        <f t="shared" si="243"/>
        <v>903969</v>
      </c>
    </row>
    <row r="1652" spans="2:18" x14ac:dyDescent="0.2">
      <c r="B1652" s="172">
        <f t="shared" si="235"/>
        <v>81</v>
      </c>
      <c r="C1652" s="134"/>
      <c r="D1652" s="134"/>
      <c r="E1652" s="346" t="s">
        <v>676</v>
      </c>
      <c r="F1652" s="346"/>
      <c r="G1652" s="347" t="s">
        <v>452</v>
      </c>
      <c r="H1652" s="395">
        <f>H1653+H1654+H1655+H1662</f>
        <v>877260</v>
      </c>
      <c r="I1652" s="395">
        <f>I1653+I1654+I1655+I1662</f>
        <v>8861</v>
      </c>
      <c r="J1652" s="395">
        <f t="shared" si="240"/>
        <v>886121</v>
      </c>
      <c r="K1652" s="131"/>
      <c r="L1652" s="452"/>
      <c r="M1652" s="452"/>
      <c r="N1652" s="452"/>
      <c r="O1652" s="131"/>
      <c r="P1652" s="349">
        <f t="shared" si="241"/>
        <v>877260</v>
      </c>
      <c r="Q1652" s="349">
        <f t="shared" si="242"/>
        <v>8861</v>
      </c>
      <c r="R1652" s="349">
        <f t="shared" si="243"/>
        <v>886121</v>
      </c>
    </row>
    <row r="1653" spans="2:18" x14ac:dyDescent="0.2">
      <c r="B1653" s="172">
        <f t="shared" si="235"/>
        <v>82</v>
      </c>
      <c r="C1653" s="129"/>
      <c r="D1653" s="129"/>
      <c r="E1653" s="150"/>
      <c r="F1653" s="150">
        <v>610</v>
      </c>
      <c r="G1653" s="202" t="s">
        <v>257</v>
      </c>
      <c r="H1653" s="375">
        <v>386740</v>
      </c>
      <c r="I1653" s="375"/>
      <c r="J1653" s="375">
        <f t="shared" si="240"/>
        <v>386740</v>
      </c>
      <c r="K1653" s="131"/>
      <c r="L1653" s="141"/>
      <c r="M1653" s="141"/>
      <c r="N1653" s="141"/>
      <c r="O1653" s="131"/>
      <c r="P1653" s="545">
        <f t="shared" si="241"/>
        <v>386740</v>
      </c>
      <c r="Q1653" s="545">
        <f t="shared" si="242"/>
        <v>0</v>
      </c>
      <c r="R1653" s="545">
        <f t="shared" si="243"/>
        <v>386740</v>
      </c>
    </row>
    <row r="1654" spans="2:18" x14ac:dyDescent="0.2">
      <c r="B1654" s="172">
        <f t="shared" si="235"/>
        <v>83</v>
      </c>
      <c r="C1654" s="129"/>
      <c r="D1654" s="129"/>
      <c r="E1654" s="133"/>
      <c r="F1654" s="150">
        <v>620</v>
      </c>
      <c r="G1654" s="202" t="s">
        <v>259</v>
      </c>
      <c r="H1654" s="375">
        <v>135359</v>
      </c>
      <c r="I1654" s="375"/>
      <c r="J1654" s="375">
        <f t="shared" si="240"/>
        <v>135359</v>
      </c>
      <c r="K1654" s="131"/>
      <c r="L1654" s="141"/>
      <c r="M1654" s="141"/>
      <c r="N1654" s="141"/>
      <c r="O1654" s="131"/>
      <c r="P1654" s="545">
        <f t="shared" si="241"/>
        <v>135359</v>
      </c>
      <c r="Q1654" s="545">
        <f t="shared" si="242"/>
        <v>0</v>
      </c>
      <c r="R1654" s="545">
        <f t="shared" si="243"/>
        <v>135359</v>
      </c>
    </row>
    <row r="1655" spans="2:18" x14ac:dyDescent="0.2">
      <c r="B1655" s="172">
        <f t="shared" si="235"/>
        <v>84</v>
      </c>
      <c r="C1655" s="129"/>
      <c r="D1655" s="129"/>
      <c r="E1655" s="133"/>
      <c r="F1655" s="150">
        <v>630</v>
      </c>
      <c r="G1655" s="202" t="s">
        <v>448</v>
      </c>
      <c r="H1655" s="375">
        <f>SUM(H1656:H1661)</f>
        <v>351580</v>
      </c>
      <c r="I1655" s="375">
        <f>SUM(I1656:I1661)</f>
        <v>8861</v>
      </c>
      <c r="J1655" s="375">
        <f t="shared" si="240"/>
        <v>360441</v>
      </c>
      <c r="K1655" s="131"/>
      <c r="L1655" s="141"/>
      <c r="M1655" s="141"/>
      <c r="N1655" s="141"/>
      <c r="O1655" s="131"/>
      <c r="P1655" s="545">
        <f t="shared" si="241"/>
        <v>351580</v>
      </c>
      <c r="Q1655" s="545">
        <f t="shared" si="242"/>
        <v>8861</v>
      </c>
      <c r="R1655" s="545">
        <f t="shared" si="243"/>
        <v>360441</v>
      </c>
    </row>
    <row r="1656" spans="2:18" x14ac:dyDescent="0.2">
      <c r="B1656" s="172">
        <f t="shared" si="235"/>
        <v>85</v>
      </c>
      <c r="C1656" s="129"/>
      <c r="D1656" s="129"/>
      <c r="E1656" s="133"/>
      <c r="F1656" s="133">
        <v>631</v>
      </c>
      <c r="G1656" s="194" t="s">
        <v>520</v>
      </c>
      <c r="H1656" s="540">
        <v>200</v>
      </c>
      <c r="I1656" s="540"/>
      <c r="J1656" s="540">
        <f t="shared" si="240"/>
        <v>200</v>
      </c>
      <c r="K1656" s="131"/>
      <c r="L1656" s="141"/>
      <c r="M1656" s="141"/>
      <c r="N1656" s="141"/>
      <c r="O1656" s="131"/>
      <c r="P1656" s="169">
        <f t="shared" si="241"/>
        <v>200</v>
      </c>
      <c r="Q1656" s="169">
        <f t="shared" si="242"/>
        <v>0</v>
      </c>
      <c r="R1656" s="169">
        <f t="shared" si="243"/>
        <v>200</v>
      </c>
    </row>
    <row r="1657" spans="2:18" x14ac:dyDescent="0.2">
      <c r="B1657" s="172">
        <f t="shared" si="235"/>
        <v>86</v>
      </c>
      <c r="C1657" s="129"/>
      <c r="D1657" s="129"/>
      <c r="E1657" s="133"/>
      <c r="F1657" s="133">
        <v>632</v>
      </c>
      <c r="G1657" s="194" t="s">
        <v>319</v>
      </c>
      <c r="H1657" s="540">
        <v>87995</v>
      </c>
      <c r="I1657" s="540"/>
      <c r="J1657" s="540">
        <f t="shared" si="240"/>
        <v>87995</v>
      </c>
      <c r="K1657" s="131"/>
      <c r="L1657" s="141"/>
      <c r="M1657" s="141"/>
      <c r="N1657" s="141"/>
      <c r="O1657" s="131"/>
      <c r="P1657" s="169">
        <f t="shared" si="241"/>
        <v>87995</v>
      </c>
      <c r="Q1657" s="169">
        <f t="shared" si="242"/>
        <v>0</v>
      </c>
      <c r="R1657" s="169">
        <f t="shared" si="243"/>
        <v>87995</v>
      </c>
    </row>
    <row r="1658" spans="2:18" x14ac:dyDescent="0.2">
      <c r="B1658" s="172">
        <f t="shared" si="235"/>
        <v>87</v>
      </c>
      <c r="C1658" s="129"/>
      <c r="D1658" s="129"/>
      <c r="E1658" s="133"/>
      <c r="F1658" s="133">
        <v>633</v>
      </c>
      <c r="G1658" s="194" t="s">
        <v>247</v>
      </c>
      <c r="H1658" s="540">
        <v>16600</v>
      </c>
      <c r="I1658" s="540">
        <v>3300</v>
      </c>
      <c r="J1658" s="540">
        <f t="shared" si="240"/>
        <v>19900</v>
      </c>
      <c r="K1658" s="131"/>
      <c r="L1658" s="141"/>
      <c r="M1658" s="141"/>
      <c r="N1658" s="141"/>
      <c r="O1658" s="131"/>
      <c r="P1658" s="169">
        <f t="shared" si="241"/>
        <v>16600</v>
      </c>
      <c r="Q1658" s="169">
        <f t="shared" si="242"/>
        <v>3300</v>
      </c>
      <c r="R1658" s="169">
        <f t="shared" si="243"/>
        <v>19900</v>
      </c>
    </row>
    <row r="1659" spans="2:18" x14ac:dyDescent="0.2">
      <c r="B1659" s="172">
        <f t="shared" si="235"/>
        <v>88</v>
      </c>
      <c r="C1659" s="129"/>
      <c r="D1659" s="129"/>
      <c r="E1659" s="133"/>
      <c r="F1659" s="133">
        <v>634</v>
      </c>
      <c r="G1659" s="194" t="s">
        <v>260</v>
      </c>
      <c r="H1659" s="540">
        <v>1330</v>
      </c>
      <c r="I1659" s="540"/>
      <c r="J1659" s="540">
        <f t="shared" si="240"/>
        <v>1330</v>
      </c>
      <c r="K1659" s="131"/>
      <c r="L1659" s="141"/>
      <c r="M1659" s="141"/>
      <c r="N1659" s="141"/>
      <c r="O1659" s="131"/>
      <c r="P1659" s="169">
        <f t="shared" si="241"/>
        <v>1330</v>
      </c>
      <c r="Q1659" s="169">
        <f t="shared" si="242"/>
        <v>0</v>
      </c>
      <c r="R1659" s="169">
        <f t="shared" si="243"/>
        <v>1330</v>
      </c>
    </row>
    <row r="1660" spans="2:18" x14ac:dyDescent="0.2">
      <c r="B1660" s="172">
        <f t="shared" si="235"/>
        <v>89</v>
      </c>
      <c r="C1660" s="129"/>
      <c r="D1660" s="129"/>
      <c r="E1660" s="133"/>
      <c r="F1660" s="133">
        <v>635</v>
      </c>
      <c r="G1660" s="194" t="s">
        <v>261</v>
      </c>
      <c r="H1660" s="540">
        <v>11100</v>
      </c>
      <c r="I1660" s="540">
        <v>5561</v>
      </c>
      <c r="J1660" s="540">
        <f t="shared" si="240"/>
        <v>16661</v>
      </c>
      <c r="K1660" s="131"/>
      <c r="L1660" s="141"/>
      <c r="M1660" s="141"/>
      <c r="N1660" s="141"/>
      <c r="O1660" s="131"/>
      <c r="P1660" s="169">
        <f t="shared" si="241"/>
        <v>11100</v>
      </c>
      <c r="Q1660" s="169">
        <f t="shared" si="242"/>
        <v>5561</v>
      </c>
      <c r="R1660" s="169">
        <f t="shared" si="243"/>
        <v>16661</v>
      </c>
    </row>
    <row r="1661" spans="2:18" x14ac:dyDescent="0.2">
      <c r="B1661" s="172">
        <f t="shared" si="235"/>
        <v>90</v>
      </c>
      <c r="C1661" s="129"/>
      <c r="D1661" s="129"/>
      <c r="E1661" s="133"/>
      <c r="F1661" s="133">
        <v>637</v>
      </c>
      <c r="G1661" s="194" t="s">
        <v>248</v>
      </c>
      <c r="H1661" s="540">
        <v>234355</v>
      </c>
      <c r="I1661" s="540"/>
      <c r="J1661" s="540">
        <f t="shared" si="240"/>
        <v>234355</v>
      </c>
      <c r="K1661" s="131"/>
      <c r="L1661" s="141"/>
      <c r="M1661" s="141"/>
      <c r="N1661" s="141"/>
      <c r="O1661" s="131"/>
      <c r="P1661" s="169">
        <f t="shared" si="241"/>
        <v>234355</v>
      </c>
      <c r="Q1661" s="169">
        <f t="shared" si="242"/>
        <v>0</v>
      </c>
      <c r="R1661" s="169">
        <f t="shared" si="243"/>
        <v>234355</v>
      </c>
    </row>
    <row r="1662" spans="2:18" x14ac:dyDescent="0.2">
      <c r="B1662" s="172">
        <f t="shared" si="235"/>
        <v>91</v>
      </c>
      <c r="C1662" s="129"/>
      <c r="D1662" s="129"/>
      <c r="E1662" s="133"/>
      <c r="F1662" s="150">
        <v>640</v>
      </c>
      <c r="G1662" s="202" t="s">
        <v>521</v>
      </c>
      <c r="H1662" s="375">
        <v>3581</v>
      </c>
      <c r="I1662" s="375"/>
      <c r="J1662" s="375">
        <f t="shared" si="240"/>
        <v>3581</v>
      </c>
      <c r="K1662" s="131"/>
      <c r="L1662" s="141"/>
      <c r="M1662" s="141"/>
      <c r="N1662" s="141"/>
      <c r="O1662" s="131"/>
      <c r="P1662" s="545">
        <f t="shared" si="241"/>
        <v>3581</v>
      </c>
      <c r="Q1662" s="545">
        <f t="shared" si="242"/>
        <v>0</v>
      </c>
      <c r="R1662" s="545">
        <f t="shared" si="243"/>
        <v>3581</v>
      </c>
    </row>
    <row r="1663" spans="2:18" x14ac:dyDescent="0.2">
      <c r="B1663" s="172">
        <f t="shared" si="235"/>
        <v>92</v>
      </c>
      <c r="C1663" s="129"/>
      <c r="D1663" s="129"/>
      <c r="E1663" s="133"/>
      <c r="F1663" s="150"/>
      <c r="G1663" s="202"/>
      <c r="H1663" s="540"/>
      <c r="I1663" s="540"/>
      <c r="J1663" s="540"/>
      <c r="K1663" s="131"/>
      <c r="L1663" s="141"/>
      <c r="M1663" s="141"/>
      <c r="N1663" s="141"/>
      <c r="O1663" s="131"/>
      <c r="P1663" s="169"/>
      <c r="Q1663" s="169"/>
      <c r="R1663" s="169"/>
    </row>
    <row r="1664" spans="2:18" x14ac:dyDescent="0.2">
      <c r="B1664" s="172">
        <f t="shared" si="235"/>
        <v>93</v>
      </c>
      <c r="C1664" s="129"/>
      <c r="D1664" s="129"/>
      <c r="E1664" s="158" t="s">
        <v>676</v>
      </c>
      <c r="F1664" s="158">
        <v>620</v>
      </c>
      <c r="G1664" s="194" t="s">
        <v>583</v>
      </c>
      <c r="H1664" s="540">
        <v>1000</v>
      </c>
      <c r="I1664" s="540"/>
      <c r="J1664" s="540">
        <f>I1664+H1664</f>
        <v>1000</v>
      </c>
      <c r="K1664" s="131"/>
      <c r="L1664" s="141"/>
      <c r="M1664" s="141"/>
      <c r="N1664" s="141"/>
      <c r="O1664" s="131"/>
      <c r="P1664" s="169">
        <f>H1664+L1664</f>
        <v>1000</v>
      </c>
      <c r="Q1664" s="169">
        <f>I1664+M1664</f>
        <v>0</v>
      </c>
      <c r="R1664" s="169">
        <f>Q1664+P1664</f>
        <v>1000</v>
      </c>
    </row>
    <row r="1665" spans="2:18" x14ac:dyDescent="0.2">
      <c r="B1665" s="172">
        <f t="shared" si="235"/>
        <v>94</v>
      </c>
      <c r="C1665" s="129"/>
      <c r="D1665" s="129"/>
      <c r="E1665" s="158" t="s">
        <v>676</v>
      </c>
      <c r="F1665" s="133">
        <v>637</v>
      </c>
      <c r="G1665" s="194" t="s">
        <v>285</v>
      </c>
      <c r="H1665" s="540">
        <v>3100</v>
      </c>
      <c r="I1665" s="540"/>
      <c r="J1665" s="540">
        <f>I1665+H1665</f>
        <v>3100</v>
      </c>
      <c r="K1665" s="131"/>
      <c r="L1665" s="141"/>
      <c r="M1665" s="141"/>
      <c r="N1665" s="141"/>
      <c r="O1665" s="131"/>
      <c r="P1665" s="169">
        <f>H1665+L1665</f>
        <v>3100</v>
      </c>
      <c r="Q1665" s="169">
        <f>I1665+M1665</f>
        <v>0</v>
      </c>
      <c r="R1665" s="169">
        <f>Q1665+P1665</f>
        <v>3100</v>
      </c>
    </row>
    <row r="1666" spans="2:18" x14ac:dyDescent="0.2">
      <c r="B1666" s="172">
        <f t="shared" si="235"/>
        <v>95</v>
      </c>
      <c r="C1666" s="129"/>
      <c r="D1666" s="129"/>
      <c r="E1666" s="133"/>
      <c r="F1666" s="150"/>
      <c r="G1666" s="202"/>
      <c r="H1666" s="540"/>
      <c r="I1666" s="540"/>
      <c r="J1666" s="540"/>
      <c r="K1666" s="131"/>
      <c r="L1666" s="141"/>
      <c r="M1666" s="141"/>
      <c r="N1666" s="141"/>
      <c r="O1666" s="131"/>
      <c r="P1666" s="169"/>
      <c r="Q1666" s="169"/>
      <c r="R1666" s="169"/>
    </row>
    <row r="1667" spans="2:18" x14ac:dyDescent="0.2">
      <c r="B1667" s="172">
        <f t="shared" si="235"/>
        <v>96</v>
      </c>
      <c r="C1667" s="129"/>
      <c r="D1667" s="161"/>
      <c r="E1667" s="133" t="s">
        <v>676</v>
      </c>
      <c r="F1667" s="158">
        <v>637</v>
      </c>
      <c r="G1667" s="194" t="s">
        <v>797</v>
      </c>
      <c r="H1667" s="369">
        <v>13248</v>
      </c>
      <c r="I1667" s="369"/>
      <c r="J1667" s="369">
        <f>I1667+H1667</f>
        <v>13248</v>
      </c>
      <c r="K1667" s="131"/>
      <c r="L1667" s="160"/>
      <c r="M1667" s="160"/>
      <c r="N1667" s="160"/>
      <c r="O1667" s="131"/>
      <c r="P1667" s="169">
        <f>H1667+L1667</f>
        <v>13248</v>
      </c>
      <c r="Q1667" s="169">
        <f>I1667+M1667</f>
        <v>0</v>
      </c>
      <c r="R1667" s="169">
        <f>Q1667+P1667</f>
        <v>13248</v>
      </c>
    </row>
    <row r="1668" spans="2:18" x14ac:dyDescent="0.2">
      <c r="B1668" s="172">
        <f t="shared" si="235"/>
        <v>97</v>
      </c>
      <c r="C1668" s="129"/>
      <c r="D1668" s="161"/>
      <c r="E1668" s="133" t="s">
        <v>675</v>
      </c>
      <c r="F1668" s="158">
        <v>640</v>
      </c>
      <c r="G1668" s="194" t="s">
        <v>841</v>
      </c>
      <c r="H1668" s="369">
        <v>500</v>
      </c>
      <c r="I1668" s="369"/>
      <c r="J1668" s="369">
        <f t="shared" ref="J1668" si="244">I1668+H1668</f>
        <v>500</v>
      </c>
      <c r="K1668" s="131"/>
      <c r="L1668" s="160"/>
      <c r="M1668" s="160"/>
      <c r="N1668" s="160"/>
      <c r="O1668" s="131"/>
      <c r="P1668" s="169">
        <f>H1668+L1668</f>
        <v>500</v>
      </c>
      <c r="Q1668" s="169">
        <f t="shared" ref="Q1668" si="245">I1668+M1668</f>
        <v>0</v>
      </c>
      <c r="R1668" s="169">
        <f t="shared" ref="R1668" si="246">Q1668+P1668</f>
        <v>500</v>
      </c>
    </row>
    <row r="1669" spans="2:18" x14ac:dyDescent="0.2">
      <c r="B1669" s="172">
        <f t="shared" si="235"/>
        <v>98</v>
      </c>
      <c r="C1669" s="129"/>
      <c r="D1669" s="161"/>
      <c r="E1669" s="133"/>
      <c r="F1669" s="150"/>
      <c r="G1669" s="202"/>
      <c r="H1669" s="369"/>
      <c r="I1669" s="369"/>
      <c r="J1669" s="369"/>
      <c r="K1669" s="131"/>
      <c r="L1669" s="160"/>
      <c r="M1669" s="160"/>
      <c r="N1669" s="160"/>
      <c r="O1669" s="131"/>
      <c r="P1669" s="216"/>
      <c r="Q1669" s="169"/>
      <c r="R1669" s="169"/>
    </row>
    <row r="1670" spans="2:18" ht="15.75" x14ac:dyDescent="0.25">
      <c r="B1670" s="172">
        <f t="shared" si="235"/>
        <v>99</v>
      </c>
      <c r="C1670" s="22">
        <v>7</v>
      </c>
      <c r="D1670" s="126" t="s">
        <v>146</v>
      </c>
      <c r="E1670" s="23"/>
      <c r="F1670" s="23"/>
      <c r="G1670" s="193"/>
      <c r="H1670" s="405">
        <f>H1671</f>
        <v>321797</v>
      </c>
      <c r="I1670" s="772">
        <f>I1671</f>
        <v>0</v>
      </c>
      <c r="J1670" s="772">
        <f t="shared" ref="J1670:J1679" si="247">I1670+H1670</f>
        <v>321797</v>
      </c>
      <c r="K1670" s="784"/>
      <c r="L1670" s="451">
        <v>0</v>
      </c>
      <c r="M1670" s="451">
        <v>0</v>
      </c>
      <c r="N1670" s="451">
        <f>M1670+L1670</f>
        <v>0</v>
      </c>
      <c r="O1670" s="784"/>
      <c r="P1670" s="360">
        <f t="shared" ref="P1670:P1679" si="248">H1670+L1670</f>
        <v>321797</v>
      </c>
      <c r="Q1670" s="360">
        <f t="shared" ref="Q1670:Q1679" si="249">I1670+M1670</f>
        <v>0</v>
      </c>
      <c r="R1670" s="360">
        <f t="shared" ref="R1670:R1679" si="250">Q1670+P1670</f>
        <v>321797</v>
      </c>
    </row>
    <row r="1671" spans="2:18" x14ac:dyDescent="0.2">
      <c r="B1671" s="172">
        <f t="shared" si="235"/>
        <v>100</v>
      </c>
      <c r="C1671" s="134"/>
      <c r="D1671" s="134"/>
      <c r="E1671" s="346" t="s">
        <v>676</v>
      </c>
      <c r="F1671" s="346"/>
      <c r="G1671" s="347" t="s">
        <v>453</v>
      </c>
      <c r="H1671" s="395">
        <f>H1672+H1673+H1674+H1679</f>
        <v>321797</v>
      </c>
      <c r="I1671" s="395">
        <f>I1672+I1673+I1674+I1679</f>
        <v>0</v>
      </c>
      <c r="J1671" s="395">
        <f t="shared" si="247"/>
        <v>321797</v>
      </c>
      <c r="K1671" s="131"/>
      <c r="L1671" s="452"/>
      <c r="M1671" s="452"/>
      <c r="N1671" s="452"/>
      <c r="O1671" s="131"/>
      <c r="P1671" s="349">
        <f t="shared" si="248"/>
        <v>321797</v>
      </c>
      <c r="Q1671" s="349">
        <f t="shared" si="249"/>
        <v>0</v>
      </c>
      <c r="R1671" s="349">
        <f t="shared" si="250"/>
        <v>321797</v>
      </c>
    </row>
    <row r="1672" spans="2:18" x14ac:dyDescent="0.2">
      <c r="B1672" s="172">
        <f t="shared" si="235"/>
        <v>101</v>
      </c>
      <c r="C1672" s="129"/>
      <c r="D1672" s="129"/>
      <c r="E1672" s="150"/>
      <c r="F1672" s="150">
        <v>610</v>
      </c>
      <c r="G1672" s="202" t="s">
        <v>257</v>
      </c>
      <c r="H1672" s="375">
        <v>213079</v>
      </c>
      <c r="I1672" s="375"/>
      <c r="J1672" s="375">
        <f t="shared" si="247"/>
        <v>213079</v>
      </c>
      <c r="K1672" s="131"/>
      <c r="L1672" s="141"/>
      <c r="M1672" s="141"/>
      <c r="N1672" s="141"/>
      <c r="O1672" s="131"/>
      <c r="P1672" s="545">
        <f t="shared" si="248"/>
        <v>213079</v>
      </c>
      <c r="Q1672" s="545">
        <f t="shared" si="249"/>
        <v>0</v>
      </c>
      <c r="R1672" s="545">
        <f t="shared" si="250"/>
        <v>213079</v>
      </c>
    </row>
    <row r="1673" spans="2:18" x14ac:dyDescent="0.2">
      <c r="B1673" s="172">
        <f t="shared" si="235"/>
        <v>102</v>
      </c>
      <c r="C1673" s="129"/>
      <c r="D1673" s="129"/>
      <c r="E1673" s="133"/>
      <c r="F1673" s="150">
        <v>620</v>
      </c>
      <c r="G1673" s="202" t="s">
        <v>259</v>
      </c>
      <c r="H1673" s="375">
        <v>74578</v>
      </c>
      <c r="I1673" s="375"/>
      <c r="J1673" s="375">
        <f t="shared" si="247"/>
        <v>74578</v>
      </c>
      <c r="K1673" s="131"/>
      <c r="L1673" s="141"/>
      <c r="M1673" s="141"/>
      <c r="N1673" s="141"/>
      <c r="O1673" s="131"/>
      <c r="P1673" s="545">
        <f t="shared" si="248"/>
        <v>74578</v>
      </c>
      <c r="Q1673" s="545">
        <f t="shared" si="249"/>
        <v>0</v>
      </c>
      <c r="R1673" s="545">
        <f t="shared" si="250"/>
        <v>74578</v>
      </c>
    </row>
    <row r="1674" spans="2:18" x14ac:dyDescent="0.2">
      <c r="B1674" s="172">
        <f t="shared" si="235"/>
        <v>103</v>
      </c>
      <c r="C1674" s="129"/>
      <c r="D1674" s="129"/>
      <c r="E1674" s="133"/>
      <c r="F1674" s="150">
        <v>630</v>
      </c>
      <c r="G1674" s="202" t="s">
        <v>236</v>
      </c>
      <c r="H1674" s="375">
        <f>SUM(H1675:H1678)</f>
        <v>32243</v>
      </c>
      <c r="I1674" s="375">
        <f>SUM(I1675:I1678)</f>
        <v>0</v>
      </c>
      <c r="J1674" s="375">
        <f t="shared" si="247"/>
        <v>32243</v>
      </c>
      <c r="K1674" s="131"/>
      <c r="L1674" s="141"/>
      <c r="M1674" s="141"/>
      <c r="N1674" s="141"/>
      <c r="O1674" s="131"/>
      <c r="P1674" s="545">
        <f t="shared" si="248"/>
        <v>32243</v>
      </c>
      <c r="Q1674" s="545">
        <f t="shared" si="249"/>
        <v>0</v>
      </c>
      <c r="R1674" s="545">
        <f t="shared" si="250"/>
        <v>32243</v>
      </c>
    </row>
    <row r="1675" spans="2:18" x14ac:dyDescent="0.2">
      <c r="B1675" s="172">
        <f t="shared" si="235"/>
        <v>104</v>
      </c>
      <c r="C1675" s="129"/>
      <c r="D1675" s="129"/>
      <c r="E1675" s="133"/>
      <c r="F1675" s="133">
        <v>632</v>
      </c>
      <c r="G1675" s="194" t="s">
        <v>298</v>
      </c>
      <c r="H1675" s="540">
        <v>650</v>
      </c>
      <c r="I1675" s="540"/>
      <c r="J1675" s="540">
        <f t="shared" si="247"/>
        <v>650</v>
      </c>
      <c r="K1675" s="131"/>
      <c r="L1675" s="141"/>
      <c r="M1675" s="141"/>
      <c r="N1675" s="141"/>
      <c r="O1675" s="131"/>
      <c r="P1675" s="169">
        <f t="shared" si="248"/>
        <v>650</v>
      </c>
      <c r="Q1675" s="169">
        <f t="shared" si="249"/>
        <v>0</v>
      </c>
      <c r="R1675" s="169">
        <f t="shared" si="250"/>
        <v>650</v>
      </c>
    </row>
    <row r="1676" spans="2:18" x14ac:dyDescent="0.2">
      <c r="B1676" s="172">
        <f t="shared" si="235"/>
        <v>105</v>
      </c>
      <c r="C1676" s="129"/>
      <c r="D1676" s="129"/>
      <c r="E1676" s="133"/>
      <c r="F1676" s="133">
        <v>633</v>
      </c>
      <c r="G1676" s="194" t="s">
        <v>247</v>
      </c>
      <c r="H1676" s="540">
        <v>2000</v>
      </c>
      <c r="I1676" s="540"/>
      <c r="J1676" s="540">
        <f t="shared" si="247"/>
        <v>2000</v>
      </c>
      <c r="K1676" s="131"/>
      <c r="L1676" s="141"/>
      <c r="M1676" s="141"/>
      <c r="N1676" s="141"/>
      <c r="O1676" s="131"/>
      <c r="P1676" s="169">
        <f t="shared" si="248"/>
        <v>2000</v>
      </c>
      <c r="Q1676" s="169">
        <f t="shared" si="249"/>
        <v>0</v>
      </c>
      <c r="R1676" s="169">
        <f t="shared" si="250"/>
        <v>2000</v>
      </c>
    </row>
    <row r="1677" spans="2:18" x14ac:dyDescent="0.2">
      <c r="B1677" s="172">
        <f t="shared" si="235"/>
        <v>106</v>
      </c>
      <c r="C1677" s="129"/>
      <c r="D1677" s="129"/>
      <c r="E1677" s="133"/>
      <c r="F1677" s="133">
        <v>634</v>
      </c>
      <c r="G1677" s="194" t="s">
        <v>260</v>
      </c>
      <c r="H1677" s="540">
        <v>4900</v>
      </c>
      <c r="I1677" s="540"/>
      <c r="J1677" s="540">
        <f t="shared" si="247"/>
        <v>4900</v>
      </c>
      <c r="K1677" s="131"/>
      <c r="L1677" s="141"/>
      <c r="M1677" s="141"/>
      <c r="N1677" s="141"/>
      <c r="O1677" s="131"/>
      <c r="P1677" s="169">
        <f t="shared" si="248"/>
        <v>4900</v>
      </c>
      <c r="Q1677" s="169">
        <f t="shared" si="249"/>
        <v>0</v>
      </c>
      <c r="R1677" s="169">
        <f t="shared" si="250"/>
        <v>4900</v>
      </c>
    </row>
    <row r="1678" spans="2:18" x14ac:dyDescent="0.2">
      <c r="B1678" s="172">
        <f t="shared" si="235"/>
        <v>107</v>
      </c>
      <c r="C1678" s="129"/>
      <c r="D1678" s="129"/>
      <c r="E1678" s="133"/>
      <c r="F1678" s="133">
        <v>637</v>
      </c>
      <c r="G1678" s="194" t="s">
        <v>248</v>
      </c>
      <c r="H1678" s="540">
        <v>24693</v>
      </c>
      <c r="I1678" s="540"/>
      <c r="J1678" s="540">
        <f t="shared" si="247"/>
        <v>24693</v>
      </c>
      <c r="K1678" s="131"/>
      <c r="L1678" s="141"/>
      <c r="M1678" s="141"/>
      <c r="N1678" s="141"/>
      <c r="O1678" s="131"/>
      <c r="P1678" s="169">
        <f t="shared" si="248"/>
        <v>24693</v>
      </c>
      <c r="Q1678" s="169">
        <f t="shared" si="249"/>
        <v>0</v>
      </c>
      <c r="R1678" s="169">
        <f t="shared" si="250"/>
        <v>24693</v>
      </c>
    </row>
    <row r="1679" spans="2:18" x14ac:dyDescent="0.2">
      <c r="B1679" s="172">
        <f t="shared" si="235"/>
        <v>108</v>
      </c>
      <c r="C1679" s="129"/>
      <c r="D1679" s="129"/>
      <c r="E1679" s="133"/>
      <c r="F1679" s="150">
        <v>640</v>
      </c>
      <c r="G1679" s="202" t="s">
        <v>299</v>
      </c>
      <c r="H1679" s="375">
        <v>1897</v>
      </c>
      <c r="I1679" s="375"/>
      <c r="J1679" s="375">
        <f t="shared" si="247"/>
        <v>1897</v>
      </c>
      <c r="K1679" s="131"/>
      <c r="L1679" s="141"/>
      <c r="M1679" s="141"/>
      <c r="N1679" s="141"/>
      <c r="O1679" s="131"/>
      <c r="P1679" s="545">
        <f t="shared" si="248"/>
        <v>1897</v>
      </c>
      <c r="Q1679" s="545">
        <f t="shared" si="249"/>
        <v>0</v>
      </c>
      <c r="R1679" s="545">
        <f t="shared" si="250"/>
        <v>1897</v>
      </c>
    </row>
    <row r="1680" spans="2:18" x14ac:dyDescent="0.2">
      <c r="B1680" s="172">
        <f t="shared" si="235"/>
        <v>109</v>
      </c>
      <c r="C1680" s="129"/>
      <c r="D1680" s="161"/>
      <c r="E1680" s="133"/>
      <c r="F1680" s="150"/>
      <c r="G1680" s="202"/>
      <c r="H1680" s="433"/>
      <c r="I1680" s="433"/>
      <c r="J1680" s="433"/>
      <c r="K1680" s="131"/>
      <c r="L1680" s="160"/>
      <c r="M1680" s="160"/>
      <c r="N1680" s="160"/>
      <c r="O1680" s="131"/>
      <c r="P1680" s="216"/>
      <c r="Q1680" s="216"/>
      <c r="R1680" s="216"/>
    </row>
    <row r="1681" spans="2:18" ht="15.75" x14ac:dyDescent="0.25">
      <c r="B1681" s="172">
        <f t="shared" si="235"/>
        <v>110</v>
      </c>
      <c r="C1681" s="22">
        <v>8</v>
      </c>
      <c r="D1681" s="126" t="s">
        <v>101</v>
      </c>
      <c r="E1681" s="23"/>
      <c r="F1681" s="23"/>
      <c r="G1681" s="193"/>
      <c r="H1681" s="405">
        <f>H1682</f>
        <v>2000</v>
      </c>
      <c r="I1681" s="772">
        <f>I1682</f>
        <v>0</v>
      </c>
      <c r="J1681" s="772">
        <f t="shared" ref="J1681:J1708" si="251">I1681+H1681</f>
        <v>2000</v>
      </c>
      <c r="K1681" s="784"/>
      <c r="L1681" s="451">
        <v>0</v>
      </c>
      <c r="M1681" s="451">
        <v>0</v>
      </c>
      <c r="N1681" s="451">
        <f>M1681+L1681</f>
        <v>0</v>
      </c>
      <c r="O1681" s="784"/>
      <c r="P1681" s="360">
        <f t="shared" ref="P1681:P1708" si="252">H1681+L1681</f>
        <v>2000</v>
      </c>
      <c r="Q1681" s="360">
        <f t="shared" ref="Q1681:Q1708" si="253">I1681+M1681</f>
        <v>0</v>
      </c>
      <c r="R1681" s="360">
        <f t="shared" ref="R1681:R1708" si="254">Q1681+P1681</f>
        <v>2000</v>
      </c>
    </row>
    <row r="1682" spans="2:18" x14ac:dyDescent="0.2">
      <c r="B1682" s="172">
        <f t="shared" si="235"/>
        <v>111</v>
      </c>
      <c r="C1682" s="134"/>
      <c r="D1682" s="134"/>
      <c r="E1682" s="538" t="s">
        <v>277</v>
      </c>
      <c r="F1682" s="538">
        <v>637</v>
      </c>
      <c r="G1682" s="205" t="s">
        <v>286</v>
      </c>
      <c r="H1682" s="540">
        <v>2000</v>
      </c>
      <c r="I1682" s="540"/>
      <c r="J1682" s="540">
        <f t="shared" si="251"/>
        <v>2000</v>
      </c>
      <c r="K1682" s="131"/>
      <c r="L1682" s="141"/>
      <c r="M1682" s="141"/>
      <c r="N1682" s="141"/>
      <c r="O1682" s="131"/>
      <c r="P1682" s="169">
        <f t="shared" si="252"/>
        <v>2000</v>
      </c>
      <c r="Q1682" s="169">
        <f t="shared" si="253"/>
        <v>0</v>
      </c>
      <c r="R1682" s="169">
        <f t="shared" si="254"/>
        <v>2000</v>
      </c>
    </row>
    <row r="1683" spans="2:18" ht="15.75" x14ac:dyDescent="0.25">
      <c r="B1683" s="172">
        <f t="shared" si="235"/>
        <v>112</v>
      </c>
      <c r="C1683" s="22">
        <v>9</v>
      </c>
      <c r="D1683" s="126" t="s">
        <v>147</v>
      </c>
      <c r="E1683" s="23"/>
      <c r="F1683" s="23"/>
      <c r="G1683" s="193"/>
      <c r="H1683" s="405">
        <f>SUM(H1684:H1688)</f>
        <v>21571</v>
      </c>
      <c r="I1683" s="772">
        <f>SUM(I1684:I1688)</f>
        <v>-5100</v>
      </c>
      <c r="J1683" s="772">
        <f t="shared" si="251"/>
        <v>16471</v>
      </c>
      <c r="K1683" s="784"/>
      <c r="L1683" s="451">
        <v>0</v>
      </c>
      <c r="M1683" s="451">
        <v>0</v>
      </c>
      <c r="N1683" s="451">
        <f>M1683+L1683</f>
        <v>0</v>
      </c>
      <c r="O1683" s="784"/>
      <c r="P1683" s="360">
        <f t="shared" si="252"/>
        <v>21571</v>
      </c>
      <c r="Q1683" s="360">
        <f t="shared" si="253"/>
        <v>-5100</v>
      </c>
      <c r="R1683" s="360">
        <f t="shared" si="254"/>
        <v>16471</v>
      </c>
    </row>
    <row r="1684" spans="2:18" x14ac:dyDescent="0.2">
      <c r="B1684" s="172">
        <f t="shared" si="235"/>
        <v>113</v>
      </c>
      <c r="C1684" s="134"/>
      <c r="D1684" s="134"/>
      <c r="E1684" s="538" t="s">
        <v>677</v>
      </c>
      <c r="F1684" s="538">
        <v>640</v>
      </c>
      <c r="G1684" s="205" t="s">
        <v>287</v>
      </c>
      <c r="H1684" s="540">
        <v>500</v>
      </c>
      <c r="I1684" s="540"/>
      <c r="J1684" s="540">
        <f t="shared" si="251"/>
        <v>500</v>
      </c>
      <c r="K1684" s="131"/>
      <c r="L1684" s="141"/>
      <c r="M1684" s="141"/>
      <c r="N1684" s="141"/>
      <c r="O1684" s="131"/>
      <c r="P1684" s="169">
        <f t="shared" si="252"/>
        <v>500</v>
      </c>
      <c r="Q1684" s="169">
        <f t="shared" si="253"/>
        <v>0</v>
      </c>
      <c r="R1684" s="169">
        <f t="shared" si="254"/>
        <v>500</v>
      </c>
    </row>
    <row r="1685" spans="2:18" x14ac:dyDescent="0.2">
      <c r="B1685" s="172">
        <f t="shared" si="235"/>
        <v>114</v>
      </c>
      <c r="C1685" s="129"/>
      <c r="D1685" s="129"/>
      <c r="E1685" s="538" t="s">
        <v>677</v>
      </c>
      <c r="F1685" s="538">
        <v>640</v>
      </c>
      <c r="G1685" s="194" t="s">
        <v>288</v>
      </c>
      <c r="H1685" s="540">
        <v>500</v>
      </c>
      <c r="I1685" s="540"/>
      <c r="J1685" s="540">
        <f t="shared" si="251"/>
        <v>500</v>
      </c>
      <c r="K1685" s="131"/>
      <c r="L1685" s="141"/>
      <c r="M1685" s="141"/>
      <c r="N1685" s="141"/>
      <c r="O1685" s="131"/>
      <c r="P1685" s="169">
        <f t="shared" si="252"/>
        <v>500</v>
      </c>
      <c r="Q1685" s="169">
        <f t="shared" si="253"/>
        <v>0</v>
      </c>
      <c r="R1685" s="169">
        <f t="shared" si="254"/>
        <v>500</v>
      </c>
    </row>
    <row r="1686" spans="2:18" x14ac:dyDescent="0.2">
      <c r="B1686" s="172">
        <f t="shared" si="235"/>
        <v>115</v>
      </c>
      <c r="C1686" s="134"/>
      <c r="D1686" s="134"/>
      <c r="E1686" s="538" t="s">
        <v>677</v>
      </c>
      <c r="F1686" s="538">
        <v>640</v>
      </c>
      <c r="G1686" s="205" t="s">
        <v>289</v>
      </c>
      <c r="H1686" s="540">
        <f>11000-500</f>
        <v>10500</v>
      </c>
      <c r="I1686" s="540">
        <v>-5100</v>
      </c>
      <c r="J1686" s="540">
        <f t="shared" si="251"/>
        <v>5400</v>
      </c>
      <c r="K1686" s="131"/>
      <c r="L1686" s="141"/>
      <c r="M1686" s="141"/>
      <c r="N1686" s="141"/>
      <c r="O1686" s="131"/>
      <c r="P1686" s="169">
        <f t="shared" si="252"/>
        <v>10500</v>
      </c>
      <c r="Q1686" s="169">
        <f t="shared" si="253"/>
        <v>-5100</v>
      </c>
      <c r="R1686" s="169">
        <f t="shared" si="254"/>
        <v>5400</v>
      </c>
    </row>
    <row r="1687" spans="2:18" x14ac:dyDescent="0.2">
      <c r="B1687" s="172">
        <f t="shared" si="235"/>
        <v>116</v>
      </c>
      <c r="C1687" s="129"/>
      <c r="D1687" s="538"/>
      <c r="E1687" s="538" t="s">
        <v>677</v>
      </c>
      <c r="F1687" s="538">
        <v>637</v>
      </c>
      <c r="G1687" s="194" t="s">
        <v>653</v>
      </c>
      <c r="H1687" s="369">
        <f>4000+6000</f>
        <v>10000</v>
      </c>
      <c r="I1687" s="369"/>
      <c r="J1687" s="369">
        <f t="shared" si="251"/>
        <v>10000</v>
      </c>
      <c r="K1687" s="131"/>
      <c r="L1687" s="160"/>
      <c r="M1687" s="160"/>
      <c r="N1687" s="160"/>
      <c r="O1687" s="131"/>
      <c r="P1687" s="216">
        <f t="shared" si="252"/>
        <v>10000</v>
      </c>
      <c r="Q1687" s="216">
        <f t="shared" si="253"/>
        <v>0</v>
      </c>
      <c r="R1687" s="216">
        <f t="shared" si="254"/>
        <v>10000</v>
      </c>
    </row>
    <row r="1688" spans="2:18" x14ac:dyDescent="0.2">
      <c r="B1688" s="172"/>
      <c r="C1688" s="129"/>
      <c r="D1688" s="161"/>
      <c r="E1688" s="538" t="s">
        <v>677</v>
      </c>
      <c r="F1688" s="538">
        <v>637</v>
      </c>
      <c r="G1688" s="194" t="s">
        <v>798</v>
      </c>
      <c r="H1688" s="369">
        <v>71</v>
      </c>
      <c r="I1688" s="369"/>
      <c r="J1688" s="369">
        <f t="shared" si="251"/>
        <v>71</v>
      </c>
      <c r="K1688" s="131"/>
      <c r="L1688" s="160"/>
      <c r="M1688" s="160"/>
      <c r="N1688" s="160"/>
      <c r="O1688" s="131"/>
      <c r="P1688" s="216">
        <f t="shared" si="252"/>
        <v>71</v>
      </c>
      <c r="Q1688" s="216">
        <f t="shared" si="253"/>
        <v>0</v>
      </c>
      <c r="R1688" s="216">
        <f t="shared" si="254"/>
        <v>71</v>
      </c>
    </row>
    <row r="1689" spans="2:18" ht="15.75" x14ac:dyDescent="0.25">
      <c r="B1689" s="172">
        <f>B1687+1</f>
        <v>117</v>
      </c>
      <c r="C1689" s="22">
        <v>10</v>
      </c>
      <c r="D1689" s="126" t="s">
        <v>125</v>
      </c>
      <c r="E1689" s="23"/>
      <c r="F1689" s="23"/>
      <c r="G1689" s="193"/>
      <c r="H1689" s="405">
        <f>H1690</f>
        <v>11384</v>
      </c>
      <c r="I1689" s="772">
        <f>I1690</f>
        <v>400</v>
      </c>
      <c r="J1689" s="772">
        <f t="shared" si="251"/>
        <v>11784</v>
      </c>
      <c r="K1689" s="784"/>
      <c r="L1689" s="451">
        <v>0</v>
      </c>
      <c r="M1689" s="451">
        <v>0</v>
      </c>
      <c r="N1689" s="451">
        <f>M1689+L1689</f>
        <v>0</v>
      </c>
      <c r="O1689" s="784"/>
      <c r="P1689" s="360">
        <f t="shared" si="252"/>
        <v>11384</v>
      </c>
      <c r="Q1689" s="360">
        <f t="shared" si="253"/>
        <v>400</v>
      </c>
      <c r="R1689" s="360">
        <f t="shared" si="254"/>
        <v>11784</v>
      </c>
    </row>
    <row r="1690" spans="2:18" x14ac:dyDescent="0.2">
      <c r="B1690" s="172">
        <f t="shared" si="235"/>
        <v>118</v>
      </c>
      <c r="C1690" s="134"/>
      <c r="D1690" s="134"/>
      <c r="E1690" s="346" t="s">
        <v>676</v>
      </c>
      <c r="F1690" s="346"/>
      <c r="G1690" s="347" t="s">
        <v>454</v>
      </c>
      <c r="H1690" s="395">
        <f>H1691+H1692+H1693+H1697</f>
        <v>11384</v>
      </c>
      <c r="I1690" s="395">
        <f>I1691+I1692+I1693+I1697</f>
        <v>400</v>
      </c>
      <c r="J1690" s="395">
        <f t="shared" si="251"/>
        <v>11784</v>
      </c>
      <c r="K1690" s="131"/>
      <c r="L1690" s="452"/>
      <c r="M1690" s="452"/>
      <c r="N1690" s="452"/>
      <c r="O1690" s="131"/>
      <c r="P1690" s="349">
        <f t="shared" si="252"/>
        <v>11384</v>
      </c>
      <c r="Q1690" s="349">
        <f t="shared" si="253"/>
        <v>400</v>
      </c>
      <c r="R1690" s="349">
        <f t="shared" si="254"/>
        <v>11784</v>
      </c>
    </row>
    <row r="1691" spans="2:18" x14ac:dyDescent="0.2">
      <c r="B1691" s="172">
        <f t="shared" si="235"/>
        <v>119</v>
      </c>
      <c r="C1691" s="129"/>
      <c r="D1691" s="129"/>
      <c r="E1691" s="150"/>
      <c r="F1691" s="150">
        <v>610</v>
      </c>
      <c r="G1691" s="202" t="s">
        <v>257</v>
      </c>
      <c r="H1691" s="375">
        <v>6240</v>
      </c>
      <c r="I1691" s="375"/>
      <c r="J1691" s="375">
        <f t="shared" si="251"/>
        <v>6240</v>
      </c>
      <c r="K1691" s="131"/>
      <c r="L1691" s="141"/>
      <c r="M1691" s="141"/>
      <c r="N1691" s="141"/>
      <c r="O1691" s="131"/>
      <c r="P1691" s="545">
        <f t="shared" si="252"/>
        <v>6240</v>
      </c>
      <c r="Q1691" s="545">
        <f t="shared" si="253"/>
        <v>0</v>
      </c>
      <c r="R1691" s="545">
        <f t="shared" si="254"/>
        <v>6240</v>
      </c>
    </row>
    <row r="1692" spans="2:18" x14ac:dyDescent="0.2">
      <c r="B1692" s="172">
        <f t="shared" si="235"/>
        <v>120</v>
      </c>
      <c r="C1692" s="129"/>
      <c r="D1692" s="129"/>
      <c r="E1692" s="133"/>
      <c r="F1692" s="150">
        <v>620</v>
      </c>
      <c r="G1692" s="202" t="s">
        <v>259</v>
      </c>
      <c r="H1692" s="375">
        <v>2189</v>
      </c>
      <c r="I1692" s="375"/>
      <c r="J1692" s="375">
        <f t="shared" si="251"/>
        <v>2189</v>
      </c>
      <c r="K1692" s="131"/>
      <c r="L1692" s="141"/>
      <c r="M1692" s="141"/>
      <c r="N1692" s="141"/>
      <c r="O1692" s="131"/>
      <c r="P1692" s="545">
        <f t="shared" si="252"/>
        <v>2189</v>
      </c>
      <c r="Q1692" s="545">
        <f t="shared" si="253"/>
        <v>0</v>
      </c>
      <c r="R1692" s="545">
        <f t="shared" si="254"/>
        <v>2189</v>
      </c>
    </row>
    <row r="1693" spans="2:18" x14ac:dyDescent="0.2">
      <c r="B1693" s="172">
        <f t="shared" si="235"/>
        <v>121</v>
      </c>
      <c r="C1693" s="129"/>
      <c r="D1693" s="129"/>
      <c r="E1693" s="133"/>
      <c r="F1693" s="150">
        <v>630</v>
      </c>
      <c r="G1693" s="202" t="s">
        <v>236</v>
      </c>
      <c r="H1693" s="375">
        <f>H1694+H1695+H1696</f>
        <v>2925</v>
      </c>
      <c r="I1693" s="375">
        <f>I1694+I1695+I1696</f>
        <v>400</v>
      </c>
      <c r="J1693" s="375">
        <f t="shared" si="251"/>
        <v>3325</v>
      </c>
      <c r="K1693" s="131"/>
      <c r="L1693" s="141"/>
      <c r="M1693" s="141"/>
      <c r="N1693" s="141"/>
      <c r="O1693" s="131"/>
      <c r="P1693" s="545">
        <f t="shared" si="252"/>
        <v>2925</v>
      </c>
      <c r="Q1693" s="545">
        <f t="shared" si="253"/>
        <v>400</v>
      </c>
      <c r="R1693" s="545">
        <f t="shared" si="254"/>
        <v>3325</v>
      </c>
    </row>
    <row r="1694" spans="2:18" x14ac:dyDescent="0.2">
      <c r="B1694" s="172">
        <f t="shared" si="235"/>
        <v>122</v>
      </c>
      <c r="C1694" s="129"/>
      <c r="D1694" s="129"/>
      <c r="E1694" s="133"/>
      <c r="F1694" s="133">
        <v>632</v>
      </c>
      <c r="G1694" s="194" t="s">
        <v>455</v>
      </c>
      <c r="H1694" s="540">
        <v>70</v>
      </c>
      <c r="I1694" s="540"/>
      <c r="J1694" s="540">
        <f t="shared" si="251"/>
        <v>70</v>
      </c>
      <c r="K1694" s="131"/>
      <c r="L1694" s="141"/>
      <c r="M1694" s="141"/>
      <c r="N1694" s="141"/>
      <c r="O1694" s="131"/>
      <c r="P1694" s="169">
        <f t="shared" si="252"/>
        <v>70</v>
      </c>
      <c r="Q1694" s="169">
        <f t="shared" si="253"/>
        <v>0</v>
      </c>
      <c r="R1694" s="169">
        <f t="shared" si="254"/>
        <v>70</v>
      </c>
    </row>
    <row r="1695" spans="2:18" x14ac:dyDescent="0.2">
      <c r="B1695" s="172">
        <f t="shared" si="235"/>
        <v>123</v>
      </c>
      <c r="C1695" s="129"/>
      <c r="D1695" s="129"/>
      <c r="E1695" s="133"/>
      <c r="F1695" s="133">
        <v>634</v>
      </c>
      <c r="G1695" s="194" t="s">
        <v>260</v>
      </c>
      <c r="H1695" s="540">
        <v>2240</v>
      </c>
      <c r="I1695" s="540">
        <v>400</v>
      </c>
      <c r="J1695" s="540">
        <f t="shared" si="251"/>
        <v>2640</v>
      </c>
      <c r="K1695" s="131"/>
      <c r="L1695" s="141"/>
      <c r="M1695" s="141"/>
      <c r="N1695" s="141"/>
      <c r="O1695" s="131"/>
      <c r="P1695" s="169">
        <f t="shared" si="252"/>
        <v>2240</v>
      </c>
      <c r="Q1695" s="169">
        <f t="shared" si="253"/>
        <v>400</v>
      </c>
      <c r="R1695" s="169">
        <f t="shared" si="254"/>
        <v>2640</v>
      </c>
    </row>
    <row r="1696" spans="2:18" x14ac:dyDescent="0.2">
      <c r="B1696" s="172">
        <f t="shared" si="235"/>
        <v>124</v>
      </c>
      <c r="C1696" s="129"/>
      <c r="D1696" s="129"/>
      <c r="E1696" s="133"/>
      <c r="F1696" s="133">
        <v>637</v>
      </c>
      <c r="G1696" s="194" t="s">
        <v>248</v>
      </c>
      <c r="H1696" s="540">
        <v>615</v>
      </c>
      <c r="I1696" s="540"/>
      <c r="J1696" s="540">
        <f t="shared" si="251"/>
        <v>615</v>
      </c>
      <c r="K1696" s="131"/>
      <c r="L1696" s="141"/>
      <c r="M1696" s="141"/>
      <c r="N1696" s="141"/>
      <c r="O1696" s="131"/>
      <c r="P1696" s="169">
        <f t="shared" si="252"/>
        <v>615</v>
      </c>
      <c r="Q1696" s="169">
        <f t="shared" si="253"/>
        <v>0</v>
      </c>
      <c r="R1696" s="169">
        <f t="shared" si="254"/>
        <v>615</v>
      </c>
    </row>
    <row r="1697" spans="2:18" x14ac:dyDescent="0.2">
      <c r="B1697" s="172">
        <f t="shared" si="235"/>
        <v>125</v>
      </c>
      <c r="C1697" s="129"/>
      <c r="D1697" s="161"/>
      <c r="E1697" s="538"/>
      <c r="F1697" s="150">
        <v>640</v>
      </c>
      <c r="G1697" s="202" t="s">
        <v>268</v>
      </c>
      <c r="H1697" s="375">
        <v>30</v>
      </c>
      <c r="I1697" s="375"/>
      <c r="J1697" s="375">
        <f t="shared" si="251"/>
        <v>30</v>
      </c>
      <c r="K1697" s="131"/>
      <c r="L1697" s="141"/>
      <c r="M1697" s="141"/>
      <c r="N1697" s="141"/>
      <c r="O1697" s="131"/>
      <c r="P1697" s="545">
        <f t="shared" si="252"/>
        <v>30</v>
      </c>
      <c r="Q1697" s="545">
        <f t="shared" si="253"/>
        <v>0</v>
      </c>
      <c r="R1697" s="545">
        <f t="shared" si="254"/>
        <v>30</v>
      </c>
    </row>
    <row r="1698" spans="2:18" ht="15.75" x14ac:dyDescent="0.25">
      <c r="B1698" s="172">
        <f t="shared" si="235"/>
        <v>126</v>
      </c>
      <c r="C1698" s="22">
        <v>11</v>
      </c>
      <c r="D1698" s="126" t="s">
        <v>467</v>
      </c>
      <c r="E1698" s="23"/>
      <c r="F1698" s="23"/>
      <c r="G1698" s="193"/>
      <c r="H1698" s="405">
        <f>H1699</f>
        <v>118819</v>
      </c>
      <c r="I1698" s="772">
        <f>I1699</f>
        <v>0</v>
      </c>
      <c r="J1698" s="772">
        <f t="shared" si="251"/>
        <v>118819</v>
      </c>
      <c r="K1698" s="784"/>
      <c r="L1698" s="451">
        <v>0</v>
      </c>
      <c r="M1698" s="451">
        <v>0</v>
      </c>
      <c r="N1698" s="451">
        <f>M1698+L1698</f>
        <v>0</v>
      </c>
      <c r="O1698" s="784"/>
      <c r="P1698" s="360">
        <f t="shared" si="252"/>
        <v>118819</v>
      </c>
      <c r="Q1698" s="360">
        <f t="shared" si="253"/>
        <v>0</v>
      </c>
      <c r="R1698" s="360">
        <f t="shared" si="254"/>
        <v>118819</v>
      </c>
    </row>
    <row r="1699" spans="2:18" x14ac:dyDescent="0.2">
      <c r="B1699" s="172">
        <f t="shared" si="235"/>
        <v>127</v>
      </c>
      <c r="C1699" s="134"/>
      <c r="D1699" s="134"/>
      <c r="E1699" s="346" t="s">
        <v>674</v>
      </c>
      <c r="F1699" s="346"/>
      <c r="G1699" s="347" t="s">
        <v>454</v>
      </c>
      <c r="H1699" s="395">
        <f>H1700+H1701+H1702</f>
        <v>118819</v>
      </c>
      <c r="I1699" s="395">
        <f>I1700+I1701+I1702</f>
        <v>0</v>
      </c>
      <c r="J1699" s="395">
        <f t="shared" si="251"/>
        <v>118819</v>
      </c>
      <c r="K1699" s="131"/>
      <c r="L1699" s="452"/>
      <c r="M1699" s="452"/>
      <c r="N1699" s="452"/>
      <c r="O1699" s="131"/>
      <c r="P1699" s="349">
        <f t="shared" si="252"/>
        <v>118819</v>
      </c>
      <c r="Q1699" s="349">
        <f t="shared" si="253"/>
        <v>0</v>
      </c>
      <c r="R1699" s="349">
        <f t="shared" si="254"/>
        <v>118819</v>
      </c>
    </row>
    <row r="1700" spans="2:18" x14ac:dyDescent="0.2">
      <c r="B1700" s="172">
        <f t="shared" si="235"/>
        <v>128</v>
      </c>
      <c r="C1700" s="129"/>
      <c r="D1700" s="129"/>
      <c r="E1700" s="150"/>
      <c r="F1700" s="150">
        <v>610</v>
      </c>
      <c r="G1700" s="202" t="s">
        <v>257</v>
      </c>
      <c r="H1700" s="375">
        <v>69450</v>
      </c>
      <c r="I1700" s="375"/>
      <c r="J1700" s="375">
        <f t="shared" si="251"/>
        <v>69450</v>
      </c>
      <c r="K1700" s="131"/>
      <c r="L1700" s="141"/>
      <c r="M1700" s="141"/>
      <c r="N1700" s="141"/>
      <c r="O1700" s="131"/>
      <c r="P1700" s="545">
        <f t="shared" si="252"/>
        <v>69450</v>
      </c>
      <c r="Q1700" s="545">
        <f t="shared" si="253"/>
        <v>0</v>
      </c>
      <c r="R1700" s="545">
        <f t="shared" si="254"/>
        <v>69450</v>
      </c>
    </row>
    <row r="1701" spans="2:18" x14ac:dyDescent="0.2">
      <c r="B1701" s="172">
        <f t="shared" si="235"/>
        <v>129</v>
      </c>
      <c r="C1701" s="134"/>
      <c r="D1701" s="134"/>
      <c r="E1701" s="133"/>
      <c r="F1701" s="150">
        <v>620</v>
      </c>
      <c r="G1701" s="202" t="s">
        <v>259</v>
      </c>
      <c r="H1701" s="375">
        <v>24308</v>
      </c>
      <c r="I1701" s="375"/>
      <c r="J1701" s="375">
        <f t="shared" si="251"/>
        <v>24308</v>
      </c>
      <c r="K1701" s="131"/>
      <c r="L1701" s="141"/>
      <c r="M1701" s="141"/>
      <c r="N1701" s="141"/>
      <c r="O1701" s="131"/>
      <c r="P1701" s="545">
        <f t="shared" si="252"/>
        <v>24308</v>
      </c>
      <c r="Q1701" s="545">
        <f t="shared" si="253"/>
        <v>0</v>
      </c>
      <c r="R1701" s="545">
        <f t="shared" si="254"/>
        <v>24308</v>
      </c>
    </row>
    <row r="1702" spans="2:18" x14ac:dyDescent="0.2">
      <c r="B1702" s="172">
        <f t="shared" ref="B1702:B1708" si="255">B1701+1</f>
        <v>130</v>
      </c>
      <c r="C1702" s="129"/>
      <c r="D1702" s="129"/>
      <c r="E1702" s="133"/>
      <c r="F1702" s="150">
        <v>630</v>
      </c>
      <c r="G1702" s="202" t="s">
        <v>236</v>
      </c>
      <c r="H1702" s="375">
        <f>SUM(H1703:H1708)</f>
        <v>25061</v>
      </c>
      <c r="I1702" s="375">
        <f>SUM(I1703:I1708)</f>
        <v>0</v>
      </c>
      <c r="J1702" s="375">
        <f t="shared" si="251"/>
        <v>25061</v>
      </c>
      <c r="K1702" s="131"/>
      <c r="L1702" s="141"/>
      <c r="M1702" s="141"/>
      <c r="N1702" s="141"/>
      <c r="O1702" s="131"/>
      <c r="P1702" s="545">
        <f t="shared" si="252"/>
        <v>25061</v>
      </c>
      <c r="Q1702" s="545">
        <f t="shared" si="253"/>
        <v>0</v>
      </c>
      <c r="R1702" s="545">
        <f t="shared" si="254"/>
        <v>25061</v>
      </c>
    </row>
    <row r="1703" spans="2:18" x14ac:dyDescent="0.2">
      <c r="B1703" s="172">
        <f t="shared" si="255"/>
        <v>131</v>
      </c>
      <c r="C1703" s="129"/>
      <c r="D1703" s="129"/>
      <c r="E1703" s="133"/>
      <c r="F1703" s="133">
        <v>631</v>
      </c>
      <c r="G1703" s="194" t="s">
        <v>520</v>
      </c>
      <c r="H1703" s="369">
        <v>300</v>
      </c>
      <c r="I1703" s="369"/>
      <c r="J1703" s="369">
        <f t="shared" si="251"/>
        <v>300</v>
      </c>
      <c r="K1703" s="131"/>
      <c r="L1703" s="160"/>
      <c r="M1703" s="160"/>
      <c r="N1703" s="160"/>
      <c r="O1703" s="131"/>
      <c r="P1703" s="216">
        <f t="shared" si="252"/>
        <v>300</v>
      </c>
      <c r="Q1703" s="216">
        <f t="shared" si="253"/>
        <v>0</v>
      </c>
      <c r="R1703" s="216">
        <f t="shared" si="254"/>
        <v>300</v>
      </c>
    </row>
    <row r="1704" spans="2:18" x14ac:dyDescent="0.2">
      <c r="B1704" s="172">
        <f t="shared" si="255"/>
        <v>132</v>
      </c>
      <c r="C1704" s="129"/>
      <c r="D1704" s="129"/>
      <c r="E1704" s="133"/>
      <c r="F1704" s="133">
        <v>632</v>
      </c>
      <c r="G1704" s="194" t="s">
        <v>319</v>
      </c>
      <c r="H1704" s="369">
        <v>2150</v>
      </c>
      <c r="I1704" s="369"/>
      <c r="J1704" s="369">
        <f t="shared" si="251"/>
        <v>2150</v>
      </c>
      <c r="K1704" s="131"/>
      <c r="L1704" s="160"/>
      <c r="M1704" s="160"/>
      <c r="N1704" s="160"/>
      <c r="O1704" s="131"/>
      <c r="P1704" s="216">
        <f t="shared" si="252"/>
        <v>2150</v>
      </c>
      <c r="Q1704" s="216">
        <f t="shared" si="253"/>
        <v>0</v>
      </c>
      <c r="R1704" s="216">
        <f t="shared" si="254"/>
        <v>2150</v>
      </c>
    </row>
    <row r="1705" spans="2:18" x14ac:dyDescent="0.2">
      <c r="B1705" s="172">
        <f t="shared" si="255"/>
        <v>133</v>
      </c>
      <c r="C1705" s="129"/>
      <c r="D1705" s="129"/>
      <c r="E1705" s="133"/>
      <c r="F1705" s="133">
        <v>633</v>
      </c>
      <c r="G1705" s="194" t="s">
        <v>247</v>
      </c>
      <c r="H1705" s="540">
        <v>3030</v>
      </c>
      <c r="I1705" s="540"/>
      <c r="J1705" s="540">
        <f t="shared" si="251"/>
        <v>3030</v>
      </c>
      <c r="K1705" s="131"/>
      <c r="L1705" s="141"/>
      <c r="M1705" s="141"/>
      <c r="N1705" s="141"/>
      <c r="O1705" s="131"/>
      <c r="P1705" s="169">
        <f t="shared" si="252"/>
        <v>3030</v>
      </c>
      <c r="Q1705" s="169">
        <f t="shared" si="253"/>
        <v>0</v>
      </c>
      <c r="R1705" s="169">
        <f t="shared" si="254"/>
        <v>3030</v>
      </c>
    </row>
    <row r="1706" spans="2:18" x14ac:dyDescent="0.2">
      <c r="B1706" s="172">
        <f t="shared" si="255"/>
        <v>134</v>
      </c>
      <c r="C1706" s="129"/>
      <c r="D1706" s="129"/>
      <c r="E1706" s="133"/>
      <c r="F1706" s="133">
        <v>634</v>
      </c>
      <c r="G1706" s="194" t="s">
        <v>260</v>
      </c>
      <c r="H1706" s="540">
        <v>473</v>
      </c>
      <c r="I1706" s="540"/>
      <c r="J1706" s="540">
        <f t="shared" si="251"/>
        <v>473</v>
      </c>
      <c r="K1706" s="131"/>
      <c r="L1706" s="141"/>
      <c r="M1706" s="141"/>
      <c r="N1706" s="141"/>
      <c r="O1706" s="131"/>
      <c r="P1706" s="169">
        <f t="shared" si="252"/>
        <v>473</v>
      </c>
      <c r="Q1706" s="169">
        <f t="shared" si="253"/>
        <v>0</v>
      </c>
      <c r="R1706" s="169">
        <f t="shared" si="254"/>
        <v>473</v>
      </c>
    </row>
    <row r="1707" spans="2:18" x14ac:dyDescent="0.2">
      <c r="B1707" s="172">
        <f t="shared" si="255"/>
        <v>135</v>
      </c>
      <c r="C1707" s="129"/>
      <c r="D1707" s="129"/>
      <c r="E1707" s="133"/>
      <c r="F1707" s="133">
        <v>635</v>
      </c>
      <c r="G1707" s="194" t="s">
        <v>261</v>
      </c>
      <c r="H1707" s="540">
        <v>1600</v>
      </c>
      <c r="I1707" s="540"/>
      <c r="J1707" s="540">
        <f t="shared" si="251"/>
        <v>1600</v>
      </c>
      <c r="K1707" s="131"/>
      <c r="L1707" s="141"/>
      <c r="M1707" s="141"/>
      <c r="N1707" s="141"/>
      <c r="O1707" s="131"/>
      <c r="P1707" s="169">
        <f t="shared" si="252"/>
        <v>1600</v>
      </c>
      <c r="Q1707" s="169">
        <f t="shared" si="253"/>
        <v>0</v>
      </c>
      <c r="R1707" s="169">
        <f t="shared" si="254"/>
        <v>1600</v>
      </c>
    </row>
    <row r="1708" spans="2:18" ht="13.5" thickBot="1" x14ac:dyDescent="0.25">
      <c r="B1708" s="172">
        <f t="shared" si="255"/>
        <v>136</v>
      </c>
      <c r="C1708" s="138"/>
      <c r="D1708" s="138"/>
      <c r="E1708" s="139"/>
      <c r="F1708" s="139">
        <v>637</v>
      </c>
      <c r="G1708" s="203" t="s">
        <v>248</v>
      </c>
      <c r="H1708" s="372">
        <v>17508</v>
      </c>
      <c r="I1708" s="372"/>
      <c r="J1708" s="372">
        <f t="shared" si="251"/>
        <v>17508</v>
      </c>
      <c r="K1708" s="131"/>
      <c r="L1708" s="142"/>
      <c r="M1708" s="142"/>
      <c r="N1708" s="142"/>
      <c r="O1708" s="131"/>
      <c r="P1708" s="217">
        <f t="shared" si="252"/>
        <v>17508</v>
      </c>
      <c r="Q1708" s="217">
        <f t="shared" si="253"/>
        <v>0</v>
      </c>
      <c r="R1708" s="217">
        <f t="shared" si="254"/>
        <v>17508</v>
      </c>
    </row>
    <row r="1724" spans="2:18" ht="27.75" thickBot="1" x14ac:dyDescent="0.4">
      <c r="B1724" s="137" t="s">
        <v>230</v>
      </c>
      <c r="C1724" s="137"/>
      <c r="D1724" s="137"/>
      <c r="E1724" s="137"/>
      <c r="F1724" s="137"/>
      <c r="G1724" s="137"/>
      <c r="H1724" s="137"/>
      <c r="I1724" s="137"/>
      <c r="J1724" s="137"/>
      <c r="K1724" s="246"/>
      <c r="L1724" s="137"/>
      <c r="M1724" s="137"/>
      <c r="N1724" s="137"/>
      <c r="O1724" s="246"/>
      <c r="P1724" s="137"/>
    </row>
    <row r="1725" spans="2:18" ht="13.5" customHeight="1" thickBot="1" x14ac:dyDescent="0.25">
      <c r="B1725" s="874" t="s">
        <v>632</v>
      </c>
      <c r="C1725" s="875"/>
      <c r="D1725" s="875"/>
      <c r="E1725" s="875"/>
      <c r="F1725" s="875"/>
      <c r="G1725" s="875"/>
      <c r="H1725" s="875"/>
      <c r="I1725" s="875"/>
      <c r="J1725" s="875"/>
      <c r="K1725" s="875"/>
      <c r="L1725" s="875"/>
      <c r="M1725" s="875"/>
      <c r="N1725" s="876"/>
      <c r="O1725" s="787"/>
      <c r="P1725" s="867" t="s">
        <v>724</v>
      </c>
      <c r="Q1725" s="867" t="s">
        <v>842</v>
      </c>
      <c r="R1725" s="867" t="s">
        <v>724</v>
      </c>
    </row>
    <row r="1726" spans="2:18" ht="13.5" customHeight="1" thickTop="1" x14ac:dyDescent="0.2">
      <c r="B1726" s="523"/>
      <c r="C1726" s="863" t="s">
        <v>478</v>
      </c>
      <c r="D1726" s="863" t="s">
        <v>477</v>
      </c>
      <c r="E1726" s="863" t="s">
        <v>475</v>
      </c>
      <c r="F1726" s="863" t="s">
        <v>476</v>
      </c>
      <c r="G1726" s="877" t="s">
        <v>3</v>
      </c>
      <c r="H1726" s="870" t="s">
        <v>725</v>
      </c>
      <c r="I1726" s="870" t="s">
        <v>842</v>
      </c>
      <c r="J1726" s="870" t="s">
        <v>725</v>
      </c>
      <c r="K1726" s="790"/>
      <c r="L1726" s="872" t="s">
        <v>726</v>
      </c>
      <c r="M1726" s="872" t="s">
        <v>842</v>
      </c>
      <c r="N1726" s="872" t="s">
        <v>726</v>
      </c>
      <c r="O1726" s="781"/>
      <c r="P1726" s="868"/>
      <c r="Q1726" s="868"/>
      <c r="R1726" s="868"/>
    </row>
    <row r="1727" spans="2:18" ht="56.25" customHeight="1" thickBot="1" x14ac:dyDescent="0.25">
      <c r="B1727" s="523"/>
      <c r="C1727" s="864"/>
      <c r="D1727" s="864"/>
      <c r="E1727" s="864"/>
      <c r="F1727" s="864"/>
      <c r="G1727" s="878"/>
      <c r="H1727" s="871"/>
      <c r="I1727" s="871"/>
      <c r="J1727" s="871"/>
      <c r="K1727" s="790"/>
      <c r="L1727" s="873"/>
      <c r="M1727" s="873"/>
      <c r="N1727" s="873"/>
      <c r="O1727" s="781"/>
      <c r="P1727" s="869"/>
      <c r="Q1727" s="869"/>
      <c r="R1727" s="869"/>
    </row>
    <row r="1728" spans="2:18" ht="19.5" thickTop="1" thickBot="1" x14ac:dyDescent="0.25">
      <c r="B1728" s="655">
        <v>1</v>
      </c>
      <c r="C1728" s="124" t="s">
        <v>231</v>
      </c>
      <c r="D1728" s="110"/>
      <c r="E1728" s="110"/>
      <c r="F1728" s="110"/>
      <c r="G1728" s="204"/>
      <c r="H1728" s="406">
        <f>H1729+H1730</f>
        <v>157750</v>
      </c>
      <c r="I1728" s="406">
        <f>I1729+I1730</f>
        <v>-7500</v>
      </c>
      <c r="J1728" s="406">
        <f t="shared" ref="J1728:J1740" si="256">I1728+H1728</f>
        <v>150250</v>
      </c>
      <c r="K1728" s="783"/>
      <c r="L1728" s="197">
        <f>L1729+L1730</f>
        <v>0</v>
      </c>
      <c r="M1728" s="197">
        <f>M1729+M1730</f>
        <v>0</v>
      </c>
      <c r="N1728" s="197">
        <f>M1728+L1728</f>
        <v>0</v>
      </c>
      <c r="O1728" s="783"/>
      <c r="P1728" s="359">
        <f t="shared" ref="P1728:P1740" si="257">H1728+L1728</f>
        <v>157750</v>
      </c>
      <c r="Q1728" s="778">
        <f t="shared" ref="Q1728:R1740" si="258">I1728+M1728</f>
        <v>-7500</v>
      </c>
      <c r="R1728" s="778">
        <f t="shared" si="258"/>
        <v>150250</v>
      </c>
    </row>
    <row r="1729" spans="2:18" ht="16.5" thickTop="1" x14ac:dyDescent="0.25">
      <c r="B1729" s="135">
        <f>B1728+1</f>
        <v>2</v>
      </c>
      <c r="C1729" s="22">
        <v>1</v>
      </c>
      <c r="D1729" s="126" t="s">
        <v>168</v>
      </c>
      <c r="E1729" s="23"/>
      <c r="F1729" s="23"/>
      <c r="G1729" s="193"/>
      <c r="H1729" s="405">
        <v>0</v>
      </c>
      <c r="I1729" s="772">
        <v>0</v>
      </c>
      <c r="J1729" s="772">
        <f t="shared" si="256"/>
        <v>0</v>
      </c>
      <c r="K1729" s="784"/>
      <c r="L1729" s="445">
        <v>0</v>
      </c>
      <c r="M1729" s="810">
        <v>0</v>
      </c>
      <c r="N1729" s="810">
        <f>M1729+L1729</f>
        <v>0</v>
      </c>
      <c r="O1729" s="784"/>
      <c r="P1729" s="360">
        <f t="shared" si="257"/>
        <v>0</v>
      </c>
      <c r="Q1729" s="360">
        <f t="shared" si="258"/>
        <v>0</v>
      </c>
      <c r="R1729" s="360">
        <f t="shared" si="258"/>
        <v>0</v>
      </c>
    </row>
    <row r="1730" spans="2:18" ht="15.75" x14ac:dyDescent="0.25">
      <c r="B1730" s="135">
        <f>B1729+1</f>
        <v>3</v>
      </c>
      <c r="C1730" s="20">
        <v>2</v>
      </c>
      <c r="D1730" s="125" t="s">
        <v>157</v>
      </c>
      <c r="E1730" s="21"/>
      <c r="F1730" s="21"/>
      <c r="G1730" s="195"/>
      <c r="H1730" s="402">
        <f>H1731+H1735+H1739</f>
        <v>157750</v>
      </c>
      <c r="I1730" s="404">
        <f>I1731+I1735+I1739</f>
        <v>-7500</v>
      </c>
      <c r="J1730" s="404">
        <f t="shared" si="256"/>
        <v>150250</v>
      </c>
      <c r="K1730" s="785"/>
      <c r="L1730" s="201">
        <f>L1731+L1734+L1735+L1739</f>
        <v>0</v>
      </c>
      <c r="M1730" s="201">
        <f>M1731+M1734+M1735+M1739</f>
        <v>0</v>
      </c>
      <c r="N1730" s="201">
        <f>M1730+L1730</f>
        <v>0</v>
      </c>
      <c r="O1730" s="785"/>
      <c r="P1730" s="361">
        <f t="shared" si="257"/>
        <v>157750</v>
      </c>
      <c r="Q1730" s="361">
        <f t="shared" si="258"/>
        <v>-7500</v>
      </c>
      <c r="R1730" s="361">
        <f t="shared" si="258"/>
        <v>150250</v>
      </c>
    </row>
    <row r="1731" spans="2:18" x14ac:dyDescent="0.2">
      <c r="B1731" s="135">
        <f t="shared" ref="B1731:B1740" si="259">B1730+1</f>
        <v>4</v>
      </c>
      <c r="C1731" s="75"/>
      <c r="D1731" s="178" t="s">
        <v>4</v>
      </c>
      <c r="E1731" s="233" t="s">
        <v>158</v>
      </c>
      <c r="F1731" s="233"/>
      <c r="G1731" s="234"/>
      <c r="H1731" s="383">
        <f>H1732+H1733</f>
        <v>130000</v>
      </c>
      <c r="I1731" s="383">
        <f>I1732+I1733</f>
        <v>-7500</v>
      </c>
      <c r="J1731" s="383">
        <f t="shared" si="256"/>
        <v>122500</v>
      </c>
      <c r="K1731" s="131"/>
      <c r="L1731" s="457">
        <v>0</v>
      </c>
      <c r="M1731" s="457">
        <v>0</v>
      </c>
      <c r="N1731" s="457">
        <f>M1731+L1731</f>
        <v>0</v>
      </c>
      <c r="O1731" s="131"/>
      <c r="P1731" s="238">
        <f t="shared" si="257"/>
        <v>130000</v>
      </c>
      <c r="Q1731" s="238">
        <f t="shared" si="258"/>
        <v>-7500</v>
      </c>
      <c r="R1731" s="238">
        <f t="shared" si="258"/>
        <v>122500</v>
      </c>
    </row>
    <row r="1732" spans="2:18" x14ac:dyDescent="0.2">
      <c r="B1732" s="135">
        <f t="shared" si="259"/>
        <v>5</v>
      </c>
      <c r="C1732" s="129"/>
      <c r="D1732" s="129"/>
      <c r="E1732" s="158" t="s">
        <v>258</v>
      </c>
      <c r="F1732" s="158">
        <v>637</v>
      </c>
      <c r="G1732" s="194" t="s">
        <v>502</v>
      </c>
      <c r="H1732" s="540">
        <v>104000</v>
      </c>
      <c r="I1732" s="540">
        <v>-6000</v>
      </c>
      <c r="J1732" s="540">
        <f t="shared" si="256"/>
        <v>98000</v>
      </c>
      <c r="K1732" s="131"/>
      <c r="L1732" s="141"/>
      <c r="M1732" s="141"/>
      <c r="N1732" s="141"/>
      <c r="O1732" s="131"/>
      <c r="P1732" s="169">
        <f t="shared" si="257"/>
        <v>104000</v>
      </c>
      <c r="Q1732" s="169">
        <f t="shared" si="258"/>
        <v>-6000</v>
      </c>
      <c r="R1732" s="169">
        <f t="shared" si="258"/>
        <v>98000</v>
      </c>
    </row>
    <row r="1733" spans="2:18" x14ac:dyDescent="0.2">
      <c r="B1733" s="135">
        <f t="shared" si="259"/>
        <v>6</v>
      </c>
      <c r="C1733" s="129"/>
      <c r="D1733" s="129"/>
      <c r="E1733" s="158" t="s">
        <v>258</v>
      </c>
      <c r="F1733" s="158">
        <v>642</v>
      </c>
      <c r="G1733" s="194" t="s">
        <v>303</v>
      </c>
      <c r="H1733" s="540">
        <v>26000</v>
      </c>
      <c r="I1733" s="540">
        <v>-1500</v>
      </c>
      <c r="J1733" s="540">
        <f t="shared" si="256"/>
        <v>24500</v>
      </c>
      <c r="K1733" s="131"/>
      <c r="L1733" s="141"/>
      <c r="M1733" s="141"/>
      <c r="N1733" s="141"/>
      <c r="O1733" s="131"/>
      <c r="P1733" s="169">
        <f t="shared" si="257"/>
        <v>26000</v>
      </c>
      <c r="Q1733" s="169">
        <f t="shared" si="258"/>
        <v>-1500</v>
      </c>
      <c r="R1733" s="169">
        <f t="shared" si="258"/>
        <v>24500</v>
      </c>
    </row>
    <row r="1734" spans="2:18" x14ac:dyDescent="0.2">
      <c r="B1734" s="135">
        <f t="shared" si="259"/>
        <v>7</v>
      </c>
      <c r="C1734" s="75"/>
      <c r="D1734" s="178" t="s">
        <v>5</v>
      </c>
      <c r="E1734" s="233" t="s">
        <v>151</v>
      </c>
      <c r="F1734" s="233"/>
      <c r="G1734" s="234"/>
      <c r="H1734" s="383">
        <v>0</v>
      </c>
      <c r="I1734" s="383">
        <v>0</v>
      </c>
      <c r="J1734" s="383">
        <f t="shared" si="256"/>
        <v>0</v>
      </c>
      <c r="K1734" s="131"/>
      <c r="L1734" s="457">
        <v>0</v>
      </c>
      <c r="M1734" s="457">
        <v>0</v>
      </c>
      <c r="N1734" s="457">
        <f>M1734+L1734</f>
        <v>0</v>
      </c>
      <c r="O1734" s="131"/>
      <c r="P1734" s="238">
        <f t="shared" si="257"/>
        <v>0</v>
      </c>
      <c r="Q1734" s="238">
        <f t="shared" si="258"/>
        <v>0</v>
      </c>
      <c r="R1734" s="238">
        <f t="shared" si="258"/>
        <v>0</v>
      </c>
    </row>
    <row r="1735" spans="2:18" x14ac:dyDescent="0.2">
      <c r="B1735" s="135">
        <f t="shared" si="259"/>
        <v>8</v>
      </c>
      <c r="C1735" s="75"/>
      <c r="D1735" s="178" t="s">
        <v>6</v>
      </c>
      <c r="E1735" s="233" t="s">
        <v>159</v>
      </c>
      <c r="F1735" s="233"/>
      <c r="G1735" s="234"/>
      <c r="H1735" s="383">
        <f>SUM(H1736:H1738)</f>
        <v>27500</v>
      </c>
      <c r="I1735" s="383">
        <f>SUM(I1736:I1738)</f>
        <v>0</v>
      </c>
      <c r="J1735" s="383">
        <f t="shared" si="256"/>
        <v>27500</v>
      </c>
      <c r="K1735" s="131"/>
      <c r="L1735" s="457">
        <f>SUM(L1736:L1738)</f>
        <v>0</v>
      </c>
      <c r="M1735" s="457">
        <f>SUM(M1736:M1738)</f>
        <v>0</v>
      </c>
      <c r="N1735" s="457">
        <f>M1735+L1735</f>
        <v>0</v>
      </c>
      <c r="O1735" s="131"/>
      <c r="P1735" s="238">
        <f t="shared" si="257"/>
        <v>27500</v>
      </c>
      <c r="Q1735" s="238">
        <f t="shared" si="258"/>
        <v>0</v>
      </c>
      <c r="R1735" s="238">
        <f t="shared" si="258"/>
        <v>27500</v>
      </c>
    </row>
    <row r="1736" spans="2:18" x14ac:dyDescent="0.2">
      <c r="B1736" s="135">
        <f t="shared" si="259"/>
        <v>9</v>
      </c>
      <c r="C1736" s="129"/>
      <c r="D1736" s="129"/>
      <c r="E1736" s="133" t="s">
        <v>431</v>
      </c>
      <c r="F1736" s="158">
        <v>610</v>
      </c>
      <c r="G1736" s="194" t="s">
        <v>257</v>
      </c>
      <c r="H1736" s="388">
        <v>18600</v>
      </c>
      <c r="I1736" s="388"/>
      <c r="J1736" s="388">
        <f t="shared" si="256"/>
        <v>18600</v>
      </c>
      <c r="K1736" s="131"/>
      <c r="L1736" s="141"/>
      <c r="M1736" s="141"/>
      <c r="N1736" s="141"/>
      <c r="O1736" s="131"/>
      <c r="P1736" s="169">
        <f t="shared" si="257"/>
        <v>18600</v>
      </c>
      <c r="Q1736" s="169">
        <f t="shared" si="258"/>
        <v>0</v>
      </c>
      <c r="R1736" s="169">
        <f t="shared" si="258"/>
        <v>18600</v>
      </c>
    </row>
    <row r="1737" spans="2:18" x14ac:dyDescent="0.2">
      <c r="B1737" s="135">
        <f t="shared" si="259"/>
        <v>10</v>
      </c>
      <c r="C1737" s="129"/>
      <c r="D1737" s="129"/>
      <c r="E1737" s="133" t="s">
        <v>431</v>
      </c>
      <c r="F1737" s="158">
        <v>620</v>
      </c>
      <c r="G1737" s="194" t="s">
        <v>259</v>
      </c>
      <c r="H1737" s="388">
        <v>6700</v>
      </c>
      <c r="I1737" s="388"/>
      <c r="J1737" s="388">
        <f t="shared" si="256"/>
        <v>6700</v>
      </c>
      <c r="K1737" s="131"/>
      <c r="L1737" s="141"/>
      <c r="M1737" s="141"/>
      <c r="N1737" s="141"/>
      <c r="O1737" s="131"/>
      <c r="P1737" s="169">
        <f t="shared" si="257"/>
        <v>6700</v>
      </c>
      <c r="Q1737" s="169">
        <f t="shared" si="258"/>
        <v>0</v>
      </c>
      <c r="R1737" s="169">
        <f t="shared" si="258"/>
        <v>6700</v>
      </c>
    </row>
    <row r="1738" spans="2:18" x14ac:dyDescent="0.2">
      <c r="B1738" s="135">
        <f t="shared" si="259"/>
        <v>11</v>
      </c>
      <c r="C1738" s="129"/>
      <c r="D1738" s="129"/>
      <c r="E1738" s="133" t="s">
        <v>431</v>
      </c>
      <c r="F1738" s="158">
        <v>630</v>
      </c>
      <c r="G1738" s="194" t="s">
        <v>236</v>
      </c>
      <c r="H1738" s="388">
        <v>2200</v>
      </c>
      <c r="I1738" s="388"/>
      <c r="J1738" s="388">
        <f t="shared" si="256"/>
        <v>2200</v>
      </c>
      <c r="K1738" s="131"/>
      <c r="L1738" s="141"/>
      <c r="M1738" s="141"/>
      <c r="N1738" s="141"/>
      <c r="O1738" s="131"/>
      <c r="P1738" s="169">
        <f t="shared" si="257"/>
        <v>2200</v>
      </c>
      <c r="Q1738" s="169">
        <f t="shared" si="258"/>
        <v>0</v>
      </c>
      <c r="R1738" s="169">
        <f t="shared" si="258"/>
        <v>2200</v>
      </c>
    </row>
    <row r="1739" spans="2:18" x14ac:dyDescent="0.2">
      <c r="B1739" s="135">
        <f t="shared" si="259"/>
        <v>12</v>
      </c>
      <c r="C1739" s="129"/>
      <c r="D1739" s="178" t="s">
        <v>7</v>
      </c>
      <c r="E1739" s="233" t="s">
        <v>160</v>
      </c>
      <c r="F1739" s="233"/>
      <c r="G1739" s="234"/>
      <c r="H1739" s="383">
        <f>SUM(H1740:H1740)</f>
        <v>250</v>
      </c>
      <c r="I1739" s="383">
        <f>SUM(I1740:I1740)</f>
        <v>0</v>
      </c>
      <c r="J1739" s="383">
        <f t="shared" si="256"/>
        <v>250</v>
      </c>
      <c r="K1739" s="131"/>
      <c r="L1739" s="458">
        <f>SUM(L1740:L1740)</f>
        <v>0</v>
      </c>
      <c r="M1739" s="458">
        <f>SUM(M1740:M1740)</f>
        <v>0</v>
      </c>
      <c r="N1739" s="458">
        <f>M1739+L1739</f>
        <v>0</v>
      </c>
      <c r="O1739" s="131"/>
      <c r="P1739" s="237">
        <f t="shared" si="257"/>
        <v>250</v>
      </c>
      <c r="Q1739" s="237">
        <f t="shared" si="258"/>
        <v>0</v>
      </c>
      <c r="R1739" s="237">
        <f t="shared" si="258"/>
        <v>250</v>
      </c>
    </row>
    <row r="1740" spans="2:18" ht="13.5" thickBot="1" x14ac:dyDescent="0.25">
      <c r="B1740" s="520">
        <f t="shared" si="259"/>
        <v>13</v>
      </c>
      <c r="C1740" s="340"/>
      <c r="D1740" s="680"/>
      <c r="E1740" s="681" t="s">
        <v>241</v>
      </c>
      <c r="F1740" s="682">
        <v>637</v>
      </c>
      <c r="G1740" s="345" t="s">
        <v>535</v>
      </c>
      <c r="H1740" s="372">
        <v>250</v>
      </c>
      <c r="I1740" s="372"/>
      <c r="J1740" s="372">
        <f t="shared" si="256"/>
        <v>250</v>
      </c>
      <c r="K1740" s="131"/>
      <c r="L1740" s="142"/>
      <c r="M1740" s="142"/>
      <c r="N1740" s="142"/>
      <c r="O1740" s="131"/>
      <c r="P1740" s="217">
        <f t="shared" si="257"/>
        <v>250</v>
      </c>
      <c r="Q1740" s="217">
        <f t="shared" si="258"/>
        <v>0</v>
      </c>
      <c r="R1740" s="217">
        <f t="shared" si="258"/>
        <v>250</v>
      </c>
    </row>
  </sheetData>
  <mergeCells count="187">
    <mergeCell ref="G1302:G1303"/>
    <mergeCell ref="B1379:N1379"/>
    <mergeCell ref="G1380:G1381"/>
    <mergeCell ref="B1458:N1458"/>
    <mergeCell ref="G1459:G1460"/>
    <mergeCell ref="B1569:N1569"/>
    <mergeCell ref="G1570:G1571"/>
    <mergeCell ref="B1725:N1725"/>
    <mergeCell ref="G1726:G1727"/>
    <mergeCell ref="C1726:C1727"/>
    <mergeCell ref="D1726:D1727"/>
    <mergeCell ref="E1726:E1727"/>
    <mergeCell ref="F1726:F1727"/>
    <mergeCell ref="H1726:H1727"/>
    <mergeCell ref="C1302:C1303"/>
    <mergeCell ref="D1302:D1303"/>
    <mergeCell ref="E1302:E1303"/>
    <mergeCell ref="F1302:F1303"/>
    <mergeCell ref="H1302:H1303"/>
    <mergeCell ref="C1570:C1571"/>
    <mergeCell ref="D1570:D1571"/>
    <mergeCell ref="E1570:E1571"/>
    <mergeCell ref="F1570:F1571"/>
    <mergeCell ref="H1570:H1571"/>
    <mergeCell ref="B221:N221"/>
    <mergeCell ref="G222:G223"/>
    <mergeCell ref="B331:N331"/>
    <mergeCell ref="G332:G333"/>
    <mergeCell ref="B385:N385"/>
    <mergeCell ref="G386:G387"/>
    <mergeCell ref="B497:N497"/>
    <mergeCell ref="G498:G499"/>
    <mergeCell ref="B1301:N1301"/>
    <mergeCell ref="C222:C223"/>
    <mergeCell ref="D222:D223"/>
    <mergeCell ref="E222:E223"/>
    <mergeCell ref="F222:F223"/>
    <mergeCell ref="H222:H223"/>
    <mergeCell ref="B496:H496"/>
    <mergeCell ref="C498:C499"/>
    <mergeCell ref="D498:D499"/>
    <mergeCell ref="E498:E499"/>
    <mergeCell ref="F498:F499"/>
    <mergeCell ref="H498:H499"/>
    <mergeCell ref="Q1569:Q1571"/>
    <mergeCell ref="R1569:R1571"/>
    <mergeCell ref="I1726:I1727"/>
    <mergeCell ref="J1726:J1727"/>
    <mergeCell ref="M1726:M1727"/>
    <mergeCell ref="N1726:N1727"/>
    <mergeCell ref="Q1725:Q1727"/>
    <mergeCell ref="R1725:R1727"/>
    <mergeCell ref="Q1379:Q1381"/>
    <mergeCell ref="R1379:R1381"/>
    <mergeCell ref="I1459:I1460"/>
    <mergeCell ref="J1459:J1460"/>
    <mergeCell ref="M1459:M1460"/>
    <mergeCell ref="N1459:N1460"/>
    <mergeCell ref="Q1458:Q1460"/>
    <mergeCell ref="R1458:R1460"/>
    <mergeCell ref="P1725:P1727"/>
    <mergeCell ref="L1726:L1727"/>
    <mergeCell ref="P1569:P1571"/>
    <mergeCell ref="L1570:L1571"/>
    <mergeCell ref="I1570:I1571"/>
    <mergeCell ref="J1570:J1571"/>
    <mergeCell ref="M1570:M1571"/>
    <mergeCell ref="N1570:N1571"/>
    <mergeCell ref="Q497:Q499"/>
    <mergeCell ref="R497:R499"/>
    <mergeCell ref="I1302:I1303"/>
    <mergeCell ref="J1302:J1303"/>
    <mergeCell ref="M1302:M1303"/>
    <mergeCell ref="N1302:N1303"/>
    <mergeCell ref="Q1301:Q1303"/>
    <mergeCell ref="R1301:R1303"/>
    <mergeCell ref="Q331:Q333"/>
    <mergeCell ref="R331:R333"/>
    <mergeCell ref="I386:I387"/>
    <mergeCell ref="J386:J387"/>
    <mergeCell ref="M386:M387"/>
    <mergeCell ref="N386:N387"/>
    <mergeCell ref="Q385:Q387"/>
    <mergeCell ref="R385:R387"/>
    <mergeCell ref="P1301:P1303"/>
    <mergeCell ref="L1302:L1303"/>
    <mergeCell ref="P497:P499"/>
    <mergeCell ref="L498:L499"/>
    <mergeCell ref="I498:I499"/>
    <mergeCell ref="J498:J499"/>
    <mergeCell ref="M498:M499"/>
    <mergeCell ref="N498:N499"/>
    <mergeCell ref="Q110:Q112"/>
    <mergeCell ref="R110:R112"/>
    <mergeCell ref="I222:I223"/>
    <mergeCell ref="J222:J223"/>
    <mergeCell ref="M222:M223"/>
    <mergeCell ref="N222:N223"/>
    <mergeCell ref="Q221:Q223"/>
    <mergeCell ref="R221:R223"/>
    <mergeCell ref="Q2:Q4"/>
    <mergeCell ref="R2:R4"/>
    <mergeCell ref="I78:I79"/>
    <mergeCell ref="J78:J79"/>
    <mergeCell ref="M78:M79"/>
    <mergeCell ref="N78:N79"/>
    <mergeCell ref="Q77:Q79"/>
    <mergeCell ref="R77:R79"/>
    <mergeCell ref="P221:P223"/>
    <mergeCell ref="L222:L223"/>
    <mergeCell ref="P110:P112"/>
    <mergeCell ref="N111:N112"/>
    <mergeCell ref="B110:N110"/>
    <mergeCell ref="P77:P79"/>
    <mergeCell ref="C78:C79"/>
    <mergeCell ref="D78:D79"/>
    <mergeCell ref="P1458:P1460"/>
    <mergeCell ref="C1459:C1460"/>
    <mergeCell ref="D1459:D1460"/>
    <mergeCell ref="E1459:E1460"/>
    <mergeCell ref="F1459:F1460"/>
    <mergeCell ref="H1459:H1460"/>
    <mergeCell ref="L1459:L1460"/>
    <mergeCell ref="P1379:P1381"/>
    <mergeCell ref="C1380:C1381"/>
    <mergeCell ref="D1380:D1381"/>
    <mergeCell ref="E1380:E1381"/>
    <mergeCell ref="F1380:F1381"/>
    <mergeCell ref="H1380:H1381"/>
    <mergeCell ref="L1380:L1381"/>
    <mergeCell ref="I1380:I1381"/>
    <mergeCell ref="J1380:J1381"/>
    <mergeCell ref="M1380:M1381"/>
    <mergeCell ref="N1380:N1381"/>
    <mergeCell ref="P385:P387"/>
    <mergeCell ref="C386:C387"/>
    <mergeCell ref="D386:D387"/>
    <mergeCell ref="E386:E387"/>
    <mergeCell ref="F386:F387"/>
    <mergeCell ref="H386:H387"/>
    <mergeCell ref="L386:L387"/>
    <mergeCell ref="P331:P333"/>
    <mergeCell ref="C332:C333"/>
    <mergeCell ref="D332:D333"/>
    <mergeCell ref="E332:E333"/>
    <mergeCell ref="F332:F333"/>
    <mergeCell ref="H332:H333"/>
    <mergeCell ref="L332:L333"/>
    <mergeCell ref="I332:I333"/>
    <mergeCell ref="J332:J333"/>
    <mergeCell ref="M332:M333"/>
    <mergeCell ref="N332:N333"/>
    <mergeCell ref="C111:C112"/>
    <mergeCell ref="D111:D112"/>
    <mergeCell ref="E111:E112"/>
    <mergeCell ref="F111:F112"/>
    <mergeCell ref="H111:H112"/>
    <mergeCell ref="L111:L112"/>
    <mergeCell ref="I111:I112"/>
    <mergeCell ref="J111:J112"/>
    <mergeCell ref="M111:M112"/>
    <mergeCell ref="G111:G112"/>
    <mergeCell ref="E78:E79"/>
    <mergeCell ref="F78:F79"/>
    <mergeCell ref="H78:H79"/>
    <mergeCell ref="L78:L79"/>
    <mergeCell ref="E17:G17"/>
    <mergeCell ref="B77:N77"/>
    <mergeCell ref="G78:G79"/>
    <mergeCell ref="E15:G15"/>
    <mergeCell ref="D36:G36"/>
    <mergeCell ref="E3:E4"/>
    <mergeCell ref="F3:F4"/>
    <mergeCell ref="E7:G7"/>
    <mergeCell ref="E13:G13"/>
    <mergeCell ref="E19:G19"/>
    <mergeCell ref="B1:P1"/>
    <mergeCell ref="P2:P4"/>
    <mergeCell ref="C3:C4"/>
    <mergeCell ref="D3:D4"/>
    <mergeCell ref="H3:H4"/>
    <mergeCell ref="L3:L4"/>
    <mergeCell ref="I3:I4"/>
    <mergeCell ref="J3:J4"/>
    <mergeCell ref="M3:M4"/>
    <mergeCell ref="N3:N4"/>
    <mergeCell ref="B2:N2"/>
  </mergeCells>
  <pageMargins left="0.11811023622047245" right="0.31496062992125984" top="0.15748031496062992" bottom="0.15748031496062992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rgb="FFFFFF00"/>
  </sheetPr>
  <dimension ref="A1:P61"/>
  <sheetViews>
    <sheetView zoomScale="95" zoomScaleNormal="95" zoomScaleSheetLayoutView="100" workbookViewId="0"/>
  </sheetViews>
  <sheetFormatPr defaultRowHeight="12.75" x14ac:dyDescent="0.2"/>
  <cols>
    <col min="1" max="1" width="2.140625" customWidth="1"/>
    <col min="2" max="2" width="3.85546875" customWidth="1"/>
    <col min="3" max="3" width="43.140625" customWidth="1"/>
    <col min="4" max="4" width="12.5703125" customWidth="1"/>
    <col min="5" max="5" width="10.5703125" customWidth="1"/>
    <col min="6" max="6" width="13.42578125" customWidth="1"/>
    <col min="7" max="7" width="12.28515625" customWidth="1"/>
    <col min="8" max="8" width="10.7109375" customWidth="1"/>
    <col min="9" max="9" width="13" customWidth="1"/>
    <col min="10" max="10" width="12.7109375" customWidth="1"/>
    <col min="11" max="11" width="11.42578125" customWidth="1"/>
    <col min="12" max="12" width="12.42578125" customWidth="1"/>
    <col min="13" max="13" width="18.140625" customWidth="1"/>
    <col min="14" max="14" width="9.5703125" bestFit="1" customWidth="1"/>
    <col min="15" max="15" width="10.7109375" bestFit="1" customWidth="1"/>
  </cols>
  <sheetData>
    <row r="1" spans="2:16" ht="24" customHeight="1" thickBot="1" x14ac:dyDescent="0.55000000000000004">
      <c r="B1" s="896" t="s">
        <v>189</v>
      </c>
      <c r="C1" s="896"/>
      <c r="D1" s="896"/>
      <c r="E1" s="896"/>
      <c r="F1" s="896"/>
      <c r="G1" s="896"/>
      <c r="H1" s="896"/>
      <c r="I1" s="896"/>
      <c r="J1" s="896"/>
      <c r="K1" s="764"/>
      <c r="L1" s="764"/>
    </row>
    <row r="2" spans="2:16" ht="34.5" customHeight="1" thickBot="1" x14ac:dyDescent="0.25">
      <c r="B2" s="894"/>
      <c r="C2" s="895"/>
      <c r="D2" s="558" t="s">
        <v>721</v>
      </c>
      <c r="E2" s="558" t="s">
        <v>844</v>
      </c>
      <c r="F2" s="558" t="s">
        <v>845</v>
      </c>
      <c r="G2" s="813" t="s">
        <v>722</v>
      </c>
      <c r="H2" s="813" t="s">
        <v>844</v>
      </c>
      <c r="I2" s="813" t="s">
        <v>846</v>
      </c>
      <c r="J2" s="838" t="s">
        <v>720</v>
      </c>
      <c r="K2" s="838" t="s">
        <v>844</v>
      </c>
      <c r="L2" s="838" t="s">
        <v>724</v>
      </c>
    </row>
    <row r="3" spans="2:16" ht="16.5" thickTop="1" x14ac:dyDescent="0.25">
      <c r="B3" s="842">
        <v>1</v>
      </c>
      <c r="C3" s="843" t="s">
        <v>171</v>
      </c>
      <c r="D3" s="559">
        <f>Príjmy!H269</f>
        <v>32809868</v>
      </c>
      <c r="E3" s="559">
        <f>Príjmy!I295</f>
        <v>-105696</v>
      </c>
      <c r="F3" s="559">
        <f>E3+D3</f>
        <v>32704172</v>
      </c>
      <c r="G3" s="814">
        <f>Príjmy!H286</f>
        <v>769745</v>
      </c>
      <c r="H3" s="814">
        <f>Príjmy!I296</f>
        <v>16255</v>
      </c>
      <c r="I3" s="814">
        <f>H3+G3</f>
        <v>786000</v>
      </c>
      <c r="J3" s="839">
        <f>D3+G3</f>
        <v>33579613</v>
      </c>
      <c r="K3" s="839">
        <f>E3+H3</f>
        <v>-89441</v>
      </c>
      <c r="L3" s="839">
        <f>K3+J3</f>
        <v>33490172</v>
      </c>
    </row>
    <row r="4" spans="2:16" ht="15.75" x14ac:dyDescent="0.25">
      <c r="B4" s="844">
        <f>B3+1</f>
        <v>2</v>
      </c>
      <c r="C4" s="845" t="s">
        <v>172</v>
      </c>
      <c r="D4" s="560">
        <f>SUM(D6:D17)</f>
        <v>29588427</v>
      </c>
      <c r="E4" s="560">
        <f>SUM(E6:E17)</f>
        <v>-69441</v>
      </c>
      <c r="F4" s="560">
        <f t="shared" ref="F4:F19" si="0">E4+D4</f>
        <v>29518986</v>
      </c>
      <c r="G4" s="817">
        <f>SUM(G6:G17)</f>
        <v>2759785</v>
      </c>
      <c r="H4" s="814">
        <f>SUM(H6:H17)</f>
        <v>-20000</v>
      </c>
      <c r="I4" s="814">
        <f t="shared" ref="I4:I21" si="1">H4+G4</f>
        <v>2739785</v>
      </c>
      <c r="J4" s="839">
        <f>D4+G4</f>
        <v>32348212</v>
      </c>
      <c r="K4" s="839">
        <f t="shared" ref="K4" si="2">E4+H4</f>
        <v>-89441</v>
      </c>
      <c r="L4" s="839">
        <f t="shared" ref="L4:L22" si="3">K4+J4</f>
        <v>32258771</v>
      </c>
      <c r="N4" s="17"/>
      <c r="O4" s="17"/>
    </row>
    <row r="5" spans="2:16" ht="4.5" customHeight="1" x14ac:dyDescent="0.25">
      <c r="B5" s="224">
        <f>B4+1</f>
        <v>3</v>
      </c>
      <c r="C5" s="399"/>
      <c r="D5" s="561"/>
      <c r="E5" s="561"/>
      <c r="F5" s="561"/>
      <c r="G5" s="815"/>
      <c r="H5" s="815"/>
      <c r="I5" s="815"/>
      <c r="J5" s="847"/>
      <c r="K5" s="847"/>
      <c r="L5" s="847"/>
    </row>
    <row r="6" spans="2:16" ht="15" customHeight="1" x14ac:dyDescent="0.25">
      <c r="B6" s="224">
        <f>B5+1</f>
        <v>4</v>
      </c>
      <c r="C6" s="454" t="s">
        <v>551</v>
      </c>
      <c r="D6" s="562">
        <f>Výdavky!H5</f>
        <v>414233</v>
      </c>
      <c r="E6" s="562">
        <f>Výdavky!I5</f>
        <v>-28000</v>
      </c>
      <c r="F6" s="562">
        <f t="shared" si="0"/>
        <v>386233</v>
      </c>
      <c r="G6" s="816">
        <f>Výdavky!L5</f>
        <v>231937</v>
      </c>
      <c r="H6" s="816">
        <f>Výdavky!M5</f>
        <v>-20000</v>
      </c>
      <c r="I6" s="816">
        <f t="shared" si="1"/>
        <v>211937</v>
      </c>
      <c r="J6" s="840">
        <f t="shared" ref="J6:K17" si="4">D6+G6</f>
        <v>646170</v>
      </c>
      <c r="K6" s="840">
        <f t="shared" si="4"/>
        <v>-48000</v>
      </c>
      <c r="L6" s="840">
        <f t="shared" si="3"/>
        <v>598170</v>
      </c>
    </row>
    <row r="7" spans="2:16" ht="15" x14ac:dyDescent="0.25">
      <c r="B7" s="224">
        <f t="shared" ref="B7:B21" si="5">B6+1</f>
        <v>5</v>
      </c>
      <c r="C7" s="455" t="s">
        <v>552</v>
      </c>
      <c r="D7" s="562">
        <f>Výdavky!H80</f>
        <v>55000</v>
      </c>
      <c r="E7" s="562">
        <f>Výdavky!I80</f>
        <v>0</v>
      </c>
      <c r="F7" s="562">
        <f t="shared" si="0"/>
        <v>55000</v>
      </c>
      <c r="G7" s="816">
        <f>Výdavky!L80</f>
        <v>0</v>
      </c>
      <c r="H7" s="816">
        <f>Výdavky!M80</f>
        <v>0</v>
      </c>
      <c r="I7" s="816">
        <f t="shared" si="1"/>
        <v>0</v>
      </c>
      <c r="J7" s="840">
        <f>D7+G7</f>
        <v>55000</v>
      </c>
      <c r="K7" s="840">
        <f t="shared" si="4"/>
        <v>0</v>
      </c>
      <c r="L7" s="840">
        <f t="shared" si="3"/>
        <v>55000</v>
      </c>
    </row>
    <row r="8" spans="2:16" ht="15" x14ac:dyDescent="0.25">
      <c r="B8" s="224">
        <f t="shared" si="5"/>
        <v>6</v>
      </c>
      <c r="C8" s="455" t="s">
        <v>553</v>
      </c>
      <c r="D8" s="562">
        <f>Výdavky!H113</f>
        <v>3610015</v>
      </c>
      <c r="E8" s="562">
        <f>Výdavky!I113</f>
        <v>-17050</v>
      </c>
      <c r="F8" s="562">
        <f t="shared" si="0"/>
        <v>3592965</v>
      </c>
      <c r="G8" s="816">
        <f>Výdavky!L113</f>
        <v>485474</v>
      </c>
      <c r="H8" s="816">
        <f>Výdavky!M113</f>
        <v>0</v>
      </c>
      <c r="I8" s="816">
        <f t="shared" si="1"/>
        <v>485474</v>
      </c>
      <c r="J8" s="840">
        <f t="shared" si="4"/>
        <v>4095489</v>
      </c>
      <c r="K8" s="840">
        <f t="shared" si="4"/>
        <v>-17050</v>
      </c>
      <c r="L8" s="840">
        <f t="shared" si="3"/>
        <v>4078439</v>
      </c>
    </row>
    <row r="9" spans="2:16" ht="15" x14ac:dyDescent="0.25">
      <c r="B9" s="224">
        <f t="shared" si="5"/>
        <v>7</v>
      </c>
      <c r="C9" s="455" t="s">
        <v>554</v>
      </c>
      <c r="D9" s="562">
        <f>Výdavky!H224</f>
        <v>467924</v>
      </c>
      <c r="E9" s="562">
        <f>Výdavky!I224</f>
        <v>3465</v>
      </c>
      <c r="F9" s="562">
        <f t="shared" si="0"/>
        <v>471389</v>
      </c>
      <c r="G9" s="816">
        <f>Výdavky!L224</f>
        <v>132000</v>
      </c>
      <c r="H9" s="816">
        <f>Výdavky!M224</f>
        <v>0</v>
      </c>
      <c r="I9" s="816">
        <f t="shared" si="1"/>
        <v>132000</v>
      </c>
      <c r="J9" s="840">
        <f t="shared" si="4"/>
        <v>599924</v>
      </c>
      <c r="K9" s="840">
        <f t="shared" si="4"/>
        <v>3465</v>
      </c>
      <c r="L9" s="840">
        <f>K9+J9</f>
        <v>603389</v>
      </c>
    </row>
    <row r="10" spans="2:16" ht="15" x14ac:dyDescent="0.25">
      <c r="B10" s="224">
        <f t="shared" si="5"/>
        <v>8</v>
      </c>
      <c r="C10" s="455" t="s">
        <v>555</v>
      </c>
      <c r="D10" s="562">
        <f>Výdavky!H334</f>
        <v>1620460</v>
      </c>
      <c r="E10" s="562">
        <f>Výdavky!I334</f>
        <v>0</v>
      </c>
      <c r="F10" s="562">
        <f t="shared" si="0"/>
        <v>1620460</v>
      </c>
      <c r="G10" s="816">
        <f>Výdavky!L334</f>
        <v>78583</v>
      </c>
      <c r="H10" s="816">
        <f>Výdavky!M334</f>
        <v>0</v>
      </c>
      <c r="I10" s="816">
        <f t="shared" si="1"/>
        <v>78583</v>
      </c>
      <c r="J10" s="840">
        <f t="shared" si="4"/>
        <v>1699043</v>
      </c>
      <c r="K10" s="840">
        <f t="shared" si="4"/>
        <v>0</v>
      </c>
      <c r="L10" s="840">
        <f t="shared" si="3"/>
        <v>1699043</v>
      </c>
      <c r="P10" s="17"/>
    </row>
    <row r="11" spans="2:16" ht="15" x14ac:dyDescent="0.25">
      <c r="B11" s="224">
        <f t="shared" si="5"/>
        <v>9</v>
      </c>
      <c r="C11" s="455" t="s">
        <v>556</v>
      </c>
      <c r="D11" s="562">
        <f>Výdavky!H388</f>
        <v>3370146</v>
      </c>
      <c r="E11" s="562">
        <f>Výdavky!I388</f>
        <v>-2000</v>
      </c>
      <c r="F11" s="562">
        <f t="shared" si="0"/>
        <v>3368146</v>
      </c>
      <c r="G11" s="816">
        <f>Výdavky!L388</f>
        <v>1303750</v>
      </c>
      <c r="H11" s="816">
        <f>Výdavky!M388</f>
        <v>0</v>
      </c>
      <c r="I11" s="816">
        <f t="shared" si="1"/>
        <v>1303750</v>
      </c>
      <c r="J11" s="840">
        <f t="shared" si="4"/>
        <v>4673896</v>
      </c>
      <c r="K11" s="840">
        <f t="shared" si="4"/>
        <v>-2000</v>
      </c>
      <c r="L11" s="840">
        <f t="shared" si="3"/>
        <v>4671896</v>
      </c>
      <c r="P11" s="17"/>
    </row>
    <row r="12" spans="2:16" ht="15" x14ac:dyDescent="0.25">
      <c r="B12" s="224">
        <f t="shared" si="5"/>
        <v>10</v>
      </c>
      <c r="C12" s="455" t="s">
        <v>557</v>
      </c>
      <c r="D12" s="562">
        <f>Výdavky!H500</f>
        <v>12464646</v>
      </c>
      <c r="E12" s="562">
        <f>Výdavky!I500</f>
        <v>4983</v>
      </c>
      <c r="F12" s="562">
        <f t="shared" si="0"/>
        <v>12469629</v>
      </c>
      <c r="G12" s="816">
        <f>Výdavky!L500</f>
        <v>346436</v>
      </c>
      <c r="H12" s="816">
        <f>Výdavky!M500</f>
        <v>0</v>
      </c>
      <c r="I12" s="816">
        <f t="shared" si="1"/>
        <v>346436</v>
      </c>
      <c r="J12" s="840">
        <f t="shared" si="4"/>
        <v>12811082</v>
      </c>
      <c r="K12" s="840">
        <f t="shared" si="4"/>
        <v>4983</v>
      </c>
      <c r="L12" s="840">
        <f t="shared" si="3"/>
        <v>12816065</v>
      </c>
    </row>
    <row r="13" spans="2:16" ht="15" x14ac:dyDescent="0.25">
      <c r="B13" s="224">
        <f t="shared" si="5"/>
        <v>11</v>
      </c>
      <c r="C13" s="455" t="s">
        <v>596</v>
      </c>
      <c r="D13" s="562">
        <f>Výdavky!H1304</f>
        <v>1336800</v>
      </c>
      <c r="E13" s="562">
        <f>Výdavky!I1304</f>
        <v>-83500</v>
      </c>
      <c r="F13" s="562">
        <f t="shared" si="0"/>
        <v>1253300</v>
      </c>
      <c r="G13" s="816">
        <f>Výdavky!L1304</f>
        <v>70600</v>
      </c>
      <c r="H13" s="816">
        <f>Výdavky!M1304</f>
        <v>0</v>
      </c>
      <c r="I13" s="816">
        <f t="shared" si="1"/>
        <v>70600</v>
      </c>
      <c r="J13" s="840">
        <f t="shared" si="4"/>
        <v>1407400</v>
      </c>
      <c r="K13" s="840">
        <f t="shared" si="4"/>
        <v>-83500</v>
      </c>
      <c r="L13" s="840">
        <f t="shared" si="3"/>
        <v>1323900</v>
      </c>
    </row>
    <row r="14" spans="2:16" ht="15" x14ac:dyDescent="0.25">
      <c r="B14" s="224">
        <f t="shared" si="5"/>
        <v>12</v>
      </c>
      <c r="C14" s="455" t="s">
        <v>558</v>
      </c>
      <c r="D14" s="562">
        <f>Výdavky!H1382</f>
        <v>318100</v>
      </c>
      <c r="E14" s="562">
        <f>Výdavky!I1382</f>
        <v>0</v>
      </c>
      <c r="F14" s="562">
        <f t="shared" si="0"/>
        <v>318100</v>
      </c>
      <c r="G14" s="816">
        <f>Výdavky!L1382</f>
        <v>18320</v>
      </c>
      <c r="H14" s="816">
        <f>Výdavky!M1382</f>
        <v>0</v>
      </c>
      <c r="I14" s="816">
        <f t="shared" si="1"/>
        <v>18320</v>
      </c>
      <c r="J14" s="840">
        <f t="shared" si="4"/>
        <v>336420</v>
      </c>
      <c r="K14" s="840">
        <f t="shared" si="4"/>
        <v>0</v>
      </c>
      <c r="L14" s="840">
        <f t="shared" si="3"/>
        <v>336420</v>
      </c>
    </row>
    <row r="15" spans="2:16" ht="15" x14ac:dyDescent="0.25">
      <c r="B15" s="224">
        <f t="shared" si="5"/>
        <v>13</v>
      </c>
      <c r="C15" s="455" t="s">
        <v>559</v>
      </c>
      <c r="D15" s="562">
        <f>Výdavky!H1461</f>
        <v>3740996</v>
      </c>
      <c r="E15" s="562">
        <f>Výdavky!I1461</f>
        <v>56000</v>
      </c>
      <c r="F15" s="562">
        <f t="shared" si="0"/>
        <v>3796996</v>
      </c>
      <c r="G15" s="816">
        <f>Výdavky!L1461</f>
        <v>92685</v>
      </c>
      <c r="H15" s="816">
        <f>Výdavky!M1461</f>
        <v>0</v>
      </c>
      <c r="I15" s="816">
        <f t="shared" si="1"/>
        <v>92685</v>
      </c>
      <c r="J15" s="840">
        <f t="shared" si="4"/>
        <v>3833681</v>
      </c>
      <c r="K15" s="840">
        <f>E15+H15</f>
        <v>56000</v>
      </c>
      <c r="L15" s="840">
        <f t="shared" si="3"/>
        <v>3889681</v>
      </c>
    </row>
    <row r="16" spans="2:16" ht="15" x14ac:dyDescent="0.25">
      <c r="B16" s="224">
        <f t="shared" si="5"/>
        <v>14</v>
      </c>
      <c r="C16" s="455" t="s">
        <v>560</v>
      </c>
      <c r="D16" s="562">
        <f>Výdavky!H1572</f>
        <v>2032357</v>
      </c>
      <c r="E16" s="562">
        <f>Výdavky!I1572</f>
        <v>4161</v>
      </c>
      <c r="F16" s="562">
        <f t="shared" si="0"/>
        <v>2036518</v>
      </c>
      <c r="G16" s="816">
        <f>Výdavky!L1572</f>
        <v>0</v>
      </c>
      <c r="H16" s="816">
        <f>Výdavky!M1572</f>
        <v>0</v>
      </c>
      <c r="I16" s="816">
        <f t="shared" si="1"/>
        <v>0</v>
      </c>
      <c r="J16" s="840">
        <f t="shared" si="4"/>
        <v>2032357</v>
      </c>
      <c r="K16" s="840">
        <f t="shared" si="4"/>
        <v>4161</v>
      </c>
      <c r="L16" s="840">
        <f t="shared" si="3"/>
        <v>2036518</v>
      </c>
    </row>
    <row r="17" spans="1:15" ht="15" x14ac:dyDescent="0.25">
      <c r="B17" s="224">
        <f t="shared" si="5"/>
        <v>15</v>
      </c>
      <c r="C17" s="455" t="s">
        <v>561</v>
      </c>
      <c r="D17" s="562">
        <f>Výdavky!H1728</f>
        <v>157750</v>
      </c>
      <c r="E17" s="562">
        <f>Výdavky!I1728</f>
        <v>-7500</v>
      </c>
      <c r="F17" s="562">
        <f t="shared" si="0"/>
        <v>150250</v>
      </c>
      <c r="G17" s="816">
        <f>Výdavky!L1728</f>
        <v>0</v>
      </c>
      <c r="H17" s="816">
        <f>Výdavky!M1728</f>
        <v>0</v>
      </c>
      <c r="I17" s="816">
        <f t="shared" si="1"/>
        <v>0</v>
      </c>
      <c r="J17" s="840">
        <f t="shared" si="4"/>
        <v>157750</v>
      </c>
      <c r="K17" s="840">
        <f t="shared" si="4"/>
        <v>-7500</v>
      </c>
      <c r="L17" s="840">
        <f t="shared" si="3"/>
        <v>150250</v>
      </c>
    </row>
    <row r="18" spans="1:15" ht="10.5" customHeight="1" x14ac:dyDescent="0.25">
      <c r="B18" s="224">
        <f t="shared" si="5"/>
        <v>16</v>
      </c>
      <c r="C18" s="892" t="s">
        <v>192</v>
      </c>
      <c r="D18" s="900">
        <f>D3-D4</f>
        <v>3221441</v>
      </c>
      <c r="E18" s="900">
        <f t="shared" ref="E18" si="6">E3-E4</f>
        <v>-36255</v>
      </c>
      <c r="F18" s="900">
        <f t="shared" si="0"/>
        <v>3185186</v>
      </c>
      <c r="G18" s="818"/>
      <c r="H18" s="885"/>
      <c r="I18" s="885"/>
      <c r="J18" s="889"/>
      <c r="K18" s="889"/>
      <c r="L18" s="889"/>
    </row>
    <row r="19" spans="1:15" ht="6" customHeight="1" x14ac:dyDescent="0.25">
      <c r="B19" s="224">
        <f t="shared" si="5"/>
        <v>17</v>
      </c>
      <c r="C19" s="893"/>
      <c r="D19" s="901"/>
      <c r="E19" s="901"/>
      <c r="F19" s="901">
        <f t="shared" si="0"/>
        <v>0</v>
      </c>
      <c r="G19" s="819"/>
      <c r="H19" s="886"/>
      <c r="I19" s="886"/>
      <c r="J19" s="890"/>
      <c r="K19" s="890"/>
      <c r="L19" s="890"/>
    </row>
    <row r="20" spans="1:15" ht="6" customHeight="1" x14ac:dyDescent="0.25">
      <c r="B20" s="224">
        <f t="shared" si="5"/>
        <v>18</v>
      </c>
      <c r="C20" s="897" t="s">
        <v>569</v>
      </c>
      <c r="D20" s="563"/>
      <c r="E20" s="904"/>
      <c r="F20" s="904"/>
      <c r="G20" s="887">
        <f>G3-G4</f>
        <v>-1990040</v>
      </c>
      <c r="H20" s="887">
        <f t="shared" ref="H20" si="7">H3-H4</f>
        <v>36255</v>
      </c>
      <c r="I20" s="887">
        <f t="shared" si="1"/>
        <v>-1953785</v>
      </c>
      <c r="J20" s="883"/>
      <c r="K20" s="883"/>
      <c r="L20" s="883"/>
    </row>
    <row r="21" spans="1:15" ht="10.5" customHeight="1" x14ac:dyDescent="0.25">
      <c r="B21" s="224">
        <f t="shared" si="5"/>
        <v>19</v>
      </c>
      <c r="C21" s="898"/>
      <c r="D21" s="564"/>
      <c r="E21" s="905"/>
      <c r="F21" s="905"/>
      <c r="G21" s="888"/>
      <c r="H21" s="888"/>
      <c r="I21" s="888">
        <f t="shared" si="1"/>
        <v>0</v>
      </c>
      <c r="J21" s="884"/>
      <c r="K21" s="884"/>
      <c r="L21" s="884"/>
    </row>
    <row r="22" spans="1:15" ht="16.5" customHeight="1" thickBot="1" x14ac:dyDescent="0.3">
      <c r="A22" s="19"/>
      <c r="B22" s="225">
        <f>B21+1</f>
        <v>20</v>
      </c>
      <c r="C22" s="846" t="s">
        <v>570</v>
      </c>
      <c r="D22" s="565"/>
      <c r="E22" s="565"/>
      <c r="F22" s="565"/>
      <c r="G22" s="820"/>
      <c r="H22" s="824"/>
      <c r="I22" s="824"/>
      <c r="J22" s="841">
        <f>J3-J4</f>
        <v>1231401</v>
      </c>
      <c r="K22" s="841">
        <f t="shared" ref="K22" si="8">K3-K4</f>
        <v>0</v>
      </c>
      <c r="L22" s="841">
        <f t="shared" si="3"/>
        <v>1231401</v>
      </c>
    </row>
    <row r="23" spans="1:15" s="19" customFormat="1" ht="5.25" customHeight="1" thickBot="1" x14ac:dyDescent="0.25">
      <c r="A23" s="24"/>
      <c r="B23" s="595"/>
      <c r="C23" s="272"/>
      <c r="D23" s="273"/>
      <c r="E23" s="273"/>
      <c r="F23" s="273"/>
      <c r="G23" s="273"/>
      <c r="H23" s="273"/>
      <c r="I23" s="273"/>
      <c r="J23" s="247"/>
      <c r="K23" s="247"/>
      <c r="L23" s="247"/>
    </row>
    <row r="24" spans="1:15" ht="16.5" customHeight="1" thickBot="1" x14ac:dyDescent="0.25">
      <c r="A24" s="19"/>
      <c r="B24" s="902" t="s">
        <v>549</v>
      </c>
      <c r="C24" s="903"/>
      <c r="D24" s="903"/>
      <c r="E24" s="903"/>
      <c r="F24" s="903"/>
      <c r="G24" s="903"/>
      <c r="H24" s="903"/>
      <c r="I24" s="903"/>
      <c r="J24" s="903"/>
      <c r="K24" s="821"/>
      <c r="L24" s="821"/>
    </row>
    <row r="25" spans="1:15" ht="14.25" customHeight="1" thickTop="1" x14ac:dyDescent="0.25">
      <c r="A25" s="19"/>
      <c r="B25" s="453">
        <f>B22+1</f>
        <v>21</v>
      </c>
      <c r="C25" s="590" t="s">
        <v>196</v>
      </c>
      <c r="D25" s="591"/>
      <c r="E25" s="591"/>
      <c r="F25" s="591"/>
      <c r="G25" s="591"/>
      <c r="H25" s="591"/>
      <c r="I25" s="591"/>
      <c r="J25" s="621">
        <f>SUM(J26:J29)</f>
        <v>5555683</v>
      </c>
      <c r="K25" s="822">
        <f t="shared" ref="K25" si="9">SUM(K26:K29)</f>
        <v>0</v>
      </c>
      <c r="L25" s="822">
        <f>K25+J25</f>
        <v>5555683</v>
      </c>
      <c r="O25" s="17"/>
    </row>
    <row r="26" spans="1:15" ht="14.25" customHeight="1" x14ac:dyDescent="0.25">
      <c r="A26" s="19"/>
      <c r="B26" s="411">
        <f>B25+1</f>
        <v>22</v>
      </c>
      <c r="C26" s="412" t="s">
        <v>712</v>
      </c>
      <c r="D26" s="413"/>
      <c r="E26" s="413"/>
      <c r="F26" s="413"/>
      <c r="G26" s="413"/>
      <c r="H26" s="413"/>
      <c r="I26" s="413"/>
      <c r="J26" s="626">
        <f>2600000-600000</f>
        <v>2000000</v>
      </c>
      <c r="K26" s="626"/>
      <c r="L26" s="626">
        <f t="shared" ref="L26:L43" si="10">K26+J26</f>
        <v>2000000</v>
      </c>
      <c r="O26" s="17"/>
    </row>
    <row r="27" spans="1:15" ht="14.25" customHeight="1" x14ac:dyDescent="0.25">
      <c r="A27" s="19"/>
      <c r="B27" s="411">
        <f>B26+1</f>
        <v>23</v>
      </c>
      <c r="C27" s="412" t="s">
        <v>634</v>
      </c>
      <c r="D27" s="413"/>
      <c r="E27" s="413"/>
      <c r="F27" s="413"/>
      <c r="G27" s="413"/>
      <c r="H27" s="413"/>
      <c r="I27" s="413"/>
      <c r="J27" s="622">
        <f>1000000+111189</f>
        <v>1111189</v>
      </c>
      <c r="K27" s="622"/>
      <c r="L27" s="622">
        <f t="shared" si="10"/>
        <v>1111189</v>
      </c>
    </row>
    <row r="28" spans="1:15" ht="14.25" customHeight="1" x14ac:dyDescent="0.25">
      <c r="A28" s="19"/>
      <c r="B28" s="411">
        <f t="shared" ref="B28:B29" si="11">B27+1</f>
        <v>24</v>
      </c>
      <c r="C28" s="412" t="s">
        <v>799</v>
      </c>
      <c r="D28" s="413"/>
      <c r="E28" s="413"/>
      <c r="F28" s="413"/>
      <c r="G28" s="413"/>
      <c r="H28" s="413"/>
      <c r="I28" s="413"/>
      <c r="J28" s="622">
        <v>43025</v>
      </c>
      <c r="K28" s="622"/>
      <c r="L28" s="622">
        <f t="shared" si="10"/>
        <v>43025</v>
      </c>
    </row>
    <row r="29" spans="1:15" ht="14.25" customHeight="1" x14ac:dyDescent="0.25">
      <c r="A29" s="19"/>
      <c r="B29" s="411">
        <f t="shared" si="11"/>
        <v>25</v>
      </c>
      <c r="C29" s="412" t="s">
        <v>800</v>
      </c>
      <c r="D29" s="413"/>
      <c r="E29" s="413"/>
      <c r="F29" s="413"/>
      <c r="G29" s="413"/>
      <c r="H29" s="413"/>
      <c r="I29" s="413"/>
      <c r="J29" s="622">
        <v>2401469</v>
      </c>
      <c r="K29" s="622"/>
      <c r="L29" s="622">
        <f t="shared" si="10"/>
        <v>2401469</v>
      </c>
    </row>
    <row r="30" spans="1:15" ht="15.75" customHeight="1" x14ac:dyDescent="0.25">
      <c r="A30" s="19"/>
      <c r="B30" s="453">
        <v>26</v>
      </c>
      <c r="C30" s="590" t="s">
        <v>197</v>
      </c>
      <c r="D30" s="591"/>
      <c r="E30" s="591"/>
      <c r="F30" s="591"/>
      <c r="G30" s="591"/>
      <c r="H30" s="591"/>
      <c r="I30" s="591"/>
      <c r="J30" s="623">
        <f>J31+J36+J37</f>
        <v>6787084</v>
      </c>
      <c r="K30" s="823">
        <f t="shared" ref="K30" si="12">K31+K36+K37</f>
        <v>0</v>
      </c>
      <c r="L30" s="823">
        <f t="shared" si="10"/>
        <v>6787084</v>
      </c>
      <c r="O30" s="17"/>
    </row>
    <row r="31" spans="1:15" ht="14.25" customHeight="1" x14ac:dyDescent="0.25">
      <c r="A31" s="19"/>
      <c r="B31" s="222">
        <f t="shared" ref="B31:B42" si="13">B30+1</f>
        <v>27</v>
      </c>
      <c r="C31" s="127" t="s">
        <v>194</v>
      </c>
      <c r="D31" s="128"/>
      <c r="E31" s="128"/>
      <c r="F31" s="128"/>
      <c r="G31" s="128"/>
      <c r="H31" s="128"/>
      <c r="I31" s="128"/>
      <c r="J31" s="622">
        <f>SUM(J32:J35)</f>
        <v>4301789</v>
      </c>
      <c r="K31" s="622">
        <f t="shared" ref="K31" si="14">SUM(K32:K35)</f>
        <v>0</v>
      </c>
      <c r="L31" s="622">
        <f t="shared" si="10"/>
        <v>4301789</v>
      </c>
    </row>
    <row r="32" spans="1:15" ht="13.5" customHeight="1" x14ac:dyDescent="0.2">
      <c r="A32" s="19"/>
      <c r="B32" s="223">
        <f t="shared" si="13"/>
        <v>28</v>
      </c>
      <c r="C32" s="592" t="s">
        <v>198</v>
      </c>
      <c r="D32" s="121"/>
      <c r="E32" s="121"/>
      <c r="F32" s="121"/>
      <c r="G32" s="121"/>
      <c r="H32" s="121"/>
      <c r="I32" s="121"/>
      <c r="J32" s="624">
        <v>812885</v>
      </c>
      <c r="K32" s="624"/>
      <c r="L32" s="624">
        <f t="shared" si="10"/>
        <v>812885</v>
      </c>
    </row>
    <row r="33" spans="1:13" ht="13.5" customHeight="1" x14ac:dyDescent="0.2">
      <c r="A33" s="19"/>
      <c r="B33" s="223">
        <f>B32+1</f>
        <v>29</v>
      </c>
      <c r="C33" s="592" t="s">
        <v>546</v>
      </c>
      <c r="D33" s="593"/>
      <c r="E33" s="593"/>
      <c r="F33" s="593"/>
      <c r="G33" s="593"/>
      <c r="H33" s="593"/>
      <c r="I33" s="593"/>
      <c r="J33" s="624">
        <v>286495</v>
      </c>
      <c r="K33" s="624"/>
      <c r="L33" s="624">
        <f t="shared" si="10"/>
        <v>286495</v>
      </c>
    </row>
    <row r="34" spans="1:13" ht="13.5" customHeight="1" x14ac:dyDescent="0.2">
      <c r="A34" s="19"/>
      <c r="B34" s="223">
        <f t="shared" ref="B34:B35" si="15">B33+1</f>
        <v>30</v>
      </c>
      <c r="C34" s="592" t="s">
        <v>801</v>
      </c>
      <c r="D34" s="593"/>
      <c r="E34" s="593"/>
      <c r="F34" s="593"/>
      <c r="G34" s="593"/>
      <c r="H34" s="593"/>
      <c r="I34" s="593"/>
      <c r="J34" s="624">
        <v>2401469</v>
      </c>
      <c r="K34" s="624"/>
      <c r="L34" s="624">
        <f t="shared" si="10"/>
        <v>2401469</v>
      </c>
    </row>
    <row r="35" spans="1:13" ht="13.5" customHeight="1" x14ac:dyDescent="0.2">
      <c r="A35" s="19"/>
      <c r="B35" s="223">
        <f t="shared" si="15"/>
        <v>31</v>
      </c>
      <c r="C35" s="122" t="s">
        <v>193</v>
      </c>
      <c r="D35" s="121"/>
      <c r="E35" s="121"/>
      <c r="F35" s="121"/>
      <c r="G35" s="121"/>
      <c r="H35" s="121"/>
      <c r="I35" s="121"/>
      <c r="J35" s="624">
        <v>800940</v>
      </c>
      <c r="K35" s="624"/>
      <c r="L35" s="624">
        <f t="shared" si="10"/>
        <v>800940</v>
      </c>
    </row>
    <row r="36" spans="1:13" ht="14.25" customHeight="1" x14ac:dyDescent="0.25">
      <c r="A36" s="19"/>
      <c r="B36" s="223">
        <f>B35+1</f>
        <v>32</v>
      </c>
      <c r="C36" s="127" t="s">
        <v>195</v>
      </c>
      <c r="D36" s="128"/>
      <c r="E36" s="128"/>
      <c r="F36" s="128"/>
      <c r="G36" s="128"/>
      <c r="H36" s="128"/>
      <c r="I36" s="128"/>
      <c r="J36" s="622">
        <f>22000+2000</f>
        <v>24000</v>
      </c>
      <c r="K36" s="622"/>
      <c r="L36" s="622">
        <f t="shared" si="10"/>
        <v>24000</v>
      </c>
    </row>
    <row r="37" spans="1:13" ht="14.25" customHeight="1" x14ac:dyDescent="0.25">
      <c r="A37" s="19"/>
      <c r="B37" s="222">
        <f t="shared" si="13"/>
        <v>33</v>
      </c>
      <c r="C37" s="127" t="s">
        <v>737</v>
      </c>
      <c r="D37" s="128"/>
      <c r="E37" s="128"/>
      <c r="F37" s="128"/>
      <c r="G37" s="128"/>
      <c r="H37" s="128"/>
      <c r="I37" s="128"/>
      <c r="J37" s="622">
        <f>SUM(J38:J42)</f>
        <v>2461295</v>
      </c>
      <c r="K37" s="622">
        <f t="shared" ref="K37" si="16">SUM(K38:K42)</f>
        <v>0</v>
      </c>
      <c r="L37" s="622">
        <f t="shared" si="10"/>
        <v>2461295</v>
      </c>
    </row>
    <row r="38" spans="1:13" ht="14.25" customHeight="1" x14ac:dyDescent="0.2">
      <c r="A38" s="19"/>
      <c r="B38" s="223">
        <f t="shared" si="13"/>
        <v>34</v>
      </c>
      <c r="C38" s="592" t="s">
        <v>738</v>
      </c>
      <c r="D38" s="121"/>
      <c r="E38" s="121"/>
      <c r="F38" s="121"/>
      <c r="G38" s="121"/>
      <c r="H38" s="121"/>
      <c r="I38" s="121"/>
      <c r="J38" s="624">
        <v>228816</v>
      </c>
      <c r="K38" s="624"/>
      <c r="L38" s="624">
        <f t="shared" si="10"/>
        <v>228816</v>
      </c>
    </row>
    <row r="39" spans="1:13" ht="14.25" customHeight="1" x14ac:dyDescent="0.2">
      <c r="A39" s="19"/>
      <c r="B39" s="223">
        <f>B38+1</f>
        <v>35</v>
      </c>
      <c r="C39" s="592" t="s">
        <v>739</v>
      </c>
      <c r="D39" s="593"/>
      <c r="E39" s="593"/>
      <c r="F39" s="593"/>
      <c r="G39" s="593"/>
      <c r="H39" s="593"/>
      <c r="I39" s="593"/>
      <c r="J39" s="624">
        <v>1162800</v>
      </c>
      <c r="K39" s="624"/>
      <c r="L39" s="624">
        <f t="shared" si="10"/>
        <v>1162800</v>
      </c>
    </row>
    <row r="40" spans="1:13" ht="14.25" customHeight="1" x14ac:dyDescent="0.2">
      <c r="A40" s="19"/>
      <c r="B40" s="223">
        <f t="shared" si="13"/>
        <v>36</v>
      </c>
      <c r="C40" s="122" t="s">
        <v>740</v>
      </c>
      <c r="D40" s="121"/>
      <c r="E40" s="121"/>
      <c r="F40" s="121"/>
      <c r="G40" s="121"/>
      <c r="H40" s="121"/>
      <c r="I40" s="121"/>
      <c r="J40" s="624">
        <v>885000</v>
      </c>
      <c r="K40" s="624"/>
      <c r="L40" s="624">
        <f t="shared" si="10"/>
        <v>885000</v>
      </c>
    </row>
    <row r="41" spans="1:13" ht="14.25" customHeight="1" x14ac:dyDescent="0.2">
      <c r="A41" s="19"/>
      <c r="B41" s="223">
        <f t="shared" si="13"/>
        <v>37</v>
      </c>
      <c r="C41" s="122" t="s">
        <v>740</v>
      </c>
      <c r="D41" s="121"/>
      <c r="E41" s="121"/>
      <c r="F41" s="121"/>
      <c r="G41" s="121"/>
      <c r="H41" s="121"/>
      <c r="I41" s="121"/>
      <c r="J41" s="624">
        <v>58679</v>
      </c>
      <c r="K41" s="624"/>
      <c r="L41" s="624">
        <f t="shared" si="10"/>
        <v>58679</v>
      </c>
    </row>
    <row r="42" spans="1:13" ht="14.25" customHeight="1" thickBot="1" x14ac:dyDescent="0.25">
      <c r="A42" s="19"/>
      <c r="B42" s="223">
        <f t="shared" si="13"/>
        <v>38</v>
      </c>
      <c r="C42" s="122" t="s">
        <v>740</v>
      </c>
      <c r="D42" s="121"/>
      <c r="E42" s="121"/>
      <c r="F42" s="121"/>
      <c r="G42" s="121"/>
      <c r="H42" s="121"/>
      <c r="I42" s="121"/>
      <c r="J42" s="624">
        <v>126000</v>
      </c>
      <c r="K42" s="624"/>
      <c r="L42" s="624">
        <f t="shared" si="10"/>
        <v>126000</v>
      </c>
    </row>
    <row r="43" spans="1:13" ht="20.25" customHeight="1" thickTop="1" thickBot="1" x14ac:dyDescent="0.3">
      <c r="A43" s="19"/>
      <c r="B43" s="221">
        <f>B36+1</f>
        <v>33</v>
      </c>
      <c r="C43" s="594" t="s">
        <v>187</v>
      </c>
      <c r="D43" s="174"/>
      <c r="E43" s="174"/>
      <c r="F43" s="174"/>
      <c r="G43" s="174"/>
      <c r="H43" s="174"/>
      <c r="I43" s="174"/>
      <c r="J43" s="625">
        <f>J22+J25-J30</f>
        <v>0</v>
      </c>
      <c r="K43" s="625">
        <f>K22+K25-K30</f>
        <v>0</v>
      </c>
      <c r="L43" s="625">
        <f t="shared" si="10"/>
        <v>0</v>
      </c>
      <c r="M43" s="17"/>
    </row>
    <row r="44" spans="1:13" ht="4.5" customHeight="1" x14ac:dyDescent="0.2">
      <c r="A44" s="19"/>
      <c r="B44" s="274"/>
      <c r="C44" s="275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1:13" ht="27.75" customHeight="1" x14ac:dyDescent="0.2">
      <c r="A45" s="19"/>
      <c r="B45" s="899" t="s">
        <v>190</v>
      </c>
      <c r="C45" s="899"/>
      <c r="D45" s="899"/>
      <c r="E45" s="899"/>
      <c r="F45" s="899"/>
      <c r="G45" s="899"/>
      <c r="H45" s="899"/>
      <c r="I45" s="899"/>
      <c r="J45" s="899"/>
      <c r="K45" s="765"/>
      <c r="L45" s="765"/>
    </row>
    <row r="46" spans="1:13" ht="27" customHeight="1" x14ac:dyDescent="0.2">
      <c r="A46" s="19"/>
      <c r="B46" s="891" t="s">
        <v>633</v>
      </c>
      <c r="C46" s="891"/>
      <c r="D46" s="891"/>
      <c r="E46" s="891"/>
      <c r="F46" s="891"/>
      <c r="G46" s="891"/>
      <c r="H46" s="891"/>
      <c r="I46" s="891"/>
      <c r="J46" s="891"/>
      <c r="K46" s="891"/>
      <c r="L46" s="891"/>
    </row>
    <row r="47" spans="1:13" x14ac:dyDescent="0.2">
      <c r="C47" s="132"/>
    </row>
    <row r="48" spans="1:13" x14ac:dyDescent="0.2">
      <c r="C48" s="132"/>
    </row>
    <row r="49" spans="3:3" x14ac:dyDescent="0.2">
      <c r="C49" s="132"/>
    </row>
    <row r="50" spans="3:3" x14ac:dyDescent="0.2">
      <c r="C50" s="132"/>
    </row>
    <row r="51" spans="3:3" x14ac:dyDescent="0.2">
      <c r="C51" s="132"/>
    </row>
    <row r="52" spans="3:3" x14ac:dyDescent="0.2">
      <c r="C52" s="132"/>
    </row>
    <row r="53" spans="3:3" x14ac:dyDescent="0.2">
      <c r="C53" s="132"/>
    </row>
    <row r="54" spans="3:3" x14ac:dyDescent="0.2">
      <c r="C54" s="132"/>
    </row>
    <row r="55" spans="3:3" x14ac:dyDescent="0.2">
      <c r="C55" s="132"/>
    </row>
    <row r="56" spans="3:3" x14ac:dyDescent="0.2">
      <c r="C56" s="132"/>
    </row>
    <row r="57" spans="3:3" x14ac:dyDescent="0.2">
      <c r="C57" s="132"/>
    </row>
    <row r="58" spans="3:3" x14ac:dyDescent="0.2">
      <c r="C58" s="132"/>
    </row>
    <row r="59" spans="3:3" x14ac:dyDescent="0.2">
      <c r="C59" s="132"/>
    </row>
    <row r="60" spans="3:3" x14ac:dyDescent="0.2">
      <c r="C60" s="132"/>
    </row>
    <row r="61" spans="3:3" x14ac:dyDescent="0.2">
      <c r="C61" s="132"/>
    </row>
  </sheetData>
  <mergeCells count="23">
    <mergeCell ref="B46:L46"/>
    <mergeCell ref="C18:C19"/>
    <mergeCell ref="B2:C2"/>
    <mergeCell ref="B1:J1"/>
    <mergeCell ref="G20:G21"/>
    <mergeCell ref="C20:C21"/>
    <mergeCell ref="B45:J45"/>
    <mergeCell ref="D18:D19"/>
    <mergeCell ref="B24:J24"/>
    <mergeCell ref="J20:J21"/>
    <mergeCell ref="J18:J19"/>
    <mergeCell ref="E18:E19"/>
    <mergeCell ref="F18:F19"/>
    <mergeCell ref="E20:E21"/>
    <mergeCell ref="F20:F21"/>
    <mergeCell ref="L18:L19"/>
    <mergeCell ref="K20:K21"/>
    <mergeCell ref="L20:L21"/>
    <mergeCell ref="H18:H19"/>
    <mergeCell ref="I18:I19"/>
    <mergeCell ref="H20:H21"/>
    <mergeCell ref="I20:I21"/>
    <mergeCell ref="K18:K19"/>
  </mergeCells>
  <phoneticPr fontId="1" type="noConversion"/>
  <pageMargins left="0.55118110236220474" right="0.19685039370078741" top="0.35" bottom="0.15748031496062992" header="0.28999999999999998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Žilková Andrea, Ing.</cp:lastModifiedBy>
  <cp:lastPrinted>2015-08-31T06:40:08Z</cp:lastPrinted>
  <dcterms:created xsi:type="dcterms:W3CDTF">2006-06-21T07:20:26Z</dcterms:created>
  <dcterms:modified xsi:type="dcterms:W3CDTF">2015-09-07T05:53:00Z</dcterms:modified>
</cp:coreProperties>
</file>