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meny rozpočtu\zmena rozpočtu jún 2016\"/>
    </mc:Choice>
  </mc:AlternateContent>
  <bookViews>
    <workbookView xWindow="0" yWindow="0" windowWidth="15360" windowHeight="7320" tabRatio="984" activeTab="2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Príjmy!$B$3:$J$444</definedName>
    <definedName name="_xlnm.Print_Area" localSheetId="2">Sumarizácia!$C$2:$M$40</definedName>
    <definedName name="_xlnm.Print_Area" localSheetId="1">Výdavky!$B$1:$S$1997</definedName>
  </definedNames>
  <calcPr calcId="152511"/>
</workbook>
</file>

<file path=xl/calcChain.xml><?xml version="1.0" encoding="utf-8"?>
<calcChain xmlns="http://schemas.openxmlformats.org/spreadsheetml/2006/main">
  <c r="Q1181" i="7" l="1"/>
  <c r="R1181" i="7"/>
  <c r="Q660" i="7" l="1"/>
  <c r="R660" i="7"/>
  <c r="I352" i="2" l="1"/>
  <c r="J858" i="7"/>
  <c r="J857" i="7"/>
  <c r="N707" i="7" l="1"/>
  <c r="R388" i="7" l="1"/>
  <c r="Q388" i="7"/>
  <c r="O388" i="7"/>
  <c r="N387" i="7"/>
  <c r="R387" i="7" s="1"/>
  <c r="K387" i="7"/>
  <c r="N515" i="7"/>
  <c r="R540" i="7"/>
  <c r="O540" i="7"/>
  <c r="Q540" i="7"/>
  <c r="N995" i="7"/>
  <c r="Q997" i="7"/>
  <c r="R997" i="7"/>
  <c r="O997" i="7"/>
  <c r="S997" i="7" s="1"/>
  <c r="S540" i="7" l="1"/>
  <c r="S388" i="7"/>
  <c r="J1176" i="7"/>
  <c r="B401" i="2" l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378" i="2" l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I383" i="2"/>
  <c r="J385" i="2"/>
  <c r="I384" i="2"/>
  <c r="H384" i="2"/>
  <c r="J384" i="2" s="1"/>
  <c r="J364" i="2"/>
  <c r="I363" i="2"/>
  <c r="I362" i="2" s="1"/>
  <c r="H363" i="2"/>
  <c r="J363" i="2" s="1"/>
  <c r="H362" i="2"/>
  <c r="H361" i="2" s="1"/>
  <c r="I139" i="2"/>
  <c r="J140" i="2"/>
  <c r="J410" i="2"/>
  <c r="I409" i="2"/>
  <c r="H409" i="2"/>
  <c r="I377" i="2"/>
  <c r="J378" i="2"/>
  <c r="H377" i="2"/>
  <c r="J1438" i="7"/>
  <c r="J1437" i="7"/>
  <c r="J678" i="7"/>
  <c r="Q681" i="7"/>
  <c r="R681" i="7"/>
  <c r="K681" i="7"/>
  <c r="S681" i="7" s="1"/>
  <c r="R1022" i="7"/>
  <c r="K1022" i="7"/>
  <c r="S1022" i="7" s="1"/>
  <c r="Q1022" i="7"/>
  <c r="R1340" i="7"/>
  <c r="Q1340" i="7"/>
  <c r="O1340" i="7"/>
  <c r="S1340" i="7" s="1"/>
  <c r="K1340" i="7"/>
  <c r="R1332" i="7"/>
  <c r="Q1332" i="7"/>
  <c r="O1332" i="7"/>
  <c r="S1332" i="7" s="1"/>
  <c r="K1332" i="7"/>
  <c r="R963" i="7"/>
  <c r="K963" i="7"/>
  <c r="S963" i="7" s="1"/>
  <c r="Q963" i="7"/>
  <c r="R940" i="7"/>
  <c r="K940" i="7"/>
  <c r="S940" i="7" s="1"/>
  <c r="Q940" i="7"/>
  <c r="R990" i="7"/>
  <c r="K990" i="7"/>
  <c r="S990" i="7" s="1"/>
  <c r="Q990" i="7"/>
  <c r="R1074" i="7"/>
  <c r="Q1074" i="7"/>
  <c r="K1074" i="7"/>
  <c r="S1074" i="7" s="1"/>
  <c r="J1066" i="7"/>
  <c r="R1070" i="7"/>
  <c r="K1070" i="7"/>
  <c r="S1070" i="7" s="1"/>
  <c r="Q1070" i="7"/>
  <c r="R910" i="7"/>
  <c r="K910" i="7"/>
  <c r="S910" i="7" s="1"/>
  <c r="Q910" i="7"/>
  <c r="R1048" i="7"/>
  <c r="K1048" i="7"/>
  <c r="S1048" i="7" s="1"/>
  <c r="Q1048" i="7"/>
  <c r="Q888" i="7"/>
  <c r="R888" i="7"/>
  <c r="K888" i="7"/>
  <c r="S888" i="7" s="1"/>
  <c r="J880" i="7"/>
  <c r="Q884" i="7"/>
  <c r="R884" i="7"/>
  <c r="K884" i="7"/>
  <c r="S884" i="7" s="1"/>
  <c r="J651" i="7"/>
  <c r="K660" i="7"/>
  <c r="S660" i="7" s="1"/>
  <c r="J1581" i="7"/>
  <c r="O507" i="7"/>
  <c r="R507" i="7"/>
  <c r="R404" i="7"/>
  <c r="Q404" i="7"/>
  <c r="O404" i="7"/>
  <c r="K404" i="7"/>
  <c r="I325" i="2"/>
  <c r="J326" i="2"/>
  <c r="I311" i="2"/>
  <c r="J312" i="2"/>
  <c r="I296" i="2"/>
  <c r="J298" i="2"/>
  <c r="J297" i="2"/>
  <c r="I282" i="2"/>
  <c r="J283" i="2"/>
  <c r="I266" i="2"/>
  <c r="J269" i="2"/>
  <c r="J268" i="2"/>
  <c r="J267" i="2"/>
  <c r="I245" i="2"/>
  <c r="J246" i="2"/>
  <c r="I231" i="2"/>
  <c r="J232" i="2"/>
  <c r="Q1904" i="7"/>
  <c r="R1904" i="7"/>
  <c r="O1904" i="7"/>
  <c r="S1904" i="7" s="1"/>
  <c r="N1902" i="7"/>
  <c r="N1662" i="7"/>
  <c r="N1661" i="7" s="1"/>
  <c r="N1655" i="7" s="1"/>
  <c r="M1661" i="7"/>
  <c r="R1663" i="7"/>
  <c r="Q1663" i="7"/>
  <c r="O1663" i="7"/>
  <c r="K1661" i="7"/>
  <c r="J369" i="2"/>
  <c r="I368" i="2"/>
  <c r="I367" i="2" s="1"/>
  <c r="I366" i="2" s="1"/>
  <c r="I365" i="2" s="1"/>
  <c r="H367" i="2"/>
  <c r="H366" i="2" s="1"/>
  <c r="H365" i="2" s="1"/>
  <c r="J368" i="2" l="1"/>
  <c r="J409" i="2"/>
  <c r="J362" i="2"/>
  <c r="J361" i="2"/>
  <c r="I361" i="2"/>
  <c r="J377" i="2"/>
  <c r="S404" i="7"/>
  <c r="O1662" i="7"/>
  <c r="S1662" i="7" s="1"/>
  <c r="S1663" i="7"/>
  <c r="Q1661" i="7"/>
  <c r="Q1662" i="7"/>
  <c r="R1661" i="7"/>
  <c r="R1662" i="7"/>
  <c r="M31" i="8"/>
  <c r="M32" i="8"/>
  <c r="M33" i="8"/>
  <c r="M34" i="8"/>
  <c r="M25" i="8"/>
  <c r="I6" i="8"/>
  <c r="L22" i="8"/>
  <c r="L29" i="8"/>
  <c r="O1997" i="7"/>
  <c r="O1996" i="7"/>
  <c r="O1995" i="7"/>
  <c r="O1994" i="7"/>
  <c r="O1993" i="7"/>
  <c r="O1992" i="7"/>
  <c r="O1991" i="7"/>
  <c r="O1988" i="7"/>
  <c r="O1987" i="7"/>
  <c r="O1944" i="7"/>
  <c r="O1943" i="7"/>
  <c r="O1942" i="7"/>
  <c r="O1941" i="7"/>
  <c r="O1940" i="7"/>
  <c r="O1939" i="7"/>
  <c r="O1938" i="7"/>
  <c r="O1936" i="7"/>
  <c r="O1935" i="7"/>
  <c r="O1934" i="7"/>
  <c r="O1932" i="7"/>
  <c r="O1931" i="7"/>
  <c r="O1930" i="7"/>
  <c r="O1929" i="7"/>
  <c r="O1928" i="7"/>
  <c r="O1927" i="7"/>
  <c r="O1926" i="7"/>
  <c r="O1923" i="7"/>
  <c r="O1921" i="7"/>
  <c r="O1920" i="7"/>
  <c r="O1917" i="7"/>
  <c r="O1914" i="7"/>
  <c r="O1913" i="7"/>
  <c r="O1912" i="7"/>
  <c r="O1911" i="7"/>
  <c r="O1910" i="7"/>
  <c r="O1908" i="7"/>
  <c r="O1907" i="7"/>
  <c r="O1903" i="7"/>
  <c r="O1900" i="7"/>
  <c r="O1899" i="7"/>
  <c r="O1898" i="7"/>
  <c r="O1897" i="7"/>
  <c r="O1896" i="7"/>
  <c r="O1895" i="7"/>
  <c r="O1894" i="7"/>
  <c r="O1892" i="7"/>
  <c r="O1891" i="7"/>
  <c r="O1889" i="7"/>
  <c r="O1888" i="7"/>
  <c r="O1887" i="7"/>
  <c r="O1886" i="7"/>
  <c r="O1884" i="7"/>
  <c r="O1882" i="7"/>
  <c r="O1881" i="7"/>
  <c r="O1880" i="7"/>
  <c r="O1879" i="7"/>
  <c r="O1876" i="7"/>
  <c r="O1875" i="7"/>
  <c r="O1874" i="7"/>
  <c r="O1871" i="7"/>
  <c r="O1870" i="7"/>
  <c r="O1869" i="7"/>
  <c r="O1868" i="7"/>
  <c r="O1867" i="7"/>
  <c r="O1866" i="7"/>
  <c r="O1865" i="7"/>
  <c r="O1863" i="7"/>
  <c r="O1862" i="7"/>
  <c r="O1861" i="7"/>
  <c r="O1860" i="7"/>
  <c r="O1859" i="7"/>
  <c r="O1858" i="7"/>
  <c r="O1857" i="7"/>
  <c r="O1856" i="7"/>
  <c r="O1855" i="7"/>
  <c r="O1854" i="7"/>
  <c r="O1853" i="7"/>
  <c r="O1852" i="7"/>
  <c r="O1851" i="7"/>
  <c r="O1850" i="7"/>
  <c r="O1849" i="7"/>
  <c r="O1848" i="7"/>
  <c r="O1847" i="7"/>
  <c r="O1846" i="7"/>
  <c r="O1845" i="7"/>
  <c r="O1844" i="7"/>
  <c r="O1840" i="7"/>
  <c r="O1839" i="7"/>
  <c r="O1838" i="7"/>
  <c r="O1837" i="7"/>
  <c r="O1835" i="7"/>
  <c r="O1834" i="7"/>
  <c r="O1831" i="7"/>
  <c r="O1830" i="7"/>
  <c r="O1829" i="7"/>
  <c r="O1828" i="7"/>
  <c r="O1827" i="7"/>
  <c r="O1826" i="7"/>
  <c r="O1825" i="7"/>
  <c r="O1824" i="7"/>
  <c r="O1823" i="7"/>
  <c r="O1822" i="7"/>
  <c r="O1821" i="7"/>
  <c r="O1820" i="7"/>
  <c r="O1819" i="7"/>
  <c r="O1818" i="7"/>
  <c r="O1817" i="7"/>
  <c r="O1815" i="7"/>
  <c r="O1814" i="7"/>
  <c r="O1813" i="7"/>
  <c r="O1812" i="7"/>
  <c r="O1811" i="7"/>
  <c r="O1809" i="7"/>
  <c r="O1808" i="7"/>
  <c r="O1769" i="7"/>
  <c r="O1768" i="7"/>
  <c r="O1767" i="7"/>
  <c r="O1766" i="7"/>
  <c r="O1765" i="7"/>
  <c r="O1764" i="7"/>
  <c r="O1763" i="7"/>
  <c r="O1761" i="7"/>
  <c r="O1760" i="7"/>
  <c r="O1759" i="7"/>
  <c r="O1757" i="7"/>
  <c r="S1757" i="7" s="1"/>
  <c r="O1754" i="7"/>
  <c r="O1753" i="7"/>
  <c r="O1752" i="7"/>
  <c r="O1750" i="7"/>
  <c r="O1749" i="7"/>
  <c r="O1746" i="7"/>
  <c r="O1743" i="7"/>
  <c r="O1742" i="7"/>
  <c r="O1740" i="7"/>
  <c r="O1739" i="7"/>
  <c r="O1736" i="7"/>
  <c r="O1733" i="7"/>
  <c r="O1731" i="7"/>
  <c r="O1729" i="7"/>
  <c r="O1728" i="7"/>
  <c r="O1727" i="7"/>
  <c r="O1726" i="7"/>
  <c r="O1725" i="7"/>
  <c r="O1724" i="7"/>
  <c r="O1723" i="7"/>
  <c r="O1722" i="7"/>
  <c r="O1721" i="7"/>
  <c r="O1719" i="7"/>
  <c r="O1718" i="7"/>
  <c r="O1717" i="7"/>
  <c r="O1716" i="7"/>
  <c r="O1715" i="7"/>
  <c r="O1714" i="7"/>
  <c r="O1713" i="7"/>
  <c r="O1712" i="7"/>
  <c r="O1711" i="7"/>
  <c r="O1710" i="7"/>
  <c r="O1708" i="7"/>
  <c r="O1707" i="7"/>
  <c r="O1706" i="7"/>
  <c r="O1705" i="7"/>
  <c r="O1704" i="7"/>
  <c r="O1703" i="7"/>
  <c r="O1702" i="7"/>
  <c r="O1701" i="7"/>
  <c r="O1698" i="7"/>
  <c r="O1695" i="7"/>
  <c r="O1694" i="7"/>
  <c r="O1693" i="7"/>
  <c r="O1692" i="7"/>
  <c r="O1691" i="7"/>
  <c r="O1690" i="7"/>
  <c r="O1689" i="7"/>
  <c r="O1677" i="7"/>
  <c r="O1676" i="7"/>
  <c r="O1673" i="7"/>
  <c r="O1672" i="7"/>
  <c r="O1671" i="7"/>
  <c r="O1670" i="7"/>
  <c r="O1669" i="7"/>
  <c r="O1668" i="7"/>
  <c r="O1667" i="7"/>
  <c r="O1666" i="7"/>
  <c r="O1660" i="7"/>
  <c r="O1659" i="7"/>
  <c r="O1658" i="7"/>
  <c r="O1657" i="7"/>
  <c r="O1656" i="7"/>
  <c r="O1655" i="7"/>
  <c r="O1654" i="7"/>
  <c r="O1653" i="7"/>
  <c r="O1652" i="7"/>
  <c r="O1651" i="7"/>
  <c r="O1650" i="7"/>
  <c r="O1649" i="7"/>
  <c r="O1648" i="7"/>
  <c r="O1647" i="7"/>
  <c r="O1646" i="7"/>
  <c r="O1645" i="7"/>
  <c r="O1644" i="7"/>
  <c r="O1643" i="7"/>
  <c r="O1642" i="7"/>
  <c r="O1641" i="7"/>
  <c r="O1639" i="7"/>
  <c r="O1638" i="7"/>
  <c r="O1637" i="7"/>
  <c r="O1636" i="7"/>
  <c r="O1635" i="7"/>
  <c r="O1634" i="7"/>
  <c r="O1633" i="7"/>
  <c r="O1632" i="7"/>
  <c r="O1631" i="7"/>
  <c r="O1612" i="7"/>
  <c r="O1611" i="7"/>
  <c r="O1610" i="7"/>
  <c r="O1609" i="7"/>
  <c r="O1608" i="7"/>
  <c r="O1606" i="7"/>
  <c r="O1605" i="7"/>
  <c r="O1603" i="7"/>
  <c r="O1602" i="7"/>
  <c r="S1602" i="7" s="1"/>
  <c r="O1599" i="7"/>
  <c r="O1598" i="7"/>
  <c r="O1596" i="7"/>
  <c r="O1592" i="7"/>
  <c r="O1591" i="7"/>
  <c r="O1590" i="7"/>
  <c r="O1589" i="7"/>
  <c r="O1588" i="7"/>
  <c r="O1587" i="7"/>
  <c r="O1586" i="7"/>
  <c r="O1585" i="7"/>
  <c r="O1584" i="7"/>
  <c r="O1583" i="7"/>
  <c r="O1582" i="7"/>
  <c r="O1581" i="7"/>
  <c r="O1580" i="7"/>
  <c r="O1579" i="7"/>
  <c r="O1578" i="7"/>
  <c r="O1577" i="7"/>
  <c r="O1576" i="7"/>
  <c r="O1575" i="7"/>
  <c r="O1574" i="7"/>
  <c r="O1573" i="7"/>
  <c r="O1569" i="7"/>
  <c r="O1568" i="7"/>
  <c r="O1565" i="7"/>
  <c r="O1564" i="7"/>
  <c r="O1563" i="7"/>
  <c r="O1562" i="7"/>
  <c r="O1561" i="7"/>
  <c r="O1560" i="7"/>
  <c r="O1558" i="7"/>
  <c r="O1557" i="7"/>
  <c r="O1551" i="7"/>
  <c r="O1550" i="7"/>
  <c r="O1547" i="7"/>
  <c r="O1544" i="7"/>
  <c r="O1543" i="7"/>
  <c r="O1540" i="7"/>
  <c r="O1539" i="7"/>
  <c r="O1538" i="7"/>
  <c r="O1537" i="7"/>
  <c r="O1536" i="7"/>
  <c r="O1533" i="7"/>
  <c r="O1532" i="7"/>
  <c r="O1531" i="7"/>
  <c r="O1528" i="7"/>
  <c r="O1527" i="7"/>
  <c r="O1526" i="7"/>
  <c r="O1525" i="7"/>
  <c r="O1524" i="7"/>
  <c r="O1523" i="7"/>
  <c r="O1522" i="7"/>
  <c r="O1521" i="7"/>
  <c r="O1520" i="7"/>
  <c r="O1519" i="7"/>
  <c r="O1516" i="7"/>
  <c r="O1515" i="7"/>
  <c r="O1446" i="7"/>
  <c r="O1445" i="7"/>
  <c r="O1444" i="7"/>
  <c r="O1443" i="7"/>
  <c r="O1442" i="7"/>
  <c r="O1441" i="7"/>
  <c r="O1440" i="7"/>
  <c r="O1438" i="7"/>
  <c r="O1437" i="7"/>
  <c r="O1435" i="7"/>
  <c r="O1434" i="7"/>
  <c r="O1433" i="7"/>
  <c r="O1432" i="7"/>
  <c r="O1431" i="7"/>
  <c r="O1430" i="7"/>
  <c r="O1429" i="7"/>
  <c r="O1428" i="7"/>
  <c r="O1426" i="7"/>
  <c r="O1425" i="7"/>
  <c r="O1423" i="7"/>
  <c r="O1421" i="7"/>
  <c r="O1417" i="7"/>
  <c r="O1416" i="7"/>
  <c r="O1415" i="7"/>
  <c r="O1414" i="7"/>
  <c r="O1413" i="7"/>
  <c r="O1412" i="7"/>
  <c r="O1410" i="7"/>
  <c r="O1409" i="7"/>
  <c r="O1408" i="7"/>
  <c r="O1407" i="7"/>
  <c r="O1406" i="7"/>
  <c r="O1405" i="7"/>
  <c r="O1403" i="7"/>
  <c r="O1402" i="7"/>
  <c r="O1398" i="7"/>
  <c r="O1395" i="7"/>
  <c r="O1394" i="7"/>
  <c r="O1393" i="7"/>
  <c r="O1392" i="7"/>
  <c r="O1391" i="7"/>
  <c r="O1390" i="7"/>
  <c r="O1388" i="7"/>
  <c r="O1387" i="7"/>
  <c r="O1386" i="7"/>
  <c r="O1385" i="7"/>
  <c r="O1384" i="7"/>
  <c r="O1383" i="7"/>
  <c r="O1382" i="7"/>
  <c r="O1381" i="7"/>
  <c r="O1379" i="7"/>
  <c r="O1378" i="7"/>
  <c r="O1376" i="7"/>
  <c r="O1375" i="7"/>
  <c r="O1374" i="7"/>
  <c r="O1373" i="7"/>
  <c r="O1372" i="7"/>
  <c r="O1371" i="7"/>
  <c r="O1369" i="7"/>
  <c r="O1368" i="7"/>
  <c r="O1367" i="7"/>
  <c r="O1366" i="7"/>
  <c r="O1365" i="7"/>
  <c r="O1364" i="7"/>
  <c r="O1363" i="7"/>
  <c r="O1362" i="7"/>
  <c r="O1360" i="7"/>
  <c r="O1359" i="7"/>
  <c r="O1357" i="7"/>
  <c r="O1356" i="7"/>
  <c r="O1355" i="7"/>
  <c r="O1354" i="7"/>
  <c r="O1353" i="7"/>
  <c r="O1351" i="7"/>
  <c r="O1350" i="7"/>
  <c r="O1349" i="7"/>
  <c r="O1348" i="7"/>
  <c r="O1347" i="7"/>
  <c r="O1346" i="7"/>
  <c r="O1345" i="7"/>
  <c r="O1343" i="7"/>
  <c r="O1342" i="7"/>
  <c r="O1339" i="7"/>
  <c r="O1338" i="7"/>
  <c r="O1337" i="7"/>
  <c r="O1336" i="7"/>
  <c r="O1334" i="7"/>
  <c r="O1333" i="7"/>
  <c r="O1331" i="7"/>
  <c r="O1330" i="7"/>
  <c r="O1329" i="7"/>
  <c r="O1328" i="7"/>
  <c r="O1326" i="7"/>
  <c r="O1325" i="7"/>
  <c r="O1323" i="7"/>
  <c r="O1321" i="7"/>
  <c r="O1318" i="7"/>
  <c r="O1317" i="7"/>
  <c r="O1316" i="7"/>
  <c r="O1315" i="7"/>
  <c r="O1314" i="7"/>
  <c r="O1312" i="7"/>
  <c r="O1311" i="7"/>
  <c r="O1310" i="7"/>
  <c r="O1309" i="7"/>
  <c r="O1308" i="7"/>
  <c r="O1307" i="7"/>
  <c r="O1306" i="7"/>
  <c r="O1304" i="7"/>
  <c r="O1303" i="7"/>
  <c r="O1301" i="7"/>
  <c r="O1300" i="7"/>
  <c r="O1299" i="7"/>
  <c r="O1298" i="7"/>
  <c r="O1297" i="7"/>
  <c r="O1295" i="7"/>
  <c r="O1294" i="7"/>
  <c r="O1293" i="7"/>
  <c r="O1292" i="7"/>
  <c r="O1291" i="7"/>
  <c r="O1290" i="7"/>
  <c r="O1289" i="7"/>
  <c r="O1287" i="7"/>
  <c r="O1286" i="7"/>
  <c r="O1284" i="7"/>
  <c r="O1283" i="7"/>
  <c r="O1282" i="7"/>
  <c r="O1281" i="7"/>
  <c r="O1279" i="7"/>
  <c r="O1278" i="7"/>
  <c r="O1276" i="7"/>
  <c r="O1275" i="7"/>
  <c r="O1274" i="7"/>
  <c r="O1272" i="7"/>
  <c r="O1271" i="7"/>
  <c r="O1269" i="7"/>
  <c r="O1268" i="7"/>
  <c r="O1267" i="7"/>
  <c r="O1265" i="7"/>
  <c r="O1264" i="7"/>
  <c r="O1262" i="7"/>
  <c r="O1261" i="7"/>
  <c r="O1260" i="7"/>
  <c r="O1258" i="7"/>
  <c r="O1257" i="7"/>
  <c r="O1255" i="7"/>
  <c r="O1254" i="7"/>
  <c r="O1253" i="7"/>
  <c r="O1251" i="7"/>
  <c r="O1250" i="7"/>
  <c r="O1248" i="7"/>
  <c r="O1247" i="7"/>
  <c r="O1246" i="7"/>
  <c r="O1245" i="7"/>
  <c r="O1243" i="7"/>
  <c r="O1242" i="7"/>
  <c r="O1240" i="7"/>
  <c r="O1239" i="7"/>
  <c r="O1238" i="7"/>
  <c r="O1236" i="7"/>
  <c r="O1235" i="7"/>
  <c r="O1233" i="7"/>
  <c r="O1232" i="7"/>
  <c r="O1231" i="7"/>
  <c r="O1229" i="7"/>
  <c r="O1228" i="7"/>
  <c r="O1227" i="7"/>
  <c r="O1226" i="7"/>
  <c r="O1225" i="7"/>
  <c r="O1224" i="7"/>
  <c r="O1222" i="7"/>
  <c r="O1221" i="7"/>
  <c r="O1220" i="7"/>
  <c r="O1219" i="7"/>
  <c r="O1218" i="7"/>
  <c r="O1217" i="7"/>
  <c r="O1215" i="7"/>
  <c r="O1214" i="7"/>
  <c r="O1213" i="7"/>
  <c r="O1212" i="7"/>
  <c r="O1211" i="7"/>
  <c r="O1210" i="7"/>
  <c r="O1208" i="7"/>
  <c r="O1207" i="7"/>
  <c r="O1205" i="7"/>
  <c r="O1204" i="7"/>
  <c r="O1203" i="7"/>
  <c r="O1201" i="7"/>
  <c r="O1200" i="7"/>
  <c r="O1199" i="7"/>
  <c r="O1198" i="7"/>
  <c r="O1197" i="7"/>
  <c r="O1196" i="7"/>
  <c r="O1194" i="7"/>
  <c r="O1193" i="7"/>
  <c r="O1192" i="7"/>
  <c r="O1191" i="7"/>
  <c r="O1190" i="7"/>
  <c r="O1189" i="7"/>
  <c r="O1187" i="7"/>
  <c r="O1186" i="7"/>
  <c r="O1183" i="7"/>
  <c r="O1182" i="7"/>
  <c r="O1181" i="7"/>
  <c r="O1180" i="7"/>
  <c r="O1179" i="7"/>
  <c r="O1178" i="7"/>
  <c r="O1176" i="7"/>
  <c r="O1175" i="7"/>
  <c r="O1174" i="7"/>
  <c r="O1173" i="7"/>
  <c r="O1172" i="7"/>
  <c r="O1171" i="7"/>
  <c r="O1170" i="7"/>
  <c r="O1168" i="7"/>
  <c r="O1167" i="7"/>
  <c r="O1166" i="7"/>
  <c r="O1165" i="7"/>
  <c r="O1164" i="7"/>
  <c r="O1163" i="7"/>
  <c r="O1162" i="7"/>
  <c r="O1160" i="7"/>
  <c r="O1159" i="7"/>
  <c r="O1157" i="7"/>
  <c r="O1156" i="7"/>
  <c r="O1155" i="7"/>
  <c r="O1154" i="7"/>
  <c r="O1152" i="7"/>
  <c r="O1151" i="7"/>
  <c r="O1149" i="7"/>
  <c r="O1148" i="7"/>
  <c r="O1147" i="7"/>
  <c r="O1146" i="7"/>
  <c r="O1144" i="7"/>
  <c r="O1143" i="7"/>
  <c r="O1141" i="7"/>
  <c r="O1140" i="7"/>
  <c r="O1139" i="7"/>
  <c r="O1138" i="7"/>
  <c r="O1136" i="7"/>
  <c r="O1135" i="7"/>
  <c r="O1133" i="7"/>
  <c r="O1132" i="7"/>
  <c r="O1131" i="7"/>
  <c r="O1129" i="7"/>
  <c r="O1128" i="7"/>
  <c r="O1126" i="7"/>
  <c r="O1125" i="7"/>
  <c r="O1124" i="7"/>
  <c r="O1123" i="7"/>
  <c r="O1121" i="7"/>
  <c r="O1120" i="7"/>
  <c r="O1118" i="7"/>
  <c r="O1117" i="7"/>
  <c r="O1116" i="7"/>
  <c r="O1115" i="7"/>
  <c r="O1113" i="7"/>
  <c r="O1112" i="7"/>
  <c r="O1110" i="7"/>
  <c r="O1109" i="7"/>
  <c r="O1108" i="7"/>
  <c r="O1107" i="7"/>
  <c r="O1105" i="7"/>
  <c r="O1104" i="7"/>
  <c r="O1102" i="7"/>
  <c r="O1101" i="7"/>
  <c r="O1100" i="7"/>
  <c r="O1098" i="7"/>
  <c r="O1097" i="7"/>
  <c r="O1095" i="7"/>
  <c r="O1094" i="7"/>
  <c r="O1093" i="7"/>
  <c r="O1092" i="7"/>
  <c r="O1091" i="7"/>
  <c r="O1090" i="7"/>
  <c r="O1088" i="7"/>
  <c r="O1087" i="7"/>
  <c r="O1086" i="7"/>
  <c r="O1085" i="7"/>
  <c r="O1084" i="7"/>
  <c r="O1083" i="7"/>
  <c r="O1082" i="7"/>
  <c r="O1081" i="7"/>
  <c r="O1080" i="7"/>
  <c r="O1079" i="7"/>
  <c r="O1078" i="7"/>
  <c r="O1076" i="7"/>
  <c r="O1075" i="7"/>
  <c r="O1073" i="7"/>
  <c r="O1072" i="7"/>
  <c r="O1071" i="7"/>
  <c r="O1069" i="7"/>
  <c r="O1068" i="7"/>
  <c r="O1067" i="7"/>
  <c r="O1065" i="7"/>
  <c r="O1064" i="7"/>
  <c r="O1063" i="7"/>
  <c r="O1060" i="7"/>
  <c r="O1059" i="7"/>
  <c r="O1058" i="7"/>
  <c r="O1057" i="7"/>
  <c r="O1056" i="7"/>
  <c r="O1055" i="7"/>
  <c r="O1054" i="7"/>
  <c r="O1053" i="7"/>
  <c r="O1052" i="7"/>
  <c r="O1050" i="7"/>
  <c r="O1049" i="7"/>
  <c r="O1047" i="7"/>
  <c r="O1046" i="7"/>
  <c r="O1045" i="7"/>
  <c r="O1044" i="7"/>
  <c r="O1043" i="7"/>
  <c r="O1042" i="7"/>
  <c r="O1041" i="7"/>
  <c r="O1040" i="7"/>
  <c r="O1038" i="7"/>
  <c r="O1037" i="7"/>
  <c r="O1036" i="7"/>
  <c r="O1035" i="7"/>
  <c r="O1034" i="7"/>
  <c r="O1033" i="7"/>
  <c r="O1032" i="7"/>
  <c r="O1031" i="7"/>
  <c r="O1030" i="7"/>
  <c r="O1029" i="7"/>
  <c r="O1028" i="7"/>
  <c r="O1027" i="7"/>
  <c r="O1026" i="7"/>
  <c r="O1024" i="7"/>
  <c r="O1023" i="7"/>
  <c r="O1021" i="7"/>
  <c r="O1020" i="7"/>
  <c r="O1019" i="7"/>
  <c r="O1018" i="7"/>
  <c r="O1017" i="7"/>
  <c r="O1016" i="7"/>
  <c r="O1015" i="7"/>
  <c r="O1013" i="7"/>
  <c r="O1012" i="7"/>
  <c r="O1011" i="7"/>
  <c r="O1010" i="7"/>
  <c r="O1009" i="7"/>
  <c r="O1008" i="7"/>
  <c r="O1007" i="7"/>
  <c r="O1006" i="7"/>
  <c r="O1005" i="7"/>
  <c r="O1004" i="7"/>
  <c r="O1003" i="7"/>
  <c r="O1002" i="7"/>
  <c r="O1000" i="7"/>
  <c r="O996" i="7"/>
  <c r="O993" i="7"/>
  <c r="O992" i="7"/>
  <c r="O991" i="7"/>
  <c r="O989" i="7"/>
  <c r="O988" i="7"/>
  <c r="O987" i="7"/>
  <c r="O986" i="7"/>
  <c r="O985" i="7"/>
  <c r="O984" i="7"/>
  <c r="O983" i="7"/>
  <c r="O981" i="7"/>
  <c r="O980" i="7"/>
  <c r="O979" i="7"/>
  <c r="O978" i="7"/>
  <c r="O977" i="7"/>
  <c r="O976" i="7"/>
  <c r="O975" i="7"/>
  <c r="O974" i="7"/>
  <c r="O973" i="7"/>
  <c r="O972" i="7"/>
  <c r="O971" i="7"/>
  <c r="O966" i="7"/>
  <c r="O965" i="7"/>
  <c r="O964" i="7"/>
  <c r="O962" i="7"/>
  <c r="O961" i="7"/>
  <c r="O960" i="7"/>
  <c r="O959" i="7"/>
  <c r="O958" i="7"/>
  <c r="O957" i="7"/>
  <c r="O956" i="7"/>
  <c r="O954" i="7"/>
  <c r="O953" i="7"/>
  <c r="O952" i="7"/>
  <c r="O951" i="7"/>
  <c r="O950" i="7"/>
  <c r="O949" i="7"/>
  <c r="O948" i="7"/>
  <c r="O947" i="7"/>
  <c r="O946" i="7"/>
  <c r="O945" i="7"/>
  <c r="O944" i="7"/>
  <c r="O942" i="7"/>
  <c r="O941" i="7"/>
  <c r="O939" i="7"/>
  <c r="O938" i="7"/>
  <c r="O937" i="7"/>
  <c r="O936" i="7"/>
  <c r="O935" i="7"/>
  <c r="O934" i="7"/>
  <c r="O933" i="7"/>
  <c r="O931" i="7"/>
  <c r="O930" i="7"/>
  <c r="O929" i="7"/>
  <c r="O928" i="7"/>
  <c r="O927" i="7"/>
  <c r="O926" i="7"/>
  <c r="O925" i="7"/>
  <c r="O924" i="7"/>
  <c r="O923" i="7"/>
  <c r="O922" i="7"/>
  <c r="O921" i="7"/>
  <c r="O920" i="7"/>
  <c r="O919" i="7"/>
  <c r="O916" i="7"/>
  <c r="O913" i="7"/>
  <c r="O912" i="7"/>
  <c r="O911" i="7"/>
  <c r="O909" i="7"/>
  <c r="O908" i="7"/>
  <c r="O907" i="7"/>
  <c r="O906" i="7"/>
  <c r="O905" i="7"/>
  <c r="O904" i="7"/>
  <c r="O902" i="7"/>
  <c r="O901" i="7"/>
  <c r="O900" i="7"/>
  <c r="O899" i="7"/>
  <c r="O898" i="7"/>
  <c r="O897" i="7"/>
  <c r="O896" i="7"/>
  <c r="O895" i="7"/>
  <c r="O894" i="7"/>
  <c r="O893" i="7"/>
  <c r="O892" i="7"/>
  <c r="O890" i="7"/>
  <c r="O889" i="7"/>
  <c r="O887" i="7"/>
  <c r="O886" i="7"/>
  <c r="O885" i="7"/>
  <c r="O883" i="7"/>
  <c r="O882" i="7"/>
  <c r="O881" i="7"/>
  <c r="O879" i="7"/>
  <c r="O878" i="7"/>
  <c r="O877" i="7"/>
  <c r="O876" i="7"/>
  <c r="O875" i="7"/>
  <c r="O874" i="7"/>
  <c r="O873" i="7"/>
  <c r="O872" i="7"/>
  <c r="O871" i="7"/>
  <c r="O870" i="7"/>
  <c r="O869" i="7"/>
  <c r="O867" i="7"/>
  <c r="O865" i="7"/>
  <c r="O862" i="7"/>
  <c r="O861" i="7"/>
  <c r="O860" i="7"/>
  <c r="O859" i="7"/>
  <c r="O858" i="7"/>
  <c r="O857" i="7"/>
  <c r="O854" i="7"/>
  <c r="O853" i="7"/>
  <c r="O852" i="7"/>
  <c r="O851" i="7"/>
  <c r="O849" i="7"/>
  <c r="O846" i="7"/>
  <c r="O845" i="7"/>
  <c r="O844" i="7"/>
  <c r="O843" i="7"/>
  <c r="O842" i="7"/>
  <c r="O841" i="7"/>
  <c r="O839" i="7"/>
  <c r="O838" i="7"/>
  <c r="O836" i="7"/>
  <c r="O833" i="7"/>
  <c r="O832" i="7"/>
  <c r="O831" i="7"/>
  <c r="O830" i="7"/>
  <c r="O829" i="7"/>
  <c r="O827" i="7"/>
  <c r="O826" i="7"/>
  <c r="O824" i="7"/>
  <c r="O823" i="7"/>
  <c r="O822" i="7"/>
  <c r="O821" i="7"/>
  <c r="O819" i="7"/>
  <c r="O818" i="7"/>
  <c r="O816" i="7"/>
  <c r="O815" i="7"/>
  <c r="O814" i="7"/>
  <c r="O813" i="7"/>
  <c r="O811" i="7"/>
  <c r="O810" i="7"/>
  <c r="O809" i="7"/>
  <c r="O808" i="7"/>
  <c r="O807" i="7"/>
  <c r="O806" i="7"/>
  <c r="O805" i="7"/>
  <c r="O804" i="7"/>
  <c r="O803" i="7"/>
  <c r="O802" i="7"/>
  <c r="O800" i="7"/>
  <c r="O797" i="7"/>
  <c r="O796" i="7"/>
  <c r="O795" i="7"/>
  <c r="O794" i="7"/>
  <c r="O793" i="7"/>
  <c r="O792" i="7"/>
  <c r="O791" i="7"/>
  <c r="O790" i="7"/>
  <c r="O789" i="7"/>
  <c r="O787" i="7"/>
  <c r="O785" i="7"/>
  <c r="O782" i="7"/>
  <c r="O781" i="7"/>
  <c r="O780" i="7"/>
  <c r="O779" i="7"/>
  <c r="O778" i="7"/>
  <c r="O777" i="7"/>
  <c r="O776" i="7"/>
  <c r="O775" i="7"/>
  <c r="O768" i="7"/>
  <c r="O767" i="7"/>
  <c r="O766" i="7"/>
  <c r="O765" i="7"/>
  <c r="O764" i="7"/>
  <c r="O763" i="7"/>
  <c r="O762" i="7"/>
  <c r="O761" i="7"/>
  <c r="O756" i="7"/>
  <c r="O755" i="7"/>
  <c r="O754" i="7"/>
  <c r="O753" i="7"/>
  <c r="O752" i="7"/>
  <c r="O751" i="7"/>
  <c r="O750" i="7"/>
  <c r="O749" i="7"/>
  <c r="O747" i="7"/>
  <c r="O744" i="7"/>
  <c r="O743" i="7"/>
  <c r="O742" i="7"/>
  <c r="O741" i="7"/>
  <c r="O740" i="7"/>
  <c r="O738" i="7"/>
  <c r="O737" i="7"/>
  <c r="O735" i="7"/>
  <c r="O734" i="7"/>
  <c r="O733" i="7"/>
  <c r="O732" i="7"/>
  <c r="O731" i="7"/>
  <c r="O730" i="7"/>
  <c r="O729" i="7"/>
  <c r="O728" i="7"/>
  <c r="O726" i="7"/>
  <c r="O725" i="7"/>
  <c r="O724" i="7"/>
  <c r="O723" i="7"/>
  <c r="O722" i="7"/>
  <c r="O720" i="7"/>
  <c r="O719" i="7"/>
  <c r="O717" i="7"/>
  <c r="O716" i="7"/>
  <c r="O715" i="7"/>
  <c r="O714" i="7"/>
  <c r="O713" i="7"/>
  <c r="O712" i="7"/>
  <c r="O711" i="7"/>
  <c r="O710" i="7"/>
  <c r="O708" i="7"/>
  <c r="O705" i="7"/>
  <c r="O702" i="7"/>
  <c r="O701" i="7"/>
  <c r="O700" i="7"/>
  <c r="O699" i="7"/>
  <c r="O698" i="7"/>
  <c r="O697" i="7"/>
  <c r="O696" i="7"/>
  <c r="O695" i="7"/>
  <c r="O694" i="7"/>
  <c r="O693" i="7"/>
  <c r="O692" i="7"/>
  <c r="O691" i="7"/>
  <c r="O689" i="7"/>
  <c r="O688" i="7"/>
  <c r="O687" i="7"/>
  <c r="O686" i="7"/>
  <c r="O684" i="7"/>
  <c r="O683" i="7"/>
  <c r="O680" i="7"/>
  <c r="O679" i="7"/>
  <c r="O677" i="7"/>
  <c r="O675" i="7"/>
  <c r="O673" i="7"/>
  <c r="O671" i="7"/>
  <c r="O670" i="7"/>
  <c r="O669" i="7"/>
  <c r="O668" i="7"/>
  <c r="O667" i="7"/>
  <c r="O666" i="7"/>
  <c r="O664" i="7"/>
  <c r="O663" i="7"/>
  <c r="O661" i="7"/>
  <c r="O659" i="7"/>
  <c r="O658" i="7"/>
  <c r="O657" i="7"/>
  <c r="O656" i="7"/>
  <c r="O655" i="7"/>
  <c r="O654" i="7"/>
  <c r="O653" i="7"/>
  <c r="O652" i="7"/>
  <c r="O651" i="7"/>
  <c r="O595" i="7"/>
  <c r="O592" i="7"/>
  <c r="O591" i="7"/>
  <c r="O589" i="7"/>
  <c r="O585" i="7"/>
  <c r="O583" i="7"/>
  <c r="O581" i="7"/>
  <c r="O578" i="7"/>
  <c r="O577" i="7"/>
  <c r="O576" i="7"/>
  <c r="O575" i="7"/>
  <c r="O574" i="7"/>
  <c r="O573" i="7"/>
  <c r="O572" i="7"/>
  <c r="O571" i="7"/>
  <c r="O570" i="7"/>
  <c r="O569" i="7"/>
  <c r="O567" i="7"/>
  <c r="O566" i="7"/>
  <c r="O565" i="7"/>
  <c r="O564" i="7"/>
  <c r="O563" i="7"/>
  <c r="O562" i="7"/>
  <c r="O561" i="7"/>
  <c r="O560" i="7"/>
  <c r="O559" i="7"/>
  <c r="O558" i="7"/>
  <c r="O557" i="7"/>
  <c r="O556" i="7"/>
  <c r="O555" i="7"/>
  <c r="O549" i="7"/>
  <c r="O546" i="7"/>
  <c r="O544" i="7"/>
  <c r="O539" i="7"/>
  <c r="O538" i="7"/>
  <c r="O537" i="7"/>
  <c r="O536" i="7"/>
  <c r="O535" i="7"/>
  <c r="O533" i="7"/>
  <c r="O532" i="7"/>
  <c r="O531" i="7"/>
  <c r="O530" i="7"/>
  <c r="O529" i="7"/>
  <c r="O528" i="7"/>
  <c r="O527" i="7"/>
  <c r="O526" i="7"/>
  <c r="O525" i="7"/>
  <c r="O524" i="7"/>
  <c r="O523" i="7"/>
  <c r="O522" i="7"/>
  <c r="O521" i="7"/>
  <c r="O520" i="7"/>
  <c r="O519" i="7"/>
  <c r="O518" i="7"/>
  <c r="O517" i="7"/>
  <c r="O516" i="7"/>
  <c r="O514" i="7"/>
  <c r="S514" i="7" s="1"/>
  <c r="S513" i="7" s="1"/>
  <c r="O510" i="7"/>
  <c r="O506" i="7"/>
  <c r="O505" i="7"/>
  <c r="O504" i="7"/>
  <c r="O503" i="7"/>
  <c r="O501" i="7"/>
  <c r="O500" i="7"/>
  <c r="O498" i="7"/>
  <c r="O497" i="7"/>
  <c r="O496" i="7"/>
  <c r="O495" i="7"/>
  <c r="O494" i="7"/>
  <c r="O493" i="7"/>
  <c r="O492" i="7"/>
  <c r="O491" i="7"/>
  <c r="O490" i="7"/>
  <c r="O487" i="7"/>
  <c r="O434" i="7"/>
  <c r="S434" i="7" s="1"/>
  <c r="O431" i="7"/>
  <c r="S431" i="7" s="1"/>
  <c r="O428" i="7"/>
  <c r="O427" i="7"/>
  <c r="O426" i="7"/>
  <c r="O425" i="7"/>
  <c r="O424" i="7"/>
  <c r="O423" i="7"/>
  <c r="O422" i="7"/>
  <c r="O421" i="7"/>
  <c r="O418" i="7"/>
  <c r="O417" i="7"/>
  <c r="O415" i="7"/>
  <c r="O410" i="7"/>
  <c r="O407" i="7"/>
  <c r="O403" i="7"/>
  <c r="O402" i="7"/>
  <c r="O401" i="7"/>
  <c r="O400" i="7"/>
  <c r="O398" i="7"/>
  <c r="O397" i="7"/>
  <c r="O394" i="7"/>
  <c r="O392" i="7"/>
  <c r="O391" i="7"/>
  <c r="O390" i="7"/>
  <c r="O385" i="7"/>
  <c r="O384" i="7"/>
  <c r="O382" i="7"/>
  <c r="O378" i="7"/>
  <c r="O376" i="7"/>
  <c r="O375" i="7"/>
  <c r="O374" i="7"/>
  <c r="O373" i="7"/>
  <c r="O372" i="7"/>
  <c r="O371" i="7"/>
  <c r="O370" i="7"/>
  <c r="O369" i="7"/>
  <c r="O367" i="7"/>
  <c r="O366" i="7"/>
  <c r="O318" i="7"/>
  <c r="O317" i="7"/>
  <c r="O316" i="7"/>
  <c r="O315" i="7"/>
  <c r="O314" i="7"/>
  <c r="O312" i="7"/>
  <c r="O311" i="7"/>
  <c r="O308" i="7"/>
  <c r="O307" i="7"/>
  <c r="O306" i="7"/>
  <c r="O305" i="7"/>
  <c r="O303" i="7"/>
  <c r="O302" i="7"/>
  <c r="O299" i="7"/>
  <c r="O298" i="7"/>
  <c r="O297" i="7"/>
  <c r="O296" i="7"/>
  <c r="O293" i="7"/>
  <c r="O291" i="7"/>
  <c r="O290" i="7"/>
  <c r="O289" i="7"/>
  <c r="O288" i="7"/>
  <c r="O287" i="7"/>
  <c r="O285" i="7"/>
  <c r="O284" i="7"/>
  <c r="O281" i="7"/>
  <c r="O280" i="7"/>
  <c r="O279" i="7"/>
  <c r="O278" i="7"/>
  <c r="O277" i="7"/>
  <c r="O275" i="7"/>
  <c r="O274" i="7"/>
  <c r="O271" i="7"/>
  <c r="O270" i="7"/>
  <c r="O269" i="7"/>
  <c r="O268" i="7"/>
  <c r="O267" i="7"/>
  <c r="O266" i="7"/>
  <c r="O264" i="7"/>
  <c r="O263" i="7"/>
  <c r="O261" i="7"/>
  <c r="O260" i="7"/>
  <c r="O259" i="7"/>
  <c r="O258" i="7"/>
  <c r="O257" i="7"/>
  <c r="O256" i="7"/>
  <c r="O255" i="7"/>
  <c r="O253" i="7"/>
  <c r="O252" i="7"/>
  <c r="O250" i="7"/>
  <c r="O249" i="7"/>
  <c r="O247" i="7"/>
  <c r="O206" i="7"/>
  <c r="O205" i="7"/>
  <c r="O202" i="7"/>
  <c r="O197" i="7"/>
  <c r="O196" i="7"/>
  <c r="O195" i="7"/>
  <c r="O194" i="7"/>
  <c r="O192" i="7"/>
  <c r="O191" i="7"/>
  <c r="O188" i="7"/>
  <c r="O185" i="7"/>
  <c r="O184" i="7"/>
  <c r="O182" i="7"/>
  <c r="O181" i="7"/>
  <c r="O180" i="7"/>
  <c r="O179" i="7"/>
  <c r="O178" i="7"/>
  <c r="O176" i="7"/>
  <c r="O175" i="7"/>
  <c r="O173" i="7"/>
  <c r="O172" i="7"/>
  <c r="O171" i="7"/>
  <c r="O170" i="7"/>
  <c r="O169" i="7"/>
  <c r="O168" i="7"/>
  <c r="O167" i="7"/>
  <c r="O165" i="7"/>
  <c r="O164" i="7"/>
  <c r="O163" i="7"/>
  <c r="O161" i="7"/>
  <c r="O159" i="7"/>
  <c r="O156" i="7"/>
  <c r="O155" i="7"/>
  <c r="O154" i="7"/>
  <c r="O153" i="7"/>
  <c r="O150" i="7"/>
  <c r="O149" i="7"/>
  <c r="O144" i="7"/>
  <c r="O143" i="7"/>
  <c r="O140" i="7"/>
  <c r="O139" i="7"/>
  <c r="O137" i="7"/>
  <c r="O136" i="7"/>
  <c r="O133" i="7"/>
  <c r="O129" i="7"/>
  <c r="O76" i="7"/>
  <c r="O75" i="7"/>
  <c r="O73" i="7"/>
  <c r="O72" i="7"/>
  <c r="O71" i="7"/>
  <c r="O69" i="7"/>
  <c r="O64" i="7"/>
  <c r="O54" i="7"/>
  <c r="O53" i="7"/>
  <c r="O52" i="7"/>
  <c r="O51" i="7"/>
  <c r="O50" i="7"/>
  <c r="O46" i="7"/>
  <c r="O45" i="7"/>
  <c r="O43" i="7"/>
  <c r="O40" i="7"/>
  <c r="O39" i="7"/>
  <c r="O38" i="7"/>
  <c r="O37" i="7"/>
  <c r="O36" i="7"/>
  <c r="O35" i="7"/>
  <c r="O33" i="7"/>
  <c r="O31" i="7"/>
  <c r="O30" i="7"/>
  <c r="O28" i="7"/>
  <c r="O26" i="7"/>
  <c r="O21" i="7"/>
  <c r="O18" i="7"/>
  <c r="O15" i="7"/>
  <c r="O14" i="7"/>
  <c r="O13" i="7"/>
  <c r="O12" i="7"/>
  <c r="O11" i="7"/>
  <c r="N1986" i="7"/>
  <c r="N1985" i="7" s="1"/>
  <c r="N1990" i="7"/>
  <c r="N1989" i="7" s="1"/>
  <c r="R1989" i="7" s="1"/>
  <c r="N1810" i="7"/>
  <c r="N1807" i="7" s="1"/>
  <c r="N1806" i="7" s="1"/>
  <c r="N1816" i="7"/>
  <c r="N1836" i="7"/>
  <c r="N1833" i="7" s="1"/>
  <c r="N1832" i="7" s="1"/>
  <c r="N1843" i="7"/>
  <c r="N1842" i="7" s="1"/>
  <c r="N1864" i="7"/>
  <c r="N1873" i="7"/>
  <c r="N1878" i="7"/>
  <c r="N1877" i="7" s="1"/>
  <c r="N1885" i="7"/>
  <c r="N1893" i="7"/>
  <c r="N1901" i="7"/>
  <c r="N1909" i="7"/>
  <c r="N1906" i="7" s="1"/>
  <c r="N1905" i="7" s="1"/>
  <c r="N1916" i="7"/>
  <c r="N1915" i="7" s="1"/>
  <c r="N1919" i="7"/>
  <c r="N1922" i="7"/>
  <c r="N1925" i="7"/>
  <c r="N1924" i="7" s="1"/>
  <c r="N1933" i="7"/>
  <c r="N1937" i="7"/>
  <c r="N1697" i="7"/>
  <c r="N1696" i="7" s="1"/>
  <c r="R1696" i="7" s="1"/>
  <c r="N1700" i="7"/>
  <c r="N1709" i="7"/>
  <c r="N1720" i="7"/>
  <c r="N1732" i="7"/>
  <c r="N1735" i="7"/>
  <c r="N1738" i="7"/>
  <c r="N1737" i="7" s="1"/>
  <c r="R1737" i="7" s="1"/>
  <c r="N1741" i="7"/>
  <c r="N1745" i="7"/>
  <c r="N1744" i="7" s="1"/>
  <c r="N1751" i="7"/>
  <c r="N1756" i="7"/>
  <c r="R1756" i="7" s="1"/>
  <c r="N1758" i="7"/>
  <c r="N1762" i="7"/>
  <c r="N1630" i="7"/>
  <c r="N1640" i="7"/>
  <c r="N1665" i="7"/>
  <c r="N1664" i="7" s="1"/>
  <c r="N1675" i="7"/>
  <c r="N1674" i="7" s="1"/>
  <c r="N1514" i="7"/>
  <c r="N1518" i="7"/>
  <c r="N1517" i="7" s="1"/>
  <c r="N1530" i="7"/>
  <c r="N1535" i="7"/>
  <c r="N1542" i="7"/>
  <c r="N1541" i="7" s="1"/>
  <c r="N1546" i="7"/>
  <c r="N1549" i="7"/>
  <c r="R1549" i="7" s="1"/>
  <c r="R1554" i="7"/>
  <c r="N1555" i="7"/>
  <c r="N1552" i="7" s="1"/>
  <c r="N1559" i="7"/>
  <c r="N1556" i="7" s="1"/>
  <c r="N1567" i="7"/>
  <c r="N1571" i="7"/>
  <c r="N1595" i="7"/>
  <c r="R1595" i="7" s="1"/>
  <c r="N1597" i="7"/>
  <c r="R1597" i="7" s="1"/>
  <c r="N1600" i="7"/>
  <c r="R1600" i="7" s="1"/>
  <c r="N1607" i="7"/>
  <c r="N1604" i="7" s="1"/>
  <c r="N665" i="7"/>
  <c r="N672" i="7"/>
  <c r="R672" i="7" s="1"/>
  <c r="N674" i="7"/>
  <c r="R674" i="7" s="1"/>
  <c r="N678" i="7"/>
  <c r="N685" i="7"/>
  <c r="N682" i="7" s="1"/>
  <c r="N704" i="7"/>
  <c r="R704" i="7" s="1"/>
  <c r="N706" i="7"/>
  <c r="N709" i="7"/>
  <c r="N721" i="7"/>
  <c r="N718" i="7" s="1"/>
  <c r="N727" i="7"/>
  <c r="N739" i="7"/>
  <c r="N746" i="7"/>
  <c r="N745" i="7" s="1"/>
  <c r="N758" i="7"/>
  <c r="R758" i="7" s="1"/>
  <c r="N770" i="7"/>
  <c r="R770" i="7" s="1"/>
  <c r="N772" i="7"/>
  <c r="N784" i="7"/>
  <c r="R784" i="7" s="1"/>
  <c r="N786" i="7"/>
  <c r="N799" i="7"/>
  <c r="N798" i="7" s="1"/>
  <c r="N801" i="7"/>
  <c r="N812" i="7"/>
  <c r="N820" i="7"/>
  <c r="N817" i="7" s="1"/>
  <c r="N828" i="7"/>
  <c r="N835" i="7"/>
  <c r="N834" i="7" s="1"/>
  <c r="N840" i="7"/>
  <c r="N848" i="7"/>
  <c r="N847" i="7" s="1"/>
  <c r="N864" i="7"/>
  <c r="N866" i="7"/>
  <c r="R866" i="7" s="1"/>
  <c r="N880" i="7"/>
  <c r="N868" i="7" s="1"/>
  <c r="N903" i="7"/>
  <c r="N915" i="7"/>
  <c r="N914" i="7" s="1"/>
  <c r="N932" i="7"/>
  <c r="N918" i="7" s="1"/>
  <c r="R918" i="7" s="1"/>
  <c r="N955" i="7"/>
  <c r="N968" i="7"/>
  <c r="N982" i="7"/>
  <c r="R995" i="7"/>
  <c r="N998" i="7"/>
  <c r="R999" i="7"/>
  <c r="N1014" i="7"/>
  <c r="N1001" i="7" s="1"/>
  <c r="N1039" i="7"/>
  <c r="N1062" i="7"/>
  <c r="N1061" i="7" s="1"/>
  <c r="N1066" i="7"/>
  <c r="N1089" i="7"/>
  <c r="N1099" i="7"/>
  <c r="N1096" i="7" s="1"/>
  <c r="N1106" i="7"/>
  <c r="N1103" i="7" s="1"/>
  <c r="N1114" i="7"/>
  <c r="N1111" i="7" s="1"/>
  <c r="N1122" i="7"/>
  <c r="N1119" i="7" s="1"/>
  <c r="N1130" i="7"/>
  <c r="N1127" i="7" s="1"/>
  <c r="N1137" i="7"/>
  <c r="N1134" i="7" s="1"/>
  <c r="N1145" i="7"/>
  <c r="N1142" i="7" s="1"/>
  <c r="N1153" i="7"/>
  <c r="N1150" i="7" s="1"/>
  <c r="N1161" i="7"/>
  <c r="N1158" i="7" s="1"/>
  <c r="N1169" i="7"/>
  <c r="N1188" i="7"/>
  <c r="N1185" i="7" s="1"/>
  <c r="N1195" i="7"/>
  <c r="N1202" i="7"/>
  <c r="N1209" i="7"/>
  <c r="N1206" i="7" s="1"/>
  <c r="N1216" i="7"/>
  <c r="N1223" i="7"/>
  <c r="N1230" i="7"/>
  <c r="N1237" i="7"/>
  <c r="N1234" i="7" s="1"/>
  <c r="N1244" i="7"/>
  <c r="N1241" i="7" s="1"/>
  <c r="N1252" i="7"/>
  <c r="N1249" i="7" s="1"/>
  <c r="N1259" i="7"/>
  <c r="N1256" i="7" s="1"/>
  <c r="N1266" i="7"/>
  <c r="N1263" i="7" s="1"/>
  <c r="N1273" i="7"/>
  <c r="N1270" i="7" s="1"/>
  <c r="N1280" i="7"/>
  <c r="N1288" i="7"/>
  <c r="N1296" i="7"/>
  <c r="N1305" i="7"/>
  <c r="N1313" i="7"/>
  <c r="N1320" i="7"/>
  <c r="N1322" i="7"/>
  <c r="N1327" i="7"/>
  <c r="N1335" i="7"/>
  <c r="N1344" i="7"/>
  <c r="N1352" i="7"/>
  <c r="N1361" i="7"/>
  <c r="N1370" i="7"/>
  <c r="N1380" i="7"/>
  <c r="N1389" i="7"/>
  <c r="N1397" i="7"/>
  <c r="R1397" i="7" s="1"/>
  <c r="N1399" i="7"/>
  <c r="N1404" i="7"/>
  <c r="N1411" i="7"/>
  <c r="N1420" i="7"/>
  <c r="N1419" i="7" s="1"/>
  <c r="N1422" i="7"/>
  <c r="N1427" i="7"/>
  <c r="N1424" i="7" s="1"/>
  <c r="N1439" i="7"/>
  <c r="N1436" i="7" s="1"/>
  <c r="N486" i="7"/>
  <c r="N485" i="7" s="1"/>
  <c r="N489" i="7"/>
  <c r="N502" i="7"/>
  <c r="N509" i="7"/>
  <c r="N508" i="7" s="1"/>
  <c r="N513" i="7"/>
  <c r="R515" i="7"/>
  <c r="N541" i="7"/>
  <c r="R543" i="7"/>
  <c r="R545" i="7"/>
  <c r="R550" i="7"/>
  <c r="R554" i="7"/>
  <c r="R568" i="7"/>
  <c r="R582" i="7"/>
  <c r="R584" i="7"/>
  <c r="R588" i="7"/>
  <c r="N594" i="7"/>
  <c r="N368" i="7"/>
  <c r="N377" i="7"/>
  <c r="N380" i="7"/>
  <c r="R380" i="7" s="1"/>
  <c r="N389" i="7"/>
  <c r="N399" i="7"/>
  <c r="N406" i="7"/>
  <c r="N405" i="7" s="1"/>
  <c r="N409" i="7"/>
  <c r="N412" i="7"/>
  <c r="N414" i="7"/>
  <c r="R414" i="7" s="1"/>
  <c r="N416" i="7"/>
  <c r="N420" i="7"/>
  <c r="N430" i="7"/>
  <c r="R430" i="7" s="1"/>
  <c r="N433" i="7"/>
  <c r="N432" i="7" s="1"/>
  <c r="N248" i="7"/>
  <c r="N246" i="7" s="1"/>
  <c r="N254" i="7"/>
  <c r="N251" i="7" s="1"/>
  <c r="N265" i="7"/>
  <c r="N262" i="7" s="1"/>
  <c r="N276" i="7"/>
  <c r="N272" i="7" s="1"/>
  <c r="N273" i="7" s="1"/>
  <c r="N286" i="7"/>
  <c r="N292" i="7"/>
  <c r="N295" i="7"/>
  <c r="N301" i="7"/>
  <c r="R301" i="7" s="1"/>
  <c r="N304" i="7"/>
  <c r="R304" i="7" s="1"/>
  <c r="N313" i="7"/>
  <c r="N310" i="7" s="1"/>
  <c r="N309" i="7" s="1"/>
  <c r="N128" i="7"/>
  <c r="N127" i="7" s="1"/>
  <c r="N132" i="7"/>
  <c r="N131" i="7" s="1"/>
  <c r="N135" i="7"/>
  <c r="N138" i="7"/>
  <c r="N142" i="7"/>
  <c r="N145" i="7"/>
  <c r="N148" i="7"/>
  <c r="N147" i="7" s="1"/>
  <c r="N152" i="7"/>
  <c r="N158" i="7"/>
  <c r="R158" i="7" s="1"/>
  <c r="N160" i="7"/>
  <c r="N166" i="7"/>
  <c r="N177" i="7"/>
  <c r="N183" i="7"/>
  <c r="N187" i="7"/>
  <c r="R187" i="7" s="1"/>
  <c r="N190" i="7"/>
  <c r="N189" i="7" s="1"/>
  <c r="N199" i="7"/>
  <c r="R199" i="7" s="1"/>
  <c r="N201" i="7"/>
  <c r="R201" i="7" s="1"/>
  <c r="N204" i="7"/>
  <c r="N203" i="7" s="1"/>
  <c r="N10" i="7"/>
  <c r="N9" i="7" s="1"/>
  <c r="N17" i="7"/>
  <c r="N16" i="7" s="1"/>
  <c r="N20" i="7"/>
  <c r="N19" i="7" s="1"/>
  <c r="N25" i="7"/>
  <c r="N24" i="7" s="1"/>
  <c r="N23" i="7" s="1"/>
  <c r="N22" i="7" s="1"/>
  <c r="N29" i="7"/>
  <c r="N27" i="7" s="1"/>
  <c r="N34" i="7"/>
  <c r="N42" i="7"/>
  <c r="R42" i="7" s="1"/>
  <c r="N44" i="7"/>
  <c r="N49" i="7"/>
  <c r="N48" i="7" s="1"/>
  <c r="R48" i="7" s="1"/>
  <c r="N56" i="7"/>
  <c r="R56" i="7" s="1"/>
  <c r="N58" i="7"/>
  <c r="R62" i="7"/>
  <c r="N70" i="7"/>
  <c r="N68" i="7" s="1"/>
  <c r="N67" i="7" s="1"/>
  <c r="N74" i="7"/>
  <c r="K1997" i="7"/>
  <c r="S1997" i="7" s="1"/>
  <c r="K1996" i="7"/>
  <c r="K1995" i="7"/>
  <c r="K1994" i="7"/>
  <c r="K1992" i="7"/>
  <c r="K1991" i="7"/>
  <c r="K1989" i="7"/>
  <c r="K1988" i="7"/>
  <c r="K1987" i="7"/>
  <c r="S1987" i="7" s="1"/>
  <c r="K1944" i="7"/>
  <c r="K1943" i="7"/>
  <c r="K1942" i="7"/>
  <c r="S1942" i="7" s="1"/>
  <c r="K1941" i="7"/>
  <c r="S1941" i="7" s="1"/>
  <c r="K1940" i="7"/>
  <c r="K1939" i="7"/>
  <c r="K1938" i="7"/>
  <c r="K1936" i="7"/>
  <c r="K1935" i="7"/>
  <c r="K1932" i="7"/>
  <c r="K1931" i="7"/>
  <c r="K1930" i="7"/>
  <c r="K1929" i="7"/>
  <c r="K1927" i="7"/>
  <c r="K1926" i="7"/>
  <c r="K1923" i="7"/>
  <c r="K1921" i="7"/>
  <c r="K1920" i="7"/>
  <c r="K1917" i="7"/>
  <c r="K1914" i="7"/>
  <c r="K1912" i="7"/>
  <c r="K1911" i="7"/>
  <c r="K1910" i="7"/>
  <c r="K1903" i="7"/>
  <c r="K1900" i="7"/>
  <c r="K1898" i="7"/>
  <c r="K1897" i="7"/>
  <c r="K1896" i="7"/>
  <c r="K1895" i="7"/>
  <c r="K1894" i="7"/>
  <c r="K1889" i="7"/>
  <c r="K1887" i="7"/>
  <c r="K1886" i="7"/>
  <c r="K1884" i="7"/>
  <c r="K1882" i="7"/>
  <c r="K1881" i="7"/>
  <c r="K1880" i="7"/>
  <c r="K1879" i="7"/>
  <c r="K1876" i="7"/>
  <c r="K1875" i="7"/>
  <c r="K1874" i="7"/>
  <c r="K1871" i="7"/>
  <c r="K1869" i="7"/>
  <c r="K1868" i="7"/>
  <c r="K1867" i="7"/>
  <c r="K1865" i="7"/>
  <c r="K1863" i="7"/>
  <c r="K1859" i="7"/>
  <c r="K1858" i="7"/>
  <c r="K1857" i="7"/>
  <c r="K1856" i="7"/>
  <c r="K1855" i="7"/>
  <c r="K1854" i="7"/>
  <c r="K1853" i="7"/>
  <c r="K1852" i="7"/>
  <c r="S1852" i="7" s="1"/>
  <c r="K1851" i="7"/>
  <c r="K1850" i="7"/>
  <c r="K1847" i="7"/>
  <c r="K1846" i="7"/>
  <c r="K1845" i="7"/>
  <c r="K1844" i="7"/>
  <c r="K1831" i="7"/>
  <c r="K1820" i="7"/>
  <c r="K1817" i="7"/>
  <c r="K1815" i="7"/>
  <c r="K1812" i="7"/>
  <c r="K1811" i="7"/>
  <c r="K1809" i="7"/>
  <c r="K1808" i="7"/>
  <c r="K1769" i="7"/>
  <c r="K1767" i="7"/>
  <c r="K1766" i="7"/>
  <c r="K1765" i="7"/>
  <c r="K1764" i="7"/>
  <c r="K1763" i="7"/>
  <c r="K1761" i="7"/>
  <c r="K1760" i="7"/>
  <c r="K1757" i="7"/>
  <c r="K1756" i="7"/>
  <c r="K1755" i="7"/>
  <c r="K1754" i="7"/>
  <c r="K1752" i="7"/>
  <c r="K1750" i="7"/>
  <c r="K1749" i="7"/>
  <c r="K1746" i="7"/>
  <c r="K1745" i="7"/>
  <c r="K1742" i="7"/>
  <c r="K1739" i="7"/>
  <c r="K1738" i="7"/>
  <c r="K1737" i="7"/>
  <c r="K1736" i="7"/>
  <c r="K1729" i="7"/>
  <c r="K1728" i="7"/>
  <c r="K1727" i="7"/>
  <c r="K1726" i="7"/>
  <c r="K1724" i="7"/>
  <c r="K1722" i="7"/>
  <c r="K1718" i="7"/>
  <c r="K1717" i="7"/>
  <c r="K1716" i="7"/>
  <c r="K1714" i="7"/>
  <c r="S1714" i="7" s="1"/>
  <c r="K1713" i="7"/>
  <c r="K1711" i="7"/>
  <c r="K1710" i="7"/>
  <c r="K1705" i="7"/>
  <c r="K1704" i="7"/>
  <c r="K1703" i="7"/>
  <c r="K1702" i="7"/>
  <c r="S1702" i="7" s="1"/>
  <c r="K1701" i="7"/>
  <c r="K1700" i="7"/>
  <c r="K1699" i="7"/>
  <c r="K1698" i="7"/>
  <c r="K1697" i="7"/>
  <c r="K1696" i="7"/>
  <c r="K1695" i="7"/>
  <c r="K1694" i="7"/>
  <c r="K1693" i="7"/>
  <c r="K1692" i="7"/>
  <c r="K1690" i="7"/>
  <c r="K1677" i="7"/>
  <c r="K1676" i="7"/>
  <c r="K1673" i="7"/>
  <c r="K1672" i="7"/>
  <c r="S1672" i="7" s="1"/>
  <c r="K1671" i="7"/>
  <c r="K1670" i="7"/>
  <c r="K1669" i="7"/>
  <c r="K1668" i="7"/>
  <c r="K1667" i="7"/>
  <c r="K1666" i="7"/>
  <c r="K1658" i="7"/>
  <c r="K1656" i="7"/>
  <c r="K1653" i="7"/>
  <c r="K1652" i="7"/>
  <c r="K1651" i="7"/>
  <c r="K1650" i="7"/>
  <c r="K1649" i="7"/>
  <c r="K1648" i="7"/>
  <c r="K1647" i="7"/>
  <c r="K1646" i="7"/>
  <c r="K1645" i="7"/>
  <c r="K1644" i="7"/>
  <c r="K1643" i="7"/>
  <c r="K1641" i="7"/>
  <c r="K1638" i="7"/>
  <c r="K1637" i="7"/>
  <c r="K1636" i="7"/>
  <c r="K1635" i="7"/>
  <c r="K1633" i="7"/>
  <c r="K1612" i="7"/>
  <c r="K1611" i="7"/>
  <c r="K1610" i="7"/>
  <c r="K1609" i="7"/>
  <c r="K1608" i="7"/>
  <c r="K1606" i="7"/>
  <c r="K1605" i="7"/>
  <c r="K1603" i="7"/>
  <c r="K1602" i="7"/>
  <c r="K1601" i="7"/>
  <c r="K1600" i="7"/>
  <c r="K1599" i="7"/>
  <c r="K1598" i="7"/>
  <c r="K1597" i="7"/>
  <c r="K1596" i="7"/>
  <c r="K1595" i="7"/>
  <c r="K1594" i="7"/>
  <c r="K1582" i="7"/>
  <c r="K1580" i="7"/>
  <c r="K1579" i="7"/>
  <c r="K1578" i="7"/>
  <c r="K1576" i="7"/>
  <c r="K1575" i="7"/>
  <c r="K1573" i="7"/>
  <c r="K1572" i="7"/>
  <c r="K1571" i="7"/>
  <c r="K1570" i="7"/>
  <c r="K1568" i="7"/>
  <c r="K1565" i="7"/>
  <c r="K1563" i="7"/>
  <c r="K1562" i="7"/>
  <c r="K1561" i="7"/>
  <c r="K1560" i="7"/>
  <c r="K1558" i="7"/>
  <c r="K1557" i="7"/>
  <c r="K1555" i="7"/>
  <c r="K1554" i="7"/>
  <c r="K1553" i="7"/>
  <c r="K1552" i="7"/>
  <c r="K1551" i="7"/>
  <c r="K1550" i="7"/>
  <c r="K1549" i="7"/>
  <c r="K1548" i="7"/>
  <c r="K1547" i="7"/>
  <c r="K1544" i="7"/>
  <c r="K1543" i="7"/>
  <c r="K1542" i="7"/>
  <c r="K1540" i="7"/>
  <c r="K1538" i="7"/>
  <c r="K1537" i="7"/>
  <c r="K1533" i="7"/>
  <c r="K1532" i="7"/>
  <c r="K1528" i="7"/>
  <c r="K1527" i="7"/>
  <c r="K1526" i="7"/>
  <c r="K1525" i="7"/>
  <c r="K1524" i="7"/>
  <c r="K1523" i="7"/>
  <c r="K1522" i="7"/>
  <c r="K1520" i="7"/>
  <c r="K1516" i="7"/>
  <c r="K1446" i="7"/>
  <c r="K1445" i="7"/>
  <c r="K1444" i="7"/>
  <c r="K1443" i="7"/>
  <c r="K1442" i="7"/>
  <c r="K1440" i="7"/>
  <c r="K1438" i="7"/>
  <c r="K1437" i="7"/>
  <c r="K1435" i="7"/>
  <c r="K1434" i="7"/>
  <c r="K1433" i="7"/>
  <c r="K1432" i="7"/>
  <c r="K1431" i="7"/>
  <c r="K1429" i="7"/>
  <c r="K1428" i="7"/>
  <c r="K1426" i="7"/>
  <c r="K1425" i="7"/>
  <c r="K1423" i="7"/>
  <c r="K1421" i="7"/>
  <c r="K1417" i="7"/>
  <c r="K1416" i="7"/>
  <c r="K1415" i="7"/>
  <c r="K1414" i="7"/>
  <c r="K1413" i="7"/>
  <c r="K1412" i="7"/>
  <c r="K1408" i="7"/>
  <c r="K1407" i="7"/>
  <c r="K1406" i="7"/>
  <c r="K1405" i="7"/>
  <c r="K1400" i="7"/>
  <c r="K1399" i="7"/>
  <c r="K1398" i="7"/>
  <c r="K1397" i="7"/>
  <c r="K1395" i="7"/>
  <c r="K1394" i="7"/>
  <c r="K1393" i="7"/>
  <c r="K1392" i="7"/>
  <c r="K1391" i="7"/>
  <c r="K1390" i="7"/>
  <c r="K1388" i="7"/>
  <c r="K1387" i="7"/>
  <c r="K1386" i="7"/>
  <c r="K1385" i="7"/>
  <c r="K1384" i="7"/>
  <c r="K1383" i="7"/>
  <c r="K1382" i="7"/>
  <c r="K1381" i="7"/>
  <c r="K1379" i="7"/>
  <c r="K1378" i="7"/>
  <c r="K1376" i="7"/>
  <c r="K1375" i="7"/>
  <c r="K1374" i="7"/>
  <c r="K1373" i="7"/>
  <c r="K1372" i="7"/>
  <c r="K1371" i="7"/>
  <c r="K1367" i="7"/>
  <c r="K1366" i="7"/>
  <c r="K1365" i="7"/>
  <c r="K1364" i="7"/>
  <c r="K1363" i="7"/>
  <c r="K1362" i="7"/>
  <c r="K1360" i="7"/>
  <c r="K1359" i="7"/>
  <c r="K1357" i="7"/>
  <c r="K1356" i="7"/>
  <c r="K1355" i="7"/>
  <c r="K1354" i="7"/>
  <c r="K1353" i="7"/>
  <c r="K1351" i="7"/>
  <c r="K1350" i="7"/>
  <c r="K1349" i="7"/>
  <c r="K1348" i="7"/>
  <c r="K1347" i="7"/>
  <c r="K1346" i="7"/>
  <c r="K1345" i="7"/>
  <c r="K1343" i="7"/>
  <c r="K1342" i="7"/>
  <c r="K1339" i="7"/>
  <c r="K1338" i="7"/>
  <c r="K1337" i="7"/>
  <c r="K1336" i="7"/>
  <c r="K1334" i="7"/>
  <c r="K1333" i="7"/>
  <c r="K1331" i="7"/>
  <c r="K1330" i="7"/>
  <c r="K1329" i="7"/>
  <c r="K1328" i="7"/>
  <c r="K1326" i="7"/>
  <c r="K1325" i="7"/>
  <c r="K1323" i="7"/>
  <c r="K1321" i="7"/>
  <c r="K1318" i="7"/>
  <c r="K1317" i="7"/>
  <c r="K1316" i="7"/>
  <c r="K1315" i="7"/>
  <c r="K1314" i="7"/>
  <c r="K1310" i="7"/>
  <c r="K1309" i="7"/>
  <c r="K1308" i="7"/>
  <c r="K1307" i="7"/>
  <c r="K1306" i="7"/>
  <c r="K1301" i="7"/>
  <c r="K1300" i="7"/>
  <c r="K1299" i="7"/>
  <c r="K1298" i="7"/>
  <c r="K1297" i="7"/>
  <c r="K1295" i="7"/>
  <c r="K1294" i="7"/>
  <c r="K1293" i="7"/>
  <c r="K1292" i="7"/>
  <c r="K1291" i="7"/>
  <c r="K1290" i="7"/>
  <c r="K1289" i="7"/>
  <c r="K1287" i="7"/>
  <c r="K1286" i="7"/>
  <c r="K1284" i="7"/>
  <c r="K1283" i="7"/>
  <c r="K1282" i="7"/>
  <c r="K1281" i="7"/>
  <c r="K1279" i="7"/>
  <c r="K1278" i="7"/>
  <c r="K1276" i="7"/>
  <c r="K1275" i="7"/>
  <c r="K1274" i="7"/>
  <c r="K1272" i="7"/>
  <c r="K1271" i="7"/>
  <c r="K1269" i="7"/>
  <c r="K1268" i="7"/>
  <c r="K1267" i="7"/>
  <c r="K1265" i="7"/>
  <c r="K1264" i="7"/>
  <c r="K1262" i="7"/>
  <c r="K1261" i="7"/>
  <c r="K1260" i="7"/>
  <c r="K1258" i="7"/>
  <c r="K1257" i="7"/>
  <c r="K1255" i="7"/>
  <c r="K1254" i="7"/>
  <c r="K1253" i="7"/>
  <c r="K1251" i="7"/>
  <c r="K1250" i="7"/>
  <c r="K1248" i="7"/>
  <c r="K1247" i="7"/>
  <c r="K1246" i="7"/>
  <c r="K1245" i="7"/>
  <c r="K1243" i="7"/>
  <c r="K1242" i="7"/>
  <c r="K1240" i="7"/>
  <c r="K1239" i="7"/>
  <c r="K1238" i="7"/>
  <c r="K1236" i="7"/>
  <c r="K1235" i="7"/>
  <c r="K1233" i="7"/>
  <c r="K1232" i="7"/>
  <c r="K1231" i="7"/>
  <c r="K1229" i="7"/>
  <c r="K1228" i="7"/>
  <c r="K1226" i="7"/>
  <c r="K1225" i="7"/>
  <c r="K1224" i="7"/>
  <c r="K1222" i="7"/>
  <c r="K1221" i="7"/>
  <c r="K1219" i="7"/>
  <c r="K1218" i="7"/>
  <c r="K1217" i="7"/>
  <c r="K1215" i="7"/>
  <c r="K1214" i="7"/>
  <c r="K1212" i="7"/>
  <c r="K1211" i="7"/>
  <c r="K1210" i="7"/>
  <c r="K1208" i="7"/>
  <c r="K1207" i="7"/>
  <c r="K1205" i="7"/>
  <c r="K1204" i="7"/>
  <c r="K1203" i="7"/>
  <c r="K1201" i="7"/>
  <c r="K1200" i="7"/>
  <c r="K1198" i="7"/>
  <c r="K1197" i="7"/>
  <c r="K1196" i="7"/>
  <c r="K1194" i="7"/>
  <c r="K1193" i="7"/>
  <c r="K1191" i="7"/>
  <c r="K1190" i="7"/>
  <c r="K1189" i="7"/>
  <c r="K1187" i="7"/>
  <c r="K1186" i="7"/>
  <c r="K1183" i="7"/>
  <c r="K1182" i="7"/>
  <c r="K1181" i="7"/>
  <c r="K1180" i="7"/>
  <c r="K1179" i="7"/>
  <c r="K1176" i="7"/>
  <c r="K1175" i="7"/>
  <c r="K1174" i="7"/>
  <c r="K1173" i="7"/>
  <c r="K1172" i="7"/>
  <c r="K1171" i="7"/>
  <c r="K1170" i="7"/>
  <c r="K1168" i="7"/>
  <c r="K1167" i="7"/>
  <c r="K1165" i="7"/>
  <c r="K1164" i="7"/>
  <c r="K1163" i="7"/>
  <c r="K1162" i="7"/>
  <c r="K1160" i="7"/>
  <c r="K1159" i="7"/>
  <c r="K1157" i="7"/>
  <c r="K1156" i="7"/>
  <c r="K1155" i="7"/>
  <c r="K1154" i="7"/>
  <c r="K1152" i="7"/>
  <c r="K1151" i="7"/>
  <c r="K1149" i="7"/>
  <c r="K1148" i="7"/>
  <c r="K1147" i="7"/>
  <c r="K1146" i="7"/>
  <c r="K1144" i="7"/>
  <c r="K1143" i="7"/>
  <c r="K1141" i="7"/>
  <c r="K1140" i="7"/>
  <c r="K1139" i="7"/>
  <c r="K1138" i="7"/>
  <c r="K1136" i="7"/>
  <c r="K1135" i="7"/>
  <c r="K1133" i="7"/>
  <c r="K1132" i="7"/>
  <c r="K1131" i="7"/>
  <c r="K1129" i="7"/>
  <c r="K1128" i="7"/>
  <c r="K1126" i="7"/>
  <c r="K1125" i="7"/>
  <c r="K1124" i="7"/>
  <c r="K1123" i="7"/>
  <c r="K1121" i="7"/>
  <c r="K1120" i="7"/>
  <c r="K1118" i="7"/>
  <c r="K1117" i="7"/>
  <c r="K1116" i="7"/>
  <c r="K1115" i="7"/>
  <c r="K1113" i="7"/>
  <c r="K1112" i="7"/>
  <c r="K1110" i="7"/>
  <c r="K1109" i="7"/>
  <c r="K1108" i="7"/>
  <c r="K1107" i="7"/>
  <c r="K1105" i="7"/>
  <c r="K1104" i="7"/>
  <c r="K1102" i="7"/>
  <c r="K1101" i="7"/>
  <c r="K1100" i="7"/>
  <c r="K1098" i="7"/>
  <c r="K1097" i="7"/>
  <c r="K1095" i="7"/>
  <c r="K1094" i="7"/>
  <c r="K1093" i="7"/>
  <c r="K1092" i="7"/>
  <c r="K1091" i="7"/>
  <c r="K1090" i="7"/>
  <c r="K1088" i="7"/>
  <c r="K1087" i="7"/>
  <c r="K1085" i="7"/>
  <c r="K1084" i="7"/>
  <c r="K1083" i="7"/>
  <c r="K1082" i="7"/>
  <c r="K1081" i="7"/>
  <c r="K1080" i="7"/>
  <c r="K1079" i="7"/>
  <c r="K1076" i="7"/>
  <c r="K1075" i="7"/>
  <c r="K1073" i="7"/>
  <c r="S1073" i="7" s="1"/>
  <c r="K1071" i="7"/>
  <c r="K1069" i="7"/>
  <c r="K1067" i="7"/>
  <c r="K1065" i="7"/>
  <c r="K1064" i="7"/>
  <c r="K1063" i="7"/>
  <c r="K1062" i="7"/>
  <c r="K1060" i="7"/>
  <c r="K1059" i="7"/>
  <c r="K1058" i="7"/>
  <c r="K1057" i="7"/>
  <c r="K1055" i="7"/>
  <c r="K1053" i="7"/>
  <c r="S1053" i="7" s="1"/>
  <c r="K1052" i="7"/>
  <c r="K1050" i="7"/>
  <c r="K1049" i="7"/>
  <c r="K1047" i="7"/>
  <c r="K1046" i="7"/>
  <c r="K1045" i="7"/>
  <c r="K1044" i="7"/>
  <c r="K1043" i="7"/>
  <c r="K1042" i="7"/>
  <c r="K1041" i="7"/>
  <c r="K1040" i="7"/>
  <c r="K1038" i="7"/>
  <c r="K1037" i="7"/>
  <c r="K1036" i="7"/>
  <c r="K1035" i="7"/>
  <c r="K1034" i="7"/>
  <c r="K1033" i="7"/>
  <c r="K1032" i="7"/>
  <c r="K1031" i="7"/>
  <c r="K1030" i="7"/>
  <c r="K1029" i="7"/>
  <c r="K1027" i="7"/>
  <c r="K1026" i="7"/>
  <c r="K1024" i="7"/>
  <c r="K1021" i="7"/>
  <c r="K1020" i="7"/>
  <c r="K1019" i="7"/>
  <c r="K1018" i="7"/>
  <c r="K1017" i="7"/>
  <c r="K1016" i="7"/>
  <c r="K1015" i="7"/>
  <c r="K1013" i="7"/>
  <c r="K1012" i="7"/>
  <c r="K1011" i="7"/>
  <c r="K1010" i="7"/>
  <c r="K1009" i="7"/>
  <c r="K1008" i="7"/>
  <c r="K1007" i="7"/>
  <c r="K1006" i="7"/>
  <c r="K1005" i="7"/>
  <c r="K1003" i="7"/>
  <c r="K1002" i="7"/>
  <c r="K1000" i="7"/>
  <c r="K999" i="7"/>
  <c r="K998" i="7"/>
  <c r="K996" i="7"/>
  <c r="K995" i="7"/>
  <c r="K993" i="7"/>
  <c r="K992" i="7"/>
  <c r="K991" i="7"/>
  <c r="K989" i="7"/>
  <c r="K988" i="7"/>
  <c r="K987" i="7"/>
  <c r="K986" i="7"/>
  <c r="K985" i="7"/>
  <c r="K984" i="7"/>
  <c r="K983" i="7"/>
  <c r="K981" i="7"/>
  <c r="K980" i="7"/>
  <c r="K979" i="7"/>
  <c r="K978" i="7"/>
  <c r="K977" i="7"/>
  <c r="K976" i="7"/>
  <c r="K975" i="7"/>
  <c r="K974" i="7"/>
  <c r="K972" i="7"/>
  <c r="K971" i="7"/>
  <c r="K969" i="7"/>
  <c r="K968" i="7"/>
  <c r="K966" i="7"/>
  <c r="K965" i="7"/>
  <c r="K964" i="7"/>
  <c r="K962" i="7"/>
  <c r="K961" i="7"/>
  <c r="K960" i="7"/>
  <c r="K959" i="7"/>
  <c r="K958" i="7"/>
  <c r="K957" i="7"/>
  <c r="K956" i="7"/>
  <c r="K954" i="7"/>
  <c r="K953" i="7"/>
  <c r="K952" i="7"/>
  <c r="K951" i="7"/>
  <c r="K949" i="7"/>
  <c r="K948" i="7"/>
  <c r="K947" i="7"/>
  <c r="K945" i="7"/>
  <c r="K944" i="7"/>
  <c r="K942" i="7"/>
  <c r="K941" i="7"/>
  <c r="K939" i="7"/>
  <c r="K938" i="7"/>
  <c r="K937" i="7"/>
  <c r="K936" i="7"/>
  <c r="K935" i="7"/>
  <c r="K934" i="7"/>
  <c r="K933" i="7"/>
  <c r="K931" i="7"/>
  <c r="K930" i="7"/>
  <c r="K929" i="7"/>
  <c r="K928" i="7"/>
  <c r="K927" i="7"/>
  <c r="K926" i="7"/>
  <c r="S926" i="7" s="1"/>
  <c r="K925" i="7"/>
  <c r="K924" i="7"/>
  <c r="K922" i="7"/>
  <c r="K921" i="7"/>
  <c r="K919" i="7"/>
  <c r="K918" i="7"/>
  <c r="K917" i="7"/>
  <c r="K916" i="7"/>
  <c r="K915" i="7"/>
  <c r="K914" i="7"/>
  <c r="K913" i="7"/>
  <c r="K912" i="7"/>
  <c r="K911" i="7"/>
  <c r="K909" i="7"/>
  <c r="K908" i="7"/>
  <c r="K907" i="7"/>
  <c r="K906" i="7"/>
  <c r="K905" i="7"/>
  <c r="K904" i="7"/>
  <c r="K902" i="7"/>
  <c r="K901" i="7"/>
  <c r="K900" i="7"/>
  <c r="K899" i="7"/>
  <c r="K898" i="7"/>
  <c r="K897" i="7"/>
  <c r="K896" i="7"/>
  <c r="K895" i="7"/>
  <c r="K893" i="7"/>
  <c r="K892" i="7"/>
  <c r="K890" i="7"/>
  <c r="K889" i="7"/>
  <c r="K887" i="7"/>
  <c r="K886" i="7"/>
  <c r="K885" i="7"/>
  <c r="K883" i="7"/>
  <c r="K882" i="7"/>
  <c r="K881" i="7"/>
  <c r="K879" i="7"/>
  <c r="K878" i="7"/>
  <c r="K877" i="7"/>
  <c r="K876" i="7"/>
  <c r="K875" i="7"/>
  <c r="K874" i="7"/>
  <c r="K873" i="7"/>
  <c r="K872" i="7"/>
  <c r="K870" i="7"/>
  <c r="K869" i="7"/>
  <c r="K867" i="7"/>
  <c r="K866" i="7"/>
  <c r="K865" i="7"/>
  <c r="K864" i="7"/>
  <c r="K862" i="7"/>
  <c r="K860" i="7"/>
  <c r="K858" i="7"/>
  <c r="K857" i="7"/>
  <c r="K854" i="7"/>
  <c r="K853" i="7"/>
  <c r="K852" i="7"/>
  <c r="K849" i="7"/>
  <c r="K848" i="7"/>
  <c r="K846" i="7"/>
  <c r="K845" i="7"/>
  <c r="K844" i="7"/>
  <c r="K843" i="7"/>
  <c r="K841" i="7"/>
  <c r="K839" i="7"/>
  <c r="K838" i="7"/>
  <c r="K836" i="7"/>
  <c r="K835" i="7"/>
  <c r="K833" i="7"/>
  <c r="K832" i="7"/>
  <c r="K831" i="7"/>
  <c r="S831" i="7" s="1"/>
  <c r="K829" i="7"/>
  <c r="K827" i="7"/>
  <c r="K826" i="7"/>
  <c r="K824" i="7"/>
  <c r="K823" i="7"/>
  <c r="K821" i="7"/>
  <c r="K819" i="7"/>
  <c r="K818" i="7"/>
  <c r="K816" i="7"/>
  <c r="K815" i="7"/>
  <c r="K813" i="7"/>
  <c r="K811" i="7"/>
  <c r="K810" i="7"/>
  <c r="K808" i="7"/>
  <c r="K807" i="7"/>
  <c r="K805" i="7"/>
  <c r="K803" i="7"/>
  <c r="K802" i="7"/>
  <c r="K800" i="7"/>
  <c r="K799" i="7"/>
  <c r="K798" i="7"/>
  <c r="K797" i="7"/>
  <c r="K796" i="7"/>
  <c r="K795" i="7"/>
  <c r="S795" i="7" s="1"/>
  <c r="K794" i="7"/>
  <c r="K792" i="7"/>
  <c r="K790" i="7"/>
  <c r="K789" i="7"/>
  <c r="K787" i="7"/>
  <c r="K786" i="7"/>
  <c r="K785" i="7"/>
  <c r="K784" i="7"/>
  <c r="K783" i="7"/>
  <c r="K782" i="7"/>
  <c r="K781" i="7"/>
  <c r="K780" i="7"/>
  <c r="K778" i="7"/>
  <c r="K776" i="7"/>
  <c r="K775" i="7"/>
  <c r="K773" i="7"/>
  <c r="K772" i="7"/>
  <c r="K771" i="7"/>
  <c r="K770" i="7"/>
  <c r="K768" i="7"/>
  <c r="K767" i="7"/>
  <c r="K766" i="7"/>
  <c r="K764" i="7"/>
  <c r="K762" i="7"/>
  <c r="K761" i="7"/>
  <c r="K759" i="7"/>
  <c r="K758" i="7"/>
  <c r="K756" i="7"/>
  <c r="K755" i="7"/>
  <c r="K754" i="7"/>
  <c r="K752" i="7"/>
  <c r="K750" i="7"/>
  <c r="K749" i="7"/>
  <c r="K747" i="7"/>
  <c r="K746" i="7"/>
  <c r="K744" i="7"/>
  <c r="K743" i="7"/>
  <c r="K742" i="7"/>
  <c r="K740" i="7"/>
  <c r="K738" i="7"/>
  <c r="K737" i="7"/>
  <c r="K735" i="7"/>
  <c r="K734" i="7"/>
  <c r="K733" i="7"/>
  <c r="K731" i="7"/>
  <c r="K729" i="7"/>
  <c r="K728" i="7"/>
  <c r="K726" i="7"/>
  <c r="K725" i="7"/>
  <c r="K724" i="7"/>
  <c r="K722" i="7"/>
  <c r="K720" i="7"/>
  <c r="K719" i="7"/>
  <c r="K717" i="7"/>
  <c r="K716" i="7"/>
  <c r="K715" i="7"/>
  <c r="K713" i="7"/>
  <c r="K711" i="7"/>
  <c r="K710" i="7"/>
  <c r="K708" i="7"/>
  <c r="K707" i="7"/>
  <c r="K706" i="7"/>
  <c r="K705" i="7"/>
  <c r="K704" i="7"/>
  <c r="K702" i="7"/>
  <c r="K701" i="7"/>
  <c r="K700" i="7"/>
  <c r="K699" i="7"/>
  <c r="K696" i="7"/>
  <c r="K694" i="7"/>
  <c r="K693" i="7"/>
  <c r="K692" i="7"/>
  <c r="K691" i="7"/>
  <c r="K689" i="7"/>
  <c r="K688" i="7"/>
  <c r="K686" i="7"/>
  <c r="K684" i="7"/>
  <c r="K683" i="7"/>
  <c r="K680" i="7"/>
  <c r="K679" i="7"/>
  <c r="K675" i="7"/>
  <c r="K674" i="7"/>
  <c r="K673" i="7"/>
  <c r="K672" i="7"/>
  <c r="K671" i="7"/>
  <c r="K670" i="7"/>
  <c r="K669" i="7"/>
  <c r="K668" i="7"/>
  <c r="K666" i="7"/>
  <c r="K664" i="7"/>
  <c r="K663" i="7"/>
  <c r="K661" i="7"/>
  <c r="K659" i="7"/>
  <c r="K658" i="7"/>
  <c r="K657" i="7"/>
  <c r="K656" i="7"/>
  <c r="K655" i="7"/>
  <c r="K654" i="7"/>
  <c r="K653" i="7"/>
  <c r="S653" i="7" s="1"/>
  <c r="K652" i="7"/>
  <c r="K596" i="7"/>
  <c r="K595" i="7"/>
  <c r="K594" i="7"/>
  <c r="K592" i="7"/>
  <c r="K591" i="7"/>
  <c r="K590" i="7"/>
  <c r="K589" i="7"/>
  <c r="K588" i="7"/>
  <c r="K587" i="7"/>
  <c r="K586" i="7"/>
  <c r="K585" i="7"/>
  <c r="K584" i="7"/>
  <c r="K583" i="7"/>
  <c r="K582" i="7"/>
  <c r="K581" i="7"/>
  <c r="K580" i="7"/>
  <c r="K579" i="7"/>
  <c r="K578" i="7"/>
  <c r="K577" i="7"/>
  <c r="K576" i="7"/>
  <c r="K575" i="7"/>
  <c r="K574" i="7"/>
  <c r="K573" i="7"/>
  <c r="K572" i="7"/>
  <c r="K571" i="7"/>
  <c r="K570" i="7"/>
  <c r="K569" i="7"/>
  <c r="K568" i="7"/>
  <c r="K567" i="7"/>
  <c r="K566" i="7"/>
  <c r="K565" i="7"/>
  <c r="K564" i="7"/>
  <c r="K563" i="7"/>
  <c r="K562" i="7"/>
  <c r="K561" i="7"/>
  <c r="K560" i="7"/>
  <c r="K559" i="7"/>
  <c r="K558" i="7"/>
  <c r="K557" i="7"/>
  <c r="K556" i="7"/>
  <c r="K555" i="7"/>
  <c r="K554" i="7"/>
  <c r="K553" i="7"/>
  <c r="K552" i="7"/>
  <c r="K551" i="7"/>
  <c r="K550" i="7"/>
  <c r="K549" i="7"/>
  <c r="K548" i="7"/>
  <c r="K547" i="7"/>
  <c r="K546" i="7"/>
  <c r="K545" i="7"/>
  <c r="K544" i="7"/>
  <c r="K543" i="7"/>
  <c r="K542" i="7"/>
  <c r="K541" i="7"/>
  <c r="K539" i="7"/>
  <c r="K538" i="7"/>
  <c r="K537" i="7"/>
  <c r="K536" i="7"/>
  <c r="K535" i="7"/>
  <c r="K534" i="7"/>
  <c r="K533" i="7"/>
  <c r="K532" i="7"/>
  <c r="K531" i="7"/>
  <c r="K530" i="7"/>
  <c r="K529" i="7"/>
  <c r="K528" i="7"/>
  <c r="K527" i="7"/>
  <c r="K526" i="7"/>
  <c r="K525" i="7"/>
  <c r="K524" i="7"/>
  <c r="K523" i="7"/>
  <c r="K522" i="7"/>
  <c r="K521" i="7"/>
  <c r="K520" i="7"/>
  <c r="K519" i="7"/>
  <c r="K518" i="7"/>
  <c r="K517" i="7"/>
  <c r="K516" i="7"/>
  <c r="K515" i="7"/>
  <c r="K514" i="7"/>
  <c r="K513" i="7"/>
  <c r="K510" i="7"/>
  <c r="K509" i="7"/>
  <c r="K506" i="7"/>
  <c r="K505" i="7"/>
  <c r="K504" i="7"/>
  <c r="K503" i="7"/>
  <c r="K501" i="7"/>
  <c r="K500" i="7"/>
  <c r="K498" i="7"/>
  <c r="K497" i="7"/>
  <c r="K496" i="7"/>
  <c r="K495" i="7"/>
  <c r="K494" i="7"/>
  <c r="K492" i="7"/>
  <c r="K491" i="7"/>
  <c r="K434" i="7"/>
  <c r="K433" i="7"/>
  <c r="K431" i="7"/>
  <c r="K430" i="7"/>
  <c r="K428" i="7"/>
  <c r="K427" i="7"/>
  <c r="K426" i="7"/>
  <c r="K422" i="7"/>
  <c r="K421" i="7"/>
  <c r="K418" i="7"/>
  <c r="K415" i="7"/>
  <c r="K414" i="7"/>
  <c r="K413" i="7"/>
  <c r="K412" i="7"/>
  <c r="K407" i="7"/>
  <c r="K406" i="7"/>
  <c r="K402" i="7"/>
  <c r="K401" i="7"/>
  <c r="K400" i="7"/>
  <c r="K398" i="7"/>
  <c r="K397" i="7"/>
  <c r="K395" i="7"/>
  <c r="K394" i="7"/>
  <c r="K393" i="7"/>
  <c r="K392" i="7"/>
  <c r="K391" i="7"/>
  <c r="K390" i="7"/>
  <c r="K389" i="7"/>
  <c r="K385" i="7"/>
  <c r="K382" i="7"/>
  <c r="K381" i="7"/>
  <c r="K380" i="7"/>
  <c r="K378" i="7"/>
  <c r="K374" i="7"/>
  <c r="K373" i="7"/>
  <c r="K372" i="7"/>
  <c r="K370" i="7"/>
  <c r="K318" i="7"/>
  <c r="K317" i="7"/>
  <c r="K316" i="7"/>
  <c r="K315" i="7"/>
  <c r="K314" i="7"/>
  <c r="K312" i="7"/>
  <c r="K311" i="7"/>
  <c r="K308" i="7"/>
  <c r="K307" i="7"/>
  <c r="S307" i="7" s="1"/>
  <c r="K306" i="7"/>
  <c r="K305" i="7"/>
  <c r="K304" i="7"/>
  <c r="K303" i="7"/>
  <c r="K302" i="7"/>
  <c r="K301" i="7"/>
  <c r="K299" i="7"/>
  <c r="K297" i="7"/>
  <c r="K296" i="7"/>
  <c r="K293" i="7"/>
  <c r="K291" i="7"/>
  <c r="K290" i="7"/>
  <c r="K287" i="7"/>
  <c r="K285" i="7"/>
  <c r="K284" i="7"/>
  <c r="K281" i="7"/>
  <c r="K280" i="7"/>
  <c r="K279" i="7"/>
  <c r="K278" i="7"/>
  <c r="K277" i="7"/>
  <c r="K275" i="7"/>
  <c r="K274" i="7"/>
  <c r="K271" i="7"/>
  <c r="K270" i="7"/>
  <c r="K269" i="7"/>
  <c r="K266" i="7"/>
  <c r="K261" i="7"/>
  <c r="K260" i="7"/>
  <c r="K259" i="7"/>
  <c r="K258" i="7"/>
  <c r="K256" i="7"/>
  <c r="K255" i="7"/>
  <c r="K250" i="7"/>
  <c r="K249" i="7"/>
  <c r="K247" i="7"/>
  <c r="K206" i="7"/>
  <c r="K205" i="7"/>
  <c r="K202" i="7"/>
  <c r="K201" i="7"/>
  <c r="K200" i="7"/>
  <c r="K199" i="7"/>
  <c r="K197" i="7"/>
  <c r="K196" i="7"/>
  <c r="K195" i="7"/>
  <c r="K192" i="7"/>
  <c r="K191" i="7"/>
  <c r="K188" i="7"/>
  <c r="K187" i="7"/>
  <c r="K182" i="7"/>
  <c r="K181" i="7"/>
  <c r="K180" i="7"/>
  <c r="K176" i="7"/>
  <c r="K175" i="7"/>
  <c r="K173" i="7"/>
  <c r="K171" i="7"/>
  <c r="K169" i="7"/>
  <c r="K168" i="7"/>
  <c r="K167" i="7"/>
  <c r="K165" i="7"/>
  <c r="K164" i="7"/>
  <c r="K162" i="7"/>
  <c r="K161" i="7"/>
  <c r="K160" i="7"/>
  <c r="K159" i="7"/>
  <c r="K158" i="7"/>
  <c r="K155" i="7"/>
  <c r="K150" i="7"/>
  <c r="K149" i="7"/>
  <c r="K146" i="7"/>
  <c r="K144" i="7"/>
  <c r="K143" i="7"/>
  <c r="K140" i="7"/>
  <c r="K139" i="7"/>
  <c r="K137" i="7"/>
  <c r="K136" i="7"/>
  <c r="K133" i="7"/>
  <c r="K94" i="7"/>
  <c r="S94" i="7" s="1"/>
  <c r="K89" i="7"/>
  <c r="S89" i="7" s="1"/>
  <c r="K76" i="7"/>
  <c r="K75" i="7"/>
  <c r="K72" i="7"/>
  <c r="K71" i="7"/>
  <c r="K67" i="7"/>
  <c r="K66" i="7"/>
  <c r="K65" i="7"/>
  <c r="K64" i="7"/>
  <c r="K63" i="7"/>
  <c r="K62" i="7"/>
  <c r="K61" i="7"/>
  <c r="K60" i="7"/>
  <c r="K59" i="7"/>
  <c r="K58" i="7"/>
  <c r="K57" i="7"/>
  <c r="K56" i="7"/>
  <c r="K54" i="7"/>
  <c r="K52" i="7"/>
  <c r="K51" i="7"/>
  <c r="K50" i="7"/>
  <c r="K48" i="7"/>
  <c r="K46" i="7"/>
  <c r="K45" i="7"/>
  <c r="K44" i="7"/>
  <c r="K43" i="7"/>
  <c r="K42" i="7"/>
  <c r="K40" i="7"/>
  <c r="K39" i="7"/>
  <c r="K35" i="7"/>
  <c r="K31" i="7"/>
  <c r="K30" i="7"/>
  <c r="K28" i="7"/>
  <c r="K26" i="7"/>
  <c r="K21" i="7"/>
  <c r="K18" i="7"/>
  <c r="K15" i="7"/>
  <c r="K14" i="7"/>
  <c r="K13" i="7"/>
  <c r="K12" i="7"/>
  <c r="K11" i="7"/>
  <c r="J1986" i="7"/>
  <c r="J1985" i="7" s="1"/>
  <c r="J1993" i="7"/>
  <c r="J1990" i="7" s="1"/>
  <c r="R1813" i="7"/>
  <c r="J1810" i="7"/>
  <c r="J1816" i="7"/>
  <c r="J1823" i="7"/>
  <c r="R1828" i="7"/>
  <c r="R1834" i="7"/>
  <c r="R1837" i="7"/>
  <c r="R1838" i="7"/>
  <c r="J1836" i="7"/>
  <c r="J1843" i="7"/>
  <c r="J1848" i="7"/>
  <c r="J1864" i="7"/>
  <c r="J1873" i="7"/>
  <c r="J1878" i="7"/>
  <c r="J1877" i="7" s="1"/>
  <c r="J1885" i="7"/>
  <c r="J1888" i="7"/>
  <c r="R1888" i="7" s="1"/>
  <c r="R1892" i="7"/>
  <c r="J1893" i="7"/>
  <c r="R1893" i="7" s="1"/>
  <c r="J1902" i="7"/>
  <c r="J1901" i="7" s="1"/>
  <c r="R1908" i="7"/>
  <c r="J1909" i="7"/>
  <c r="J1916" i="7"/>
  <c r="J1915" i="7" s="1"/>
  <c r="J1919" i="7"/>
  <c r="J1922" i="7"/>
  <c r="J1928" i="7"/>
  <c r="J1925" i="7" s="1"/>
  <c r="J1937" i="7"/>
  <c r="J1934" i="7" s="1"/>
  <c r="J1933" i="7" s="1"/>
  <c r="J1689" i="7"/>
  <c r="R1689" i="7" s="1"/>
  <c r="J1691" i="7"/>
  <c r="R1691" i="7" s="1"/>
  <c r="R1707" i="7"/>
  <c r="R1712" i="7"/>
  <c r="J1709" i="7"/>
  <c r="R1721" i="7"/>
  <c r="J1720" i="7"/>
  <c r="R1720" i="7" s="1"/>
  <c r="J1732" i="7"/>
  <c r="J1735" i="7"/>
  <c r="J1734" i="7" s="1"/>
  <c r="J1741" i="7"/>
  <c r="J1744" i="7"/>
  <c r="J1751" i="7"/>
  <c r="J1762" i="7"/>
  <c r="J1631" i="7"/>
  <c r="R1634" i="7"/>
  <c r="J1642" i="7"/>
  <c r="J1657" i="7"/>
  <c r="R1660" i="7"/>
  <c r="J1665" i="7"/>
  <c r="J1664" i="7" s="1"/>
  <c r="J1675" i="7"/>
  <c r="J1674" i="7" s="1"/>
  <c r="J1515" i="7"/>
  <c r="J1518" i="7"/>
  <c r="J1517" i="7" s="1"/>
  <c r="J1531" i="7"/>
  <c r="R1536" i="7"/>
  <c r="J1535" i="7"/>
  <c r="J1541" i="7"/>
  <c r="J1546" i="7"/>
  <c r="J1559" i="7"/>
  <c r="J1567" i="7"/>
  <c r="J1577" i="7"/>
  <c r="J1574" i="7" s="1"/>
  <c r="J1585" i="7"/>
  <c r="J1586" i="7"/>
  <c r="R1586" i="7" s="1"/>
  <c r="J1588" i="7"/>
  <c r="J1589" i="7"/>
  <c r="R1589" i="7" s="1"/>
  <c r="J1590" i="7"/>
  <c r="R1590" i="7" s="1"/>
  <c r="J1591" i="7"/>
  <c r="R1591" i="7" s="1"/>
  <c r="J1592" i="7"/>
  <c r="R1592" i="7" s="1"/>
  <c r="J1607" i="7"/>
  <c r="J1604" i="7" s="1"/>
  <c r="J1593" i="7" s="1"/>
  <c r="R651" i="7"/>
  <c r="J665" i="7"/>
  <c r="J662" i="7" s="1"/>
  <c r="J677" i="7"/>
  <c r="R677" i="7" s="1"/>
  <c r="J685" i="7"/>
  <c r="J695" i="7"/>
  <c r="R695" i="7" s="1"/>
  <c r="J712" i="7"/>
  <c r="J721" i="7"/>
  <c r="J730" i="7"/>
  <c r="J727" i="7" s="1"/>
  <c r="J739" i="7"/>
  <c r="J745" i="7"/>
  <c r="J751" i="7"/>
  <c r="J763" i="7"/>
  <c r="R763" i="7" s="1"/>
  <c r="J769" i="7"/>
  <c r="J777" i="7"/>
  <c r="J791" i="7"/>
  <c r="J804" i="7"/>
  <c r="J801" i="7" s="1"/>
  <c r="J812" i="7"/>
  <c r="J809" i="7" s="1"/>
  <c r="R809" i="7" s="1"/>
  <c r="J820" i="7"/>
  <c r="J828" i="7"/>
  <c r="J834" i="7"/>
  <c r="J840" i="7"/>
  <c r="J851" i="7"/>
  <c r="R851" i="7" s="1"/>
  <c r="J859" i="7"/>
  <c r="R859" i="7" s="1"/>
  <c r="J871" i="7"/>
  <c r="J894" i="7"/>
  <c r="J903" i="7"/>
  <c r="J923" i="7"/>
  <c r="J932" i="7"/>
  <c r="J946" i="7"/>
  <c r="J955" i="7"/>
  <c r="J967" i="7"/>
  <c r="J973" i="7"/>
  <c r="J982" i="7"/>
  <c r="R982" i="7" s="1"/>
  <c r="J994" i="7"/>
  <c r="J1004" i="7"/>
  <c r="J1014" i="7"/>
  <c r="R1014" i="7" s="1"/>
  <c r="J1028" i="7"/>
  <c r="J1039" i="7"/>
  <c r="J1054" i="7"/>
  <c r="J1061" i="7"/>
  <c r="R1068" i="7"/>
  <c r="J1078" i="7"/>
  <c r="R1078" i="7" s="1"/>
  <c r="J1089" i="7"/>
  <c r="J1086" i="7" s="1"/>
  <c r="R1086" i="7" s="1"/>
  <c r="J1099" i="7"/>
  <c r="J1096" i="7" s="1"/>
  <c r="J1106" i="7"/>
  <c r="J1103" i="7" s="1"/>
  <c r="J1114" i="7"/>
  <c r="J1111" i="7" s="1"/>
  <c r="J1122" i="7"/>
  <c r="J1130" i="7"/>
  <c r="J1127" i="7" s="1"/>
  <c r="J1137" i="7"/>
  <c r="J1145" i="7"/>
  <c r="J1142" i="7" s="1"/>
  <c r="J1153" i="7"/>
  <c r="J1150" i="7" s="1"/>
  <c r="J1161" i="7"/>
  <c r="J1158" i="7" s="1"/>
  <c r="J1169" i="7"/>
  <c r="J1166" i="7" s="1"/>
  <c r="R1166" i="7" s="1"/>
  <c r="J1178" i="7"/>
  <c r="R1178" i="7" s="1"/>
  <c r="J1188" i="7"/>
  <c r="J1185" i="7" s="1"/>
  <c r="J1195" i="7"/>
  <c r="J1192" i="7" s="1"/>
  <c r="R1192" i="7" s="1"/>
  <c r="J1202" i="7"/>
  <c r="J1199" i="7" s="1"/>
  <c r="R1199" i="7" s="1"/>
  <c r="J1209" i="7"/>
  <c r="J1206" i="7" s="1"/>
  <c r="J1216" i="7"/>
  <c r="J1213" i="7" s="1"/>
  <c r="R1213" i="7" s="1"/>
  <c r="J1223" i="7"/>
  <c r="J1220" i="7" s="1"/>
  <c r="R1220" i="7" s="1"/>
  <c r="J1230" i="7"/>
  <c r="J1227" i="7" s="1"/>
  <c r="R1227" i="7" s="1"/>
  <c r="J1237" i="7"/>
  <c r="J1244" i="7"/>
  <c r="J1241" i="7" s="1"/>
  <c r="J1252" i="7"/>
  <c r="J1249" i="7" s="1"/>
  <c r="J1259" i="7"/>
  <c r="J1256" i="7" s="1"/>
  <c r="J1266" i="7"/>
  <c r="J1273" i="7"/>
  <c r="J1270" i="7" s="1"/>
  <c r="J1280" i="7"/>
  <c r="J1277" i="7" s="1"/>
  <c r="J1288" i="7"/>
  <c r="J1296" i="7"/>
  <c r="J1305" i="7"/>
  <c r="J1313" i="7"/>
  <c r="J1320" i="7"/>
  <c r="J1322" i="7"/>
  <c r="J1319" i="7" s="1"/>
  <c r="J1327" i="7"/>
  <c r="J1335" i="7"/>
  <c r="R1335" i="7" s="1"/>
  <c r="J1344" i="7"/>
  <c r="J1352" i="7"/>
  <c r="J1361" i="7"/>
  <c r="R1369" i="7"/>
  <c r="J1370" i="7"/>
  <c r="J1380" i="7"/>
  <c r="J1389" i="7"/>
  <c r="J1396" i="7"/>
  <c r="R1403" i="7"/>
  <c r="J1404" i="7"/>
  <c r="J1411" i="7"/>
  <c r="J1420" i="7"/>
  <c r="J1419" i="7" s="1"/>
  <c r="J1422" i="7"/>
  <c r="R1422" i="7" s="1"/>
  <c r="J1427" i="7"/>
  <c r="J1439" i="7"/>
  <c r="J486" i="7"/>
  <c r="J490" i="7"/>
  <c r="J502" i="7"/>
  <c r="J499" i="7" s="1"/>
  <c r="J508" i="7"/>
  <c r="J512" i="7"/>
  <c r="J511" i="7" s="1"/>
  <c r="J593" i="7"/>
  <c r="J368" i="7"/>
  <c r="R369" i="7"/>
  <c r="R376" i="7"/>
  <c r="J377" i="7"/>
  <c r="R377" i="7" s="1"/>
  <c r="J379" i="7"/>
  <c r="J384" i="7"/>
  <c r="J386" i="7"/>
  <c r="J399" i="7"/>
  <c r="J405" i="7"/>
  <c r="J409" i="7"/>
  <c r="J411" i="7"/>
  <c r="J417" i="7"/>
  <c r="J416" i="7" s="1"/>
  <c r="R416" i="7" s="1"/>
  <c r="J420" i="7"/>
  <c r="J425" i="7"/>
  <c r="R425" i="7" s="1"/>
  <c r="J429" i="7"/>
  <c r="J432" i="7"/>
  <c r="J248" i="7"/>
  <c r="J246" i="7" s="1"/>
  <c r="R253" i="7"/>
  <c r="J254" i="7"/>
  <c r="R263" i="7"/>
  <c r="R267" i="7"/>
  <c r="J265" i="7"/>
  <c r="J276" i="7"/>
  <c r="J272" i="7" s="1"/>
  <c r="J286" i="7"/>
  <c r="J292" i="7"/>
  <c r="J295" i="7"/>
  <c r="J300" i="7"/>
  <c r="J313" i="7"/>
  <c r="J128" i="7"/>
  <c r="J132" i="7"/>
  <c r="J131" i="7" s="1"/>
  <c r="J135" i="7"/>
  <c r="J138" i="7"/>
  <c r="J142" i="7"/>
  <c r="J145" i="7"/>
  <c r="J148" i="7"/>
  <c r="J147" i="7" s="1"/>
  <c r="J152" i="7"/>
  <c r="J157" i="7"/>
  <c r="J166" i="7"/>
  <c r="J177" i="7"/>
  <c r="J183" i="7"/>
  <c r="J186" i="7"/>
  <c r="J190" i="7"/>
  <c r="J189" i="7" s="1"/>
  <c r="J194" i="7"/>
  <c r="J198" i="7"/>
  <c r="J204" i="7"/>
  <c r="J203" i="7" s="1"/>
  <c r="J88" i="7"/>
  <c r="R91" i="7"/>
  <c r="J93" i="7"/>
  <c r="R93" i="7" s="1"/>
  <c r="J95" i="7"/>
  <c r="J10" i="7"/>
  <c r="J9" i="7" s="1"/>
  <c r="J17" i="7"/>
  <c r="J20" i="7"/>
  <c r="J19" i="7" s="1"/>
  <c r="J25" i="7"/>
  <c r="J24" i="7" s="1"/>
  <c r="J29" i="7"/>
  <c r="J41" i="7"/>
  <c r="J49" i="7"/>
  <c r="J55" i="7"/>
  <c r="J70" i="7"/>
  <c r="J74" i="7"/>
  <c r="R1987" i="7"/>
  <c r="R1988" i="7"/>
  <c r="R1991" i="7"/>
  <c r="R1992" i="7"/>
  <c r="R1994" i="7"/>
  <c r="R1995" i="7"/>
  <c r="R1996" i="7"/>
  <c r="R1997" i="7"/>
  <c r="R1808" i="7"/>
  <c r="R1809" i="7"/>
  <c r="R1811" i="7"/>
  <c r="R1812" i="7"/>
  <c r="R1815" i="7"/>
  <c r="R1817" i="7"/>
  <c r="R1820" i="7"/>
  <c r="R1821" i="7"/>
  <c r="R1822" i="7"/>
  <c r="R1825" i="7"/>
  <c r="R1826" i="7"/>
  <c r="R1827" i="7"/>
  <c r="R1829" i="7"/>
  <c r="R1830" i="7"/>
  <c r="R1831" i="7"/>
  <c r="R1835" i="7"/>
  <c r="R1839" i="7"/>
  <c r="R1840" i="7"/>
  <c r="R1844" i="7"/>
  <c r="R1845" i="7"/>
  <c r="R1846" i="7"/>
  <c r="R1850" i="7"/>
  <c r="R1851" i="7"/>
  <c r="R1852" i="7"/>
  <c r="R1853" i="7"/>
  <c r="R1854" i="7"/>
  <c r="R1855" i="7"/>
  <c r="R1856" i="7"/>
  <c r="R1857" i="7"/>
  <c r="R1858" i="7"/>
  <c r="R1859" i="7"/>
  <c r="R1862" i="7"/>
  <c r="R1863" i="7"/>
  <c r="R1865" i="7"/>
  <c r="R1866" i="7"/>
  <c r="R1867" i="7"/>
  <c r="R1868" i="7"/>
  <c r="R1869" i="7"/>
  <c r="S1869" i="7"/>
  <c r="R1870" i="7"/>
  <c r="R1871" i="7"/>
  <c r="R1874" i="7"/>
  <c r="R1875" i="7"/>
  <c r="R1876" i="7"/>
  <c r="R1879" i="7"/>
  <c r="R1880" i="7"/>
  <c r="R1881" i="7"/>
  <c r="R1882" i="7"/>
  <c r="R1884" i="7"/>
  <c r="R1886" i="7"/>
  <c r="R1887" i="7"/>
  <c r="R1889" i="7"/>
  <c r="R1891" i="7"/>
  <c r="R1894" i="7"/>
  <c r="R1895" i="7"/>
  <c r="R1896" i="7"/>
  <c r="R1897" i="7"/>
  <c r="R1898" i="7"/>
  <c r="R1899" i="7"/>
  <c r="R1900" i="7"/>
  <c r="R1903" i="7"/>
  <c r="R1907" i="7"/>
  <c r="R1910" i="7"/>
  <c r="R1911" i="7"/>
  <c r="R1912" i="7"/>
  <c r="R1913" i="7"/>
  <c r="R1914" i="7"/>
  <c r="R1917" i="7"/>
  <c r="R1920" i="7"/>
  <c r="R1923" i="7"/>
  <c r="R1926" i="7"/>
  <c r="R1927" i="7"/>
  <c r="R1929" i="7"/>
  <c r="R1930" i="7"/>
  <c r="R1931" i="7"/>
  <c r="R1932" i="7"/>
  <c r="R1935" i="7"/>
  <c r="R1936" i="7"/>
  <c r="R1938" i="7"/>
  <c r="R1939" i="7"/>
  <c r="R1940" i="7"/>
  <c r="R1941" i="7"/>
  <c r="R1942" i="7"/>
  <c r="R1943" i="7"/>
  <c r="R1944" i="7"/>
  <c r="R1690" i="7"/>
  <c r="R1701" i="7"/>
  <c r="R1702" i="7"/>
  <c r="R1703" i="7"/>
  <c r="R1704" i="7"/>
  <c r="R1705" i="7"/>
  <c r="R1708" i="7"/>
  <c r="R1710" i="7"/>
  <c r="R1711" i="7"/>
  <c r="R1713" i="7"/>
  <c r="R1714" i="7"/>
  <c r="R1716" i="7"/>
  <c r="R1718" i="7"/>
  <c r="R1719" i="7"/>
  <c r="R1722" i="7"/>
  <c r="R1723" i="7"/>
  <c r="R1724" i="7"/>
  <c r="R1725" i="7"/>
  <c r="R1726" i="7"/>
  <c r="R1728" i="7"/>
  <c r="R1733" i="7"/>
  <c r="R1736" i="7"/>
  <c r="R1739" i="7"/>
  <c r="R1742" i="7"/>
  <c r="R1743" i="7"/>
  <c r="R1746" i="7"/>
  <c r="R1749" i="7"/>
  <c r="R1750" i="7"/>
  <c r="R1752" i="7"/>
  <c r="R1754" i="7"/>
  <c r="R1757" i="7"/>
  <c r="R1760" i="7"/>
  <c r="R1761" i="7"/>
  <c r="R1763" i="7"/>
  <c r="R1764" i="7"/>
  <c r="R1765" i="7"/>
  <c r="R1766" i="7"/>
  <c r="R1767" i="7"/>
  <c r="R1769" i="7"/>
  <c r="R1632" i="7"/>
  <c r="R1633" i="7"/>
  <c r="R1635" i="7"/>
  <c r="R1636" i="7"/>
  <c r="R1637" i="7"/>
  <c r="R1638" i="7"/>
  <c r="R1641" i="7"/>
  <c r="R1643" i="7"/>
  <c r="R1644" i="7"/>
  <c r="R1645" i="7"/>
  <c r="R1646" i="7"/>
  <c r="R1647" i="7"/>
  <c r="R1648" i="7"/>
  <c r="R1649" i="7"/>
  <c r="R1650" i="7"/>
  <c r="R1651" i="7"/>
  <c r="R1652" i="7"/>
  <c r="R1653" i="7"/>
  <c r="R1656" i="7"/>
  <c r="R1658" i="7"/>
  <c r="R1659" i="7"/>
  <c r="R1666" i="7"/>
  <c r="R1667" i="7"/>
  <c r="R1668" i="7"/>
  <c r="R1669" i="7"/>
  <c r="R1670" i="7"/>
  <c r="R1671" i="7"/>
  <c r="R1672" i="7"/>
  <c r="R1673" i="7"/>
  <c r="R1676" i="7"/>
  <c r="R1677" i="7"/>
  <c r="R1516" i="7"/>
  <c r="R1519" i="7"/>
  <c r="R1520" i="7"/>
  <c r="R1521" i="7"/>
  <c r="R1522" i="7"/>
  <c r="R1523" i="7"/>
  <c r="R1524" i="7"/>
  <c r="R1525" i="7"/>
  <c r="R1526" i="7"/>
  <c r="R1527" i="7"/>
  <c r="R1528" i="7"/>
  <c r="R1532" i="7"/>
  <c r="R1533" i="7"/>
  <c r="R1537" i="7"/>
  <c r="R1538" i="7"/>
  <c r="R1539" i="7"/>
  <c r="R1540" i="7"/>
  <c r="R1543" i="7"/>
  <c r="R1544" i="7"/>
  <c r="R1547" i="7"/>
  <c r="R1550" i="7"/>
  <c r="R1551" i="7"/>
  <c r="R1553" i="7"/>
  <c r="R1557" i="7"/>
  <c r="R1558" i="7"/>
  <c r="R1560" i="7"/>
  <c r="R1561" i="7"/>
  <c r="R1562" i="7"/>
  <c r="R1563" i="7"/>
  <c r="R1564" i="7"/>
  <c r="R1565" i="7"/>
  <c r="R1568" i="7"/>
  <c r="R1569" i="7"/>
  <c r="R1572" i="7"/>
  <c r="R1573" i="7"/>
  <c r="R1575" i="7"/>
  <c r="R1576" i="7"/>
  <c r="R1578" i="7"/>
  <c r="R1579" i="7"/>
  <c r="R1580" i="7"/>
  <c r="R1581" i="7"/>
  <c r="R1582" i="7"/>
  <c r="R1588" i="7"/>
  <c r="R1598" i="7"/>
  <c r="R1599" i="7"/>
  <c r="R1601" i="7"/>
  <c r="R1602" i="7"/>
  <c r="R1603" i="7"/>
  <c r="R1605" i="7"/>
  <c r="R1606" i="7"/>
  <c r="R1608" i="7"/>
  <c r="R1609" i="7"/>
  <c r="R1610" i="7"/>
  <c r="R1611" i="7"/>
  <c r="R1612" i="7"/>
  <c r="R652" i="7"/>
  <c r="R653" i="7"/>
  <c r="R654" i="7"/>
  <c r="R655" i="7"/>
  <c r="R656" i="7"/>
  <c r="R657" i="7"/>
  <c r="R658" i="7"/>
  <c r="R659" i="7"/>
  <c r="R661" i="7"/>
  <c r="R663" i="7"/>
  <c r="R664" i="7"/>
  <c r="R666" i="7"/>
  <c r="R667" i="7"/>
  <c r="R668" i="7"/>
  <c r="R669" i="7"/>
  <c r="R670" i="7"/>
  <c r="R671" i="7"/>
  <c r="R673" i="7"/>
  <c r="R675" i="7"/>
  <c r="R679" i="7"/>
  <c r="R680" i="7"/>
  <c r="R683" i="7"/>
  <c r="R684" i="7"/>
  <c r="R686" i="7"/>
  <c r="R687" i="7"/>
  <c r="R688" i="7"/>
  <c r="R689" i="7"/>
  <c r="R691" i="7"/>
  <c r="R692" i="7"/>
  <c r="R693" i="7"/>
  <c r="R694" i="7"/>
  <c r="R696" i="7"/>
  <c r="R697" i="7"/>
  <c r="R698" i="7"/>
  <c r="R699" i="7"/>
  <c r="R700" i="7"/>
  <c r="R701" i="7"/>
  <c r="R702" i="7"/>
  <c r="R705" i="7"/>
  <c r="R707" i="7"/>
  <c r="R708" i="7"/>
  <c r="R710" i="7"/>
  <c r="R711" i="7"/>
  <c r="R713" i="7"/>
  <c r="R714" i="7"/>
  <c r="R715" i="7"/>
  <c r="R716" i="7"/>
  <c r="R717" i="7"/>
  <c r="R719" i="7"/>
  <c r="R720" i="7"/>
  <c r="R722" i="7"/>
  <c r="R723" i="7"/>
  <c r="R724" i="7"/>
  <c r="R725" i="7"/>
  <c r="R726" i="7"/>
  <c r="R728" i="7"/>
  <c r="R729" i="7"/>
  <c r="R731" i="7"/>
  <c r="R732" i="7"/>
  <c r="R733" i="7"/>
  <c r="R734" i="7"/>
  <c r="R735" i="7"/>
  <c r="R737" i="7"/>
  <c r="R738" i="7"/>
  <c r="R740" i="7"/>
  <c r="R742" i="7"/>
  <c r="R743" i="7"/>
  <c r="R744" i="7"/>
  <c r="R747" i="7"/>
  <c r="R749" i="7"/>
  <c r="R750" i="7"/>
  <c r="R752" i="7"/>
  <c r="R754" i="7"/>
  <c r="R755" i="7"/>
  <c r="R756" i="7"/>
  <c r="R759" i="7"/>
  <c r="R761" i="7"/>
  <c r="R762" i="7"/>
  <c r="R764" i="7"/>
  <c r="R766" i="7"/>
  <c r="R767" i="7"/>
  <c r="R768" i="7"/>
  <c r="R771" i="7"/>
  <c r="R775" i="7"/>
  <c r="R776" i="7"/>
  <c r="R778" i="7"/>
  <c r="R780" i="7"/>
  <c r="R781" i="7"/>
  <c r="R782" i="7"/>
  <c r="R785" i="7"/>
  <c r="R787" i="7"/>
  <c r="R789" i="7"/>
  <c r="R790" i="7"/>
  <c r="R792" i="7"/>
  <c r="R793" i="7"/>
  <c r="R794" i="7"/>
  <c r="R795" i="7"/>
  <c r="R796" i="7"/>
  <c r="R797" i="7"/>
  <c r="R800" i="7"/>
  <c r="R802" i="7"/>
  <c r="R803" i="7"/>
  <c r="R805" i="7"/>
  <c r="R806" i="7"/>
  <c r="R807" i="7"/>
  <c r="R808" i="7"/>
  <c r="R810" i="7"/>
  <c r="R811" i="7"/>
  <c r="R813" i="7"/>
  <c r="R814" i="7"/>
  <c r="R815" i="7"/>
  <c r="R816" i="7"/>
  <c r="R818" i="7"/>
  <c r="R819" i="7"/>
  <c r="R821" i="7"/>
  <c r="R822" i="7"/>
  <c r="R823" i="7"/>
  <c r="R824" i="7"/>
  <c r="R826" i="7"/>
  <c r="R827" i="7"/>
  <c r="R829" i="7"/>
  <c r="R830" i="7"/>
  <c r="R831" i="7"/>
  <c r="R832" i="7"/>
  <c r="R833" i="7"/>
  <c r="R836" i="7"/>
  <c r="R838" i="7"/>
  <c r="R839" i="7"/>
  <c r="R841" i="7"/>
  <c r="R842" i="7"/>
  <c r="R843" i="7"/>
  <c r="R844" i="7"/>
  <c r="R845" i="7"/>
  <c r="R846" i="7"/>
  <c r="R849" i="7"/>
  <c r="R852" i="7"/>
  <c r="R853" i="7"/>
  <c r="R854" i="7"/>
  <c r="R857" i="7"/>
  <c r="R858" i="7"/>
  <c r="R860" i="7"/>
  <c r="R861" i="7"/>
  <c r="R862" i="7"/>
  <c r="R865" i="7"/>
  <c r="R867" i="7"/>
  <c r="R869" i="7"/>
  <c r="R870" i="7"/>
  <c r="R872" i="7"/>
  <c r="R873" i="7"/>
  <c r="R874" i="7"/>
  <c r="R875" i="7"/>
  <c r="R876" i="7"/>
  <c r="R877" i="7"/>
  <c r="R878" i="7"/>
  <c r="R879" i="7"/>
  <c r="R881" i="7"/>
  <c r="R882" i="7"/>
  <c r="R883" i="7"/>
  <c r="R885" i="7"/>
  <c r="R886" i="7"/>
  <c r="R887" i="7"/>
  <c r="R890" i="7"/>
  <c r="R892" i="7"/>
  <c r="R893" i="7"/>
  <c r="R895" i="7"/>
  <c r="R896" i="7"/>
  <c r="R897" i="7"/>
  <c r="R898" i="7"/>
  <c r="R899" i="7"/>
  <c r="R900" i="7"/>
  <c r="R901" i="7"/>
  <c r="R902" i="7"/>
  <c r="R904" i="7"/>
  <c r="R905" i="7"/>
  <c r="R906" i="7"/>
  <c r="R907" i="7"/>
  <c r="R908" i="7"/>
  <c r="R909" i="7"/>
  <c r="R912" i="7"/>
  <c r="R916" i="7"/>
  <c r="R919" i="7"/>
  <c r="R921" i="7"/>
  <c r="R922" i="7"/>
  <c r="R924" i="7"/>
  <c r="R925" i="7"/>
  <c r="R926" i="7"/>
  <c r="R927" i="7"/>
  <c r="R928" i="7"/>
  <c r="R929" i="7"/>
  <c r="R930" i="7"/>
  <c r="R931" i="7"/>
  <c r="R933" i="7"/>
  <c r="R934" i="7"/>
  <c r="R935" i="7"/>
  <c r="R936" i="7"/>
  <c r="R937" i="7"/>
  <c r="R938" i="7"/>
  <c r="R939" i="7"/>
  <c r="R942" i="7"/>
  <c r="R944" i="7"/>
  <c r="R945" i="7"/>
  <c r="R947" i="7"/>
  <c r="R948" i="7"/>
  <c r="R949" i="7"/>
  <c r="R950" i="7"/>
  <c r="R951" i="7"/>
  <c r="R952" i="7"/>
  <c r="R953" i="7"/>
  <c r="R954" i="7"/>
  <c r="R956" i="7"/>
  <c r="R957" i="7"/>
  <c r="R958" i="7"/>
  <c r="R959" i="7"/>
  <c r="R960" i="7"/>
  <c r="R961" i="7"/>
  <c r="R962" i="7"/>
  <c r="R965" i="7"/>
  <c r="R969" i="7"/>
  <c r="R971" i="7"/>
  <c r="R972" i="7"/>
  <c r="R974" i="7"/>
  <c r="R975" i="7"/>
  <c r="R976" i="7"/>
  <c r="R977" i="7"/>
  <c r="R978" i="7"/>
  <c r="R979" i="7"/>
  <c r="R980" i="7"/>
  <c r="R981" i="7"/>
  <c r="R983" i="7"/>
  <c r="R984" i="7"/>
  <c r="R985" i="7"/>
  <c r="R986" i="7"/>
  <c r="R987" i="7"/>
  <c r="R988" i="7"/>
  <c r="R989" i="7"/>
  <c r="R992" i="7"/>
  <c r="R996" i="7"/>
  <c r="R1000" i="7"/>
  <c r="R1002" i="7"/>
  <c r="R1003" i="7"/>
  <c r="R1005" i="7"/>
  <c r="R1006" i="7"/>
  <c r="R1007" i="7"/>
  <c r="R1008" i="7"/>
  <c r="R1009" i="7"/>
  <c r="R1010" i="7"/>
  <c r="R1011" i="7"/>
  <c r="R1012" i="7"/>
  <c r="R1013" i="7"/>
  <c r="R1015" i="7"/>
  <c r="R1016" i="7"/>
  <c r="R1017" i="7"/>
  <c r="R1018" i="7"/>
  <c r="R1019" i="7"/>
  <c r="R1020" i="7"/>
  <c r="R1021" i="7"/>
  <c r="R1024" i="7"/>
  <c r="R1026" i="7"/>
  <c r="R1027" i="7"/>
  <c r="R1029" i="7"/>
  <c r="R1030" i="7"/>
  <c r="R1031" i="7"/>
  <c r="R1032" i="7"/>
  <c r="R1033" i="7"/>
  <c r="R1034" i="7"/>
  <c r="R1035" i="7"/>
  <c r="R1036" i="7"/>
  <c r="R1037" i="7"/>
  <c r="R1038" i="7"/>
  <c r="R1040" i="7"/>
  <c r="R1041" i="7"/>
  <c r="R1042" i="7"/>
  <c r="R1043" i="7"/>
  <c r="R1044" i="7"/>
  <c r="R1045" i="7"/>
  <c r="R1046" i="7"/>
  <c r="R1047" i="7"/>
  <c r="R1050" i="7"/>
  <c r="R1052" i="7"/>
  <c r="R1053" i="7"/>
  <c r="R1055" i="7"/>
  <c r="R1056" i="7"/>
  <c r="R1057" i="7"/>
  <c r="R1058" i="7"/>
  <c r="R1059" i="7"/>
  <c r="R1060" i="7"/>
  <c r="R1063" i="7"/>
  <c r="R1064" i="7"/>
  <c r="R1065" i="7"/>
  <c r="R1067" i="7"/>
  <c r="R1069" i="7"/>
  <c r="R1071" i="7"/>
  <c r="R1072" i="7"/>
  <c r="R1073" i="7"/>
  <c r="R1076" i="7"/>
  <c r="R1079" i="7"/>
  <c r="R1080" i="7"/>
  <c r="R1081" i="7"/>
  <c r="R1082" i="7"/>
  <c r="R1083" i="7"/>
  <c r="S1083" i="7"/>
  <c r="R1084" i="7"/>
  <c r="R1085" i="7"/>
  <c r="R1087" i="7"/>
  <c r="R1088" i="7"/>
  <c r="R1090" i="7"/>
  <c r="R1091" i="7"/>
  <c r="R1092" i="7"/>
  <c r="R1093" i="7"/>
  <c r="R1094" i="7"/>
  <c r="R1095" i="7"/>
  <c r="R1097" i="7"/>
  <c r="R1098" i="7"/>
  <c r="R1100" i="7"/>
  <c r="R1101" i="7"/>
  <c r="R1102" i="7"/>
  <c r="R1104" i="7"/>
  <c r="R1105" i="7"/>
  <c r="R1106" i="7"/>
  <c r="R1107" i="7"/>
  <c r="R1108" i="7"/>
  <c r="R1109" i="7"/>
  <c r="R1110" i="7"/>
  <c r="R1112" i="7"/>
  <c r="R1113" i="7"/>
  <c r="R1115" i="7"/>
  <c r="R1116" i="7"/>
  <c r="R1117" i="7"/>
  <c r="R1118" i="7"/>
  <c r="R1120" i="7"/>
  <c r="R1121" i="7"/>
  <c r="R1123" i="7"/>
  <c r="R1124" i="7"/>
  <c r="R1125" i="7"/>
  <c r="R1126" i="7"/>
  <c r="R1128" i="7"/>
  <c r="R1129" i="7"/>
  <c r="R1131" i="7"/>
  <c r="R1132" i="7"/>
  <c r="R1133" i="7"/>
  <c r="R1135" i="7"/>
  <c r="R1136" i="7"/>
  <c r="R1138" i="7"/>
  <c r="R1139" i="7"/>
  <c r="R1140" i="7"/>
  <c r="R1141" i="7"/>
  <c r="R1143" i="7"/>
  <c r="R1144" i="7"/>
  <c r="R1146" i="7"/>
  <c r="R1147" i="7"/>
  <c r="R1148" i="7"/>
  <c r="R1149" i="7"/>
  <c r="R1151" i="7"/>
  <c r="R1152" i="7"/>
  <c r="R1154" i="7"/>
  <c r="R1155" i="7"/>
  <c r="R1156" i="7"/>
  <c r="R1157" i="7"/>
  <c r="R1159" i="7"/>
  <c r="R1160" i="7"/>
  <c r="R1162" i="7"/>
  <c r="R1163" i="7"/>
  <c r="R1164" i="7"/>
  <c r="R1165" i="7"/>
  <c r="R1167" i="7"/>
  <c r="R1168" i="7"/>
  <c r="R1170" i="7"/>
  <c r="R1171" i="7"/>
  <c r="R1172" i="7"/>
  <c r="R1173" i="7"/>
  <c r="R1174" i="7"/>
  <c r="R1175" i="7"/>
  <c r="R1176" i="7"/>
  <c r="R1179" i="7"/>
  <c r="R1180" i="7"/>
  <c r="R1182" i="7"/>
  <c r="R1183" i="7"/>
  <c r="R1186" i="7"/>
  <c r="R1187" i="7"/>
  <c r="R1189" i="7"/>
  <c r="R1190" i="7"/>
  <c r="R1191" i="7"/>
  <c r="R1193" i="7"/>
  <c r="R1194" i="7"/>
  <c r="R1196" i="7"/>
  <c r="R1197" i="7"/>
  <c r="R1198" i="7"/>
  <c r="R1200" i="7"/>
  <c r="R1201" i="7"/>
  <c r="R1203" i="7"/>
  <c r="R1204" i="7"/>
  <c r="R1205" i="7"/>
  <c r="R1207" i="7"/>
  <c r="R1208" i="7"/>
  <c r="R1210" i="7"/>
  <c r="R1211" i="7"/>
  <c r="R1212" i="7"/>
  <c r="R1214" i="7"/>
  <c r="R1215" i="7"/>
  <c r="R1217" i="7"/>
  <c r="R1218" i="7"/>
  <c r="R1219" i="7"/>
  <c r="R1221" i="7"/>
  <c r="R1222" i="7"/>
  <c r="R1224" i="7"/>
  <c r="R1225" i="7"/>
  <c r="R1226" i="7"/>
  <c r="R1228" i="7"/>
  <c r="R1229" i="7"/>
  <c r="R1231" i="7"/>
  <c r="R1232" i="7"/>
  <c r="R1233" i="7"/>
  <c r="R1235" i="7"/>
  <c r="R1236" i="7"/>
  <c r="R1238" i="7"/>
  <c r="R1239" i="7"/>
  <c r="R1240" i="7"/>
  <c r="R1242" i="7"/>
  <c r="R1243" i="7"/>
  <c r="R1245" i="7"/>
  <c r="R1246" i="7"/>
  <c r="R1247" i="7"/>
  <c r="R1248" i="7"/>
  <c r="R1250" i="7"/>
  <c r="R1251" i="7"/>
  <c r="R1253" i="7"/>
  <c r="R1254" i="7"/>
  <c r="R1255" i="7"/>
  <c r="R1257" i="7"/>
  <c r="R1258" i="7"/>
  <c r="R1260" i="7"/>
  <c r="R1261" i="7"/>
  <c r="R1262" i="7"/>
  <c r="R1264" i="7"/>
  <c r="R1265" i="7"/>
  <c r="R1267" i="7"/>
  <c r="R1268" i="7"/>
  <c r="R1269" i="7"/>
  <c r="R1271" i="7"/>
  <c r="R1272" i="7"/>
  <c r="R1274" i="7"/>
  <c r="R1275" i="7"/>
  <c r="R1276" i="7"/>
  <c r="R1278" i="7"/>
  <c r="R1279" i="7"/>
  <c r="R1281" i="7"/>
  <c r="R1282" i="7"/>
  <c r="R1283" i="7"/>
  <c r="R1284" i="7"/>
  <c r="R1286" i="7"/>
  <c r="R1287" i="7"/>
  <c r="R1289" i="7"/>
  <c r="R1290" i="7"/>
  <c r="R1291" i="7"/>
  <c r="R1292" i="7"/>
  <c r="R1293" i="7"/>
  <c r="R1294" i="7"/>
  <c r="R1295" i="7"/>
  <c r="R1297" i="7"/>
  <c r="R1298" i="7"/>
  <c r="R1299" i="7"/>
  <c r="R1300" i="7"/>
  <c r="R1301" i="7"/>
  <c r="R1303" i="7"/>
  <c r="R1304" i="7"/>
  <c r="R1306" i="7"/>
  <c r="R1307" i="7"/>
  <c r="R1308" i="7"/>
  <c r="R1309" i="7"/>
  <c r="R1310" i="7"/>
  <c r="R1311" i="7"/>
  <c r="R1312" i="7"/>
  <c r="R1314" i="7"/>
  <c r="R1315" i="7"/>
  <c r="R1316" i="7"/>
  <c r="R1317" i="7"/>
  <c r="R1318" i="7"/>
  <c r="R1321" i="7"/>
  <c r="R1323" i="7"/>
  <c r="R1325" i="7"/>
  <c r="R1326" i="7"/>
  <c r="R1328" i="7"/>
  <c r="R1329" i="7"/>
  <c r="R1330" i="7"/>
  <c r="R1331" i="7"/>
  <c r="R1333" i="7"/>
  <c r="R1334" i="7"/>
  <c r="R1336" i="7"/>
  <c r="R1337" i="7"/>
  <c r="R1338" i="7"/>
  <c r="R1339" i="7"/>
  <c r="R1342" i="7"/>
  <c r="R1343" i="7"/>
  <c r="R1345" i="7"/>
  <c r="R1346" i="7"/>
  <c r="R1347" i="7"/>
  <c r="R1348" i="7"/>
  <c r="R1349" i="7"/>
  <c r="R1350" i="7"/>
  <c r="R1351" i="7"/>
  <c r="R1353" i="7"/>
  <c r="R1354" i="7"/>
  <c r="R1355" i="7"/>
  <c r="R1356" i="7"/>
  <c r="R1357" i="7"/>
  <c r="R1359" i="7"/>
  <c r="R1360" i="7"/>
  <c r="R1362" i="7"/>
  <c r="R1363" i="7"/>
  <c r="R1364" i="7"/>
  <c r="R1365" i="7"/>
  <c r="R1366" i="7"/>
  <c r="R1367" i="7"/>
  <c r="R1368" i="7"/>
  <c r="R1370" i="7"/>
  <c r="R1371" i="7"/>
  <c r="R1372" i="7"/>
  <c r="R1373" i="7"/>
  <c r="R1374" i="7"/>
  <c r="R1375" i="7"/>
  <c r="R1376" i="7"/>
  <c r="R1378" i="7"/>
  <c r="R1379" i="7"/>
  <c r="R1381" i="7"/>
  <c r="R1382" i="7"/>
  <c r="R1383" i="7"/>
  <c r="R1384" i="7"/>
  <c r="R1385" i="7"/>
  <c r="R1386" i="7"/>
  <c r="R1387" i="7"/>
  <c r="R1388" i="7"/>
  <c r="R1390" i="7"/>
  <c r="R1391" i="7"/>
  <c r="R1392" i="7"/>
  <c r="R1393" i="7"/>
  <c r="R1394" i="7"/>
  <c r="R1395" i="7"/>
  <c r="R1398" i="7"/>
  <c r="R1402" i="7"/>
  <c r="R1405" i="7"/>
  <c r="R1406" i="7"/>
  <c r="R1407" i="7"/>
  <c r="R1408" i="7"/>
  <c r="R1409" i="7"/>
  <c r="R1410" i="7"/>
  <c r="R1412" i="7"/>
  <c r="R1413" i="7"/>
  <c r="R1414" i="7"/>
  <c r="R1415" i="7"/>
  <c r="R1416" i="7"/>
  <c r="R1417" i="7"/>
  <c r="R1421" i="7"/>
  <c r="R1423" i="7"/>
  <c r="R1425" i="7"/>
  <c r="R1426" i="7"/>
  <c r="R1428" i="7"/>
  <c r="R1429" i="7"/>
  <c r="R1430" i="7"/>
  <c r="R1431" i="7"/>
  <c r="R1432" i="7"/>
  <c r="R1433" i="7"/>
  <c r="R1434" i="7"/>
  <c r="R1435" i="7"/>
  <c r="R1437" i="7"/>
  <c r="R1438" i="7"/>
  <c r="R1440" i="7"/>
  <c r="R1441" i="7"/>
  <c r="R1442" i="7"/>
  <c r="R1443" i="7"/>
  <c r="R1444" i="7"/>
  <c r="R1445" i="7"/>
  <c r="R1446" i="7"/>
  <c r="R487" i="7"/>
  <c r="R491" i="7"/>
  <c r="R492" i="7"/>
  <c r="R493" i="7"/>
  <c r="R494" i="7"/>
  <c r="R495" i="7"/>
  <c r="R496" i="7"/>
  <c r="R497" i="7"/>
  <c r="R498" i="7"/>
  <c r="R500" i="7"/>
  <c r="R501" i="7"/>
  <c r="R503" i="7"/>
  <c r="R504" i="7"/>
  <c r="R505" i="7"/>
  <c r="R506" i="7"/>
  <c r="R510" i="7"/>
  <c r="R514" i="7"/>
  <c r="R513" i="7" s="1"/>
  <c r="R516" i="7"/>
  <c r="R517" i="7"/>
  <c r="R518" i="7"/>
  <c r="R519" i="7"/>
  <c r="R520" i="7"/>
  <c r="R521" i="7"/>
  <c r="R522" i="7"/>
  <c r="R523" i="7"/>
  <c r="R524" i="7"/>
  <c r="R525" i="7"/>
  <c r="R526" i="7"/>
  <c r="R527" i="7"/>
  <c r="R528" i="7"/>
  <c r="R529" i="7"/>
  <c r="R530" i="7"/>
  <c r="R531" i="7"/>
  <c r="R532" i="7"/>
  <c r="R533" i="7"/>
  <c r="R534" i="7"/>
  <c r="R535" i="7"/>
  <c r="R536" i="7"/>
  <c r="R537" i="7"/>
  <c r="R538" i="7"/>
  <c r="R539" i="7"/>
  <c r="R542" i="7"/>
  <c r="R544" i="7"/>
  <c r="R546" i="7"/>
  <c r="R547" i="7"/>
  <c r="R548" i="7"/>
  <c r="R549" i="7"/>
  <c r="R551" i="7"/>
  <c r="R552" i="7"/>
  <c r="R553" i="7"/>
  <c r="R555" i="7"/>
  <c r="R556" i="7"/>
  <c r="R557" i="7"/>
  <c r="R558" i="7"/>
  <c r="R559" i="7"/>
  <c r="R560" i="7"/>
  <c r="R561" i="7"/>
  <c r="R562" i="7"/>
  <c r="R563" i="7"/>
  <c r="R564" i="7"/>
  <c r="R565" i="7"/>
  <c r="R566" i="7"/>
  <c r="R567" i="7"/>
  <c r="R569" i="7"/>
  <c r="R570" i="7"/>
  <c r="R571" i="7"/>
  <c r="R572" i="7"/>
  <c r="R573" i="7"/>
  <c r="R574" i="7"/>
  <c r="R575" i="7"/>
  <c r="R576" i="7"/>
  <c r="R577" i="7"/>
  <c r="R578" i="7"/>
  <c r="R579" i="7"/>
  <c r="R580" i="7"/>
  <c r="R581" i="7"/>
  <c r="R583" i="7"/>
  <c r="R585" i="7"/>
  <c r="R586" i="7"/>
  <c r="R587" i="7"/>
  <c r="R589" i="7"/>
  <c r="R590" i="7"/>
  <c r="R591" i="7"/>
  <c r="R592" i="7"/>
  <c r="R595" i="7"/>
  <c r="R596" i="7"/>
  <c r="R366" i="7"/>
  <c r="R367" i="7"/>
  <c r="R370" i="7"/>
  <c r="R371" i="7"/>
  <c r="R372" i="7"/>
  <c r="R373" i="7"/>
  <c r="R374" i="7"/>
  <c r="R375" i="7"/>
  <c r="R378" i="7"/>
  <c r="R381" i="7"/>
  <c r="R382" i="7"/>
  <c r="R385" i="7"/>
  <c r="R390" i="7"/>
  <c r="R391" i="7"/>
  <c r="R392" i="7"/>
  <c r="R393" i="7"/>
  <c r="R394" i="7"/>
  <c r="R395" i="7"/>
  <c r="R397" i="7"/>
  <c r="R398" i="7"/>
  <c r="R400" i="7"/>
  <c r="R401" i="7"/>
  <c r="R402" i="7"/>
  <c r="R406" i="7"/>
  <c r="R407" i="7"/>
  <c r="R415" i="7"/>
  <c r="R417" i="7"/>
  <c r="R418" i="7"/>
  <c r="R421" i="7"/>
  <c r="R422" i="7"/>
  <c r="R423" i="7"/>
  <c r="R424" i="7"/>
  <c r="R426" i="7"/>
  <c r="R427" i="7"/>
  <c r="R428" i="7"/>
  <c r="R431" i="7"/>
  <c r="R434" i="7"/>
  <c r="R247" i="7"/>
  <c r="R249" i="7"/>
  <c r="R250" i="7"/>
  <c r="R252" i="7"/>
  <c r="R255" i="7"/>
  <c r="R256" i="7"/>
  <c r="R257" i="7"/>
  <c r="R258" i="7"/>
  <c r="R259" i="7"/>
  <c r="R260" i="7"/>
  <c r="R261" i="7"/>
  <c r="R264" i="7"/>
  <c r="R266" i="7"/>
  <c r="R268" i="7"/>
  <c r="R269" i="7"/>
  <c r="R270" i="7"/>
  <c r="R271" i="7"/>
  <c r="R274" i="7"/>
  <c r="R275" i="7"/>
  <c r="R277" i="7"/>
  <c r="R278" i="7"/>
  <c r="R279" i="7"/>
  <c r="R280" i="7"/>
  <c r="R281" i="7"/>
  <c r="R284" i="7"/>
  <c r="R285" i="7"/>
  <c r="R287" i="7"/>
  <c r="R288" i="7"/>
  <c r="R290" i="7"/>
  <c r="R291" i="7"/>
  <c r="R293" i="7"/>
  <c r="R296" i="7"/>
  <c r="R297" i="7"/>
  <c r="R298" i="7"/>
  <c r="R299" i="7"/>
  <c r="R302" i="7"/>
  <c r="R303" i="7"/>
  <c r="R305" i="7"/>
  <c r="R306" i="7"/>
  <c r="R307" i="7"/>
  <c r="R308" i="7"/>
  <c r="R311" i="7"/>
  <c r="R312" i="7"/>
  <c r="R314" i="7"/>
  <c r="R315" i="7"/>
  <c r="R316" i="7"/>
  <c r="R317" i="7"/>
  <c r="R318" i="7"/>
  <c r="R129" i="7"/>
  <c r="R133" i="7"/>
  <c r="R136" i="7"/>
  <c r="R137" i="7"/>
  <c r="R139" i="7"/>
  <c r="R140" i="7"/>
  <c r="R143" i="7"/>
  <c r="R144" i="7"/>
  <c r="R146" i="7"/>
  <c r="R149" i="7"/>
  <c r="R150" i="7"/>
  <c r="R153" i="7"/>
  <c r="R154" i="7"/>
  <c r="R155" i="7"/>
  <c r="R156" i="7"/>
  <c r="R159" i="7"/>
  <c r="R161" i="7"/>
  <c r="R164" i="7"/>
  <c r="R165" i="7"/>
  <c r="R167" i="7"/>
  <c r="R168" i="7"/>
  <c r="R169" i="7"/>
  <c r="R170" i="7"/>
  <c r="R171" i="7"/>
  <c r="R173" i="7"/>
  <c r="R175" i="7"/>
  <c r="R176" i="7"/>
  <c r="R178" i="7"/>
  <c r="R179" i="7"/>
  <c r="R180" i="7"/>
  <c r="R181" i="7"/>
  <c r="R182" i="7"/>
  <c r="R184" i="7"/>
  <c r="R185" i="7"/>
  <c r="R188" i="7"/>
  <c r="R191" i="7"/>
  <c r="R192" i="7"/>
  <c r="R195" i="7"/>
  <c r="R196" i="7"/>
  <c r="R197" i="7"/>
  <c r="R202" i="7"/>
  <c r="R205" i="7"/>
  <c r="R206" i="7"/>
  <c r="R89" i="7"/>
  <c r="R90" i="7"/>
  <c r="R94" i="7"/>
  <c r="R11" i="7"/>
  <c r="R12" i="7"/>
  <c r="R13" i="7"/>
  <c r="R14" i="7"/>
  <c r="R15" i="7"/>
  <c r="R18" i="7"/>
  <c r="R21" i="7"/>
  <c r="R26" i="7"/>
  <c r="R28" i="7"/>
  <c r="R30" i="7"/>
  <c r="R31" i="7"/>
  <c r="R33" i="7"/>
  <c r="R35" i="7"/>
  <c r="R36" i="7"/>
  <c r="R38" i="7"/>
  <c r="R39" i="7"/>
  <c r="R40" i="7"/>
  <c r="R43" i="7"/>
  <c r="R44" i="7"/>
  <c r="R45" i="7"/>
  <c r="R46" i="7"/>
  <c r="R50" i="7"/>
  <c r="R51" i="7"/>
  <c r="R52" i="7"/>
  <c r="R53" i="7"/>
  <c r="R54" i="7"/>
  <c r="R59" i="7"/>
  <c r="R60" i="7"/>
  <c r="R63" i="7"/>
  <c r="R64" i="7"/>
  <c r="R69" i="7"/>
  <c r="R71" i="7"/>
  <c r="R72" i="7"/>
  <c r="R75" i="7"/>
  <c r="R76" i="7"/>
  <c r="N703" i="7" l="1"/>
  <c r="R1296" i="7"/>
  <c r="R1206" i="7"/>
  <c r="S1393" i="7"/>
  <c r="S1844" i="7"/>
  <c r="S1820" i="7"/>
  <c r="S1994" i="7"/>
  <c r="R313" i="7"/>
  <c r="R1137" i="7"/>
  <c r="J1025" i="7"/>
  <c r="J943" i="7"/>
  <c r="J891" i="7"/>
  <c r="S1407" i="7"/>
  <c r="S1444" i="7"/>
  <c r="S1667" i="7"/>
  <c r="S1671" i="7"/>
  <c r="S1677" i="7"/>
  <c r="S1766" i="7"/>
  <c r="S1881" i="7"/>
  <c r="S1887" i="7"/>
  <c r="S1930" i="7"/>
  <c r="N1358" i="7"/>
  <c r="N1324" i="7"/>
  <c r="N1755" i="7"/>
  <c r="R1755" i="7" s="1"/>
  <c r="S1181" i="7"/>
  <c r="R1542" i="7"/>
  <c r="J1324" i="7"/>
  <c r="R1185" i="7"/>
  <c r="J970" i="7"/>
  <c r="R871" i="7"/>
  <c r="J868" i="7"/>
  <c r="S1938" i="7"/>
  <c r="R389" i="7"/>
  <c r="N386" i="7"/>
  <c r="R848" i="7"/>
  <c r="R1555" i="7"/>
  <c r="R142" i="7"/>
  <c r="R1054" i="7"/>
  <c r="J1051" i="7"/>
  <c r="R1004" i="7"/>
  <c r="J1001" i="7"/>
  <c r="R1001" i="7" s="1"/>
  <c r="R923" i="7"/>
  <c r="J920" i="7"/>
  <c r="N512" i="7"/>
  <c r="R512" i="7" s="1"/>
  <c r="R1404" i="7"/>
  <c r="J396" i="7"/>
  <c r="R1843" i="7"/>
  <c r="S1417" i="7"/>
  <c r="S1742" i="7"/>
  <c r="S1763" i="7"/>
  <c r="S1183" i="7"/>
  <c r="S1190" i="7"/>
  <c r="S1170" i="7"/>
  <c r="S1043" i="7"/>
  <c r="S1047" i="7"/>
  <c r="S1079" i="7"/>
  <c r="S1060" i="7"/>
  <c r="S30" i="7"/>
  <c r="S427" i="7"/>
  <c r="S663" i="7"/>
  <c r="S680" i="7"/>
  <c r="S1007" i="7"/>
  <c r="S1214" i="7"/>
  <c r="S1371" i="7"/>
  <c r="S1385" i="7"/>
  <c r="S1845" i="7"/>
  <c r="S1057" i="7"/>
  <c r="S1171" i="7"/>
  <c r="S1175" i="7"/>
  <c r="S1210" i="7"/>
  <c r="S1408" i="7"/>
  <c r="S1533" i="7"/>
  <c r="S1668" i="7"/>
  <c r="S1750" i="7"/>
  <c r="S1767" i="7"/>
  <c r="S1876" i="7"/>
  <c r="S1889" i="7"/>
  <c r="S391" i="7"/>
  <c r="S657" i="7"/>
  <c r="S700" i="7"/>
  <c r="S728" i="7"/>
  <c r="S775" i="7"/>
  <c r="S922" i="7"/>
  <c r="S1011" i="7"/>
  <c r="S1375" i="7"/>
  <c r="S1638" i="7"/>
  <c r="S1710" i="7"/>
  <c r="S1809" i="7"/>
  <c r="S155" i="7"/>
  <c r="S563" i="7"/>
  <c r="S583" i="7"/>
  <c r="S737" i="7"/>
  <c r="S984" i="7"/>
  <c r="S1087" i="7"/>
  <c r="S1092" i="7"/>
  <c r="S1102" i="7"/>
  <c r="S1118" i="7"/>
  <c r="S1135" i="7"/>
  <c r="S1140" i="7"/>
  <c r="S1146" i="7"/>
  <c r="S1151" i="7"/>
  <c r="S1156" i="7"/>
  <c r="S1162" i="7"/>
  <c r="S1194" i="7"/>
  <c r="S1233" i="7"/>
  <c r="S1245" i="7"/>
  <c r="S1250" i="7"/>
  <c r="S1255" i="7"/>
  <c r="S1261" i="7"/>
  <c r="S1278" i="7"/>
  <c r="S1289" i="7"/>
  <c r="S1293" i="7"/>
  <c r="S1298" i="7"/>
  <c r="S1317" i="7"/>
  <c r="S1325" i="7"/>
  <c r="S1330" i="7"/>
  <c r="S1336" i="7"/>
  <c r="S1347" i="7"/>
  <c r="S1351" i="7"/>
  <c r="S1356" i="7"/>
  <c r="S1431" i="7"/>
  <c r="S1435" i="7"/>
  <c r="S1527" i="7"/>
  <c r="S1558" i="7"/>
  <c r="S1643" i="7"/>
  <c r="S1647" i="7"/>
  <c r="S1651" i="7"/>
  <c r="S1718" i="7"/>
  <c r="S1853" i="7"/>
  <c r="S1857" i="7"/>
  <c r="S1884" i="7"/>
  <c r="J310" i="7"/>
  <c r="J309" i="7" s="1"/>
  <c r="R309" i="7" s="1"/>
  <c r="R1223" i="7"/>
  <c r="S46" i="7"/>
  <c r="S373" i="7"/>
  <c r="S390" i="7"/>
  <c r="S679" i="7"/>
  <c r="S699" i="7"/>
  <c r="S756" i="7"/>
  <c r="S957" i="7"/>
  <c r="S1006" i="7"/>
  <c r="S1010" i="7"/>
  <c r="S1174" i="7"/>
  <c r="S1179" i="7"/>
  <c r="S1374" i="7"/>
  <c r="S1379" i="7"/>
  <c r="S1538" i="7"/>
  <c r="S1722" i="7"/>
  <c r="S1754" i="7"/>
  <c r="S1808" i="7"/>
  <c r="S1856" i="7"/>
  <c r="S1897" i="7"/>
  <c r="R1209" i="7"/>
  <c r="R1320" i="7"/>
  <c r="S1561" i="7"/>
  <c r="S1817" i="7"/>
  <c r="R746" i="7"/>
  <c r="R1928" i="7"/>
  <c r="J1302" i="7"/>
  <c r="S1703" i="7"/>
  <c r="S1690" i="7"/>
  <c r="S1711" i="7"/>
  <c r="S1728" i="7"/>
  <c r="R135" i="7"/>
  <c r="R1380" i="7"/>
  <c r="S591" i="7"/>
  <c r="R812" i="7"/>
  <c r="R1922" i="7"/>
  <c r="S176" i="7"/>
  <c r="S195" i="7"/>
  <c r="S260" i="7"/>
  <c r="S549" i="7"/>
  <c r="S581" i="7"/>
  <c r="S716" i="7"/>
  <c r="S752" i="7"/>
  <c r="S764" i="7"/>
  <c r="S800" i="7"/>
  <c r="S819" i="7"/>
  <c r="S952" i="7"/>
  <c r="N1277" i="7"/>
  <c r="N1184" i="7" s="1"/>
  <c r="R1280" i="7"/>
  <c r="R1697" i="7"/>
  <c r="R1515" i="7"/>
  <c r="J1514" i="7"/>
  <c r="R1514" i="7" s="1"/>
  <c r="S961" i="7"/>
  <c r="S1002" i="7"/>
  <c r="R183" i="7"/>
  <c r="R1327" i="7"/>
  <c r="S76" i="7"/>
  <c r="S171" i="7"/>
  <c r="S188" i="7"/>
  <c r="S247" i="7"/>
  <c r="S256" i="7"/>
  <c r="S299" i="7"/>
  <c r="S308" i="7"/>
  <c r="S315" i="7"/>
  <c r="S428" i="7"/>
  <c r="S517" i="7"/>
  <c r="S521" i="7"/>
  <c r="S525" i="7"/>
  <c r="S529" i="7"/>
  <c r="S533" i="7"/>
  <c r="S558" i="7"/>
  <c r="S562" i="7"/>
  <c r="S566" i="7"/>
  <c r="S654" i="7"/>
  <c r="S658" i="7"/>
  <c r="S701" i="7"/>
  <c r="S735" i="7"/>
  <c r="S747" i="7"/>
  <c r="S776" i="7"/>
  <c r="S792" i="7"/>
  <c r="S875" i="7"/>
  <c r="S879" i="7"/>
  <c r="S885" i="7"/>
  <c r="S890" i="7"/>
  <c r="S948" i="7"/>
  <c r="S1091" i="7"/>
  <c r="S1095" i="7"/>
  <c r="S1101" i="7"/>
  <c r="S1107" i="7"/>
  <c r="S1123" i="7"/>
  <c r="S1139" i="7"/>
  <c r="S1155" i="7"/>
  <c r="S1193" i="7"/>
  <c r="S1198" i="7"/>
  <c r="S1238" i="7"/>
  <c r="S1254" i="7"/>
  <c r="S1265" i="7"/>
  <c r="S1271" i="7"/>
  <c r="S1282" i="7"/>
  <c r="S1297" i="7"/>
  <c r="S1301" i="7"/>
  <c r="S1309" i="7"/>
  <c r="S1323" i="7"/>
  <c r="S1329" i="7"/>
  <c r="S1334" i="7"/>
  <c r="S1339" i="7"/>
  <c r="S1355" i="7"/>
  <c r="S1360" i="7"/>
  <c r="S1376" i="7"/>
  <c r="S1391" i="7"/>
  <c r="S1440" i="7"/>
  <c r="S1522" i="7"/>
  <c r="S1526" i="7"/>
  <c r="S1557" i="7"/>
  <c r="S1562" i="7"/>
  <c r="S1635" i="7"/>
  <c r="S1656" i="7"/>
  <c r="S1726" i="7"/>
  <c r="S1917" i="7"/>
  <c r="S1926" i="7"/>
  <c r="N1302" i="7"/>
  <c r="R1302" i="7" s="1"/>
  <c r="R29" i="7"/>
  <c r="R1111" i="7"/>
  <c r="N1629" i="7"/>
  <c r="I13" i="8" s="1"/>
  <c r="S965" i="7"/>
  <c r="S1217" i="7"/>
  <c r="S1269" i="7"/>
  <c r="S1306" i="7"/>
  <c r="S1310" i="7"/>
  <c r="S1383" i="7"/>
  <c r="S1565" i="7"/>
  <c r="S1578" i="7"/>
  <c r="S1670" i="7"/>
  <c r="S1746" i="7"/>
  <c r="S1760" i="7"/>
  <c r="S1874" i="7"/>
  <c r="S1880" i="7"/>
  <c r="S1900" i="7"/>
  <c r="S1910" i="7"/>
  <c r="S1991" i="7"/>
  <c r="O1661" i="7"/>
  <c r="S1661" i="7" s="1"/>
  <c r="S159" i="7"/>
  <c r="S557" i="7"/>
  <c r="S977" i="7"/>
  <c r="S1159" i="7"/>
  <c r="S1242" i="7"/>
  <c r="S1321" i="7"/>
  <c r="S1525" i="7"/>
  <c r="S1739" i="7"/>
  <c r="S1868" i="7"/>
  <c r="S1896" i="7"/>
  <c r="S1923" i="7"/>
  <c r="R254" i="7"/>
  <c r="S402" i="7"/>
  <c r="N1401" i="7"/>
  <c r="N863" i="7"/>
  <c r="N856" i="7" s="1"/>
  <c r="N855" i="7" s="1"/>
  <c r="R1352" i="7"/>
  <c r="S516" i="7"/>
  <c r="S1065" i="7"/>
  <c r="S1138" i="7"/>
  <c r="S1914" i="7"/>
  <c r="R276" i="7"/>
  <c r="R1993" i="7"/>
  <c r="J294" i="7"/>
  <c r="S39" i="7"/>
  <c r="S144" i="7"/>
  <c r="S161" i="7"/>
  <c r="S167" i="7"/>
  <c r="S311" i="7"/>
  <c r="S316" i="7"/>
  <c r="S491" i="7"/>
  <c r="S496" i="7"/>
  <c r="S571" i="7"/>
  <c r="S575" i="7"/>
  <c r="S671" i="7"/>
  <c r="S691" i="7"/>
  <c r="S725" i="7"/>
  <c r="S731" i="7"/>
  <c r="S853" i="7"/>
  <c r="S929" i="7"/>
  <c r="S934" i="7"/>
  <c r="S938" i="7"/>
  <c r="S944" i="7"/>
  <c r="S1037" i="7"/>
  <c r="S1052" i="7"/>
  <c r="S1082" i="7"/>
  <c r="S1182" i="7"/>
  <c r="S1189" i="7"/>
  <c r="S1222" i="7"/>
  <c r="S1412" i="7"/>
  <c r="S1416" i="7"/>
  <c r="S1425" i="7"/>
  <c r="S1537" i="7"/>
  <c r="S1582" i="7"/>
  <c r="S1606" i="7"/>
  <c r="S1611" i="7"/>
  <c r="S1636" i="7"/>
  <c r="S1812" i="7"/>
  <c r="S1865" i="7"/>
  <c r="S1995" i="7"/>
  <c r="N1285" i="7"/>
  <c r="R1188" i="7"/>
  <c r="R932" i="7"/>
  <c r="R1028" i="7"/>
  <c r="R248" i="7"/>
  <c r="R1411" i="7"/>
  <c r="J1358" i="7"/>
  <c r="S312" i="7"/>
  <c r="S415" i="7"/>
  <c r="S492" i="7"/>
  <c r="S768" i="7"/>
  <c r="S824" i="7"/>
  <c r="S836" i="7"/>
  <c r="S1015" i="7"/>
  <c r="S1019" i="7"/>
  <c r="S1024" i="7"/>
  <c r="S1218" i="7"/>
  <c r="S1384" i="7"/>
  <c r="S1388" i="7"/>
  <c r="R1244" i="7"/>
  <c r="R706" i="7"/>
  <c r="R1878" i="7"/>
  <c r="R131" i="7"/>
  <c r="R1158" i="7"/>
  <c r="J1134" i="7"/>
  <c r="R1134" i="7" s="1"/>
  <c r="R828" i="7"/>
  <c r="S1929" i="7"/>
  <c r="R386" i="7"/>
  <c r="N994" i="7"/>
  <c r="R994" i="7" s="1"/>
  <c r="R20" i="7"/>
  <c r="R204" i="7"/>
  <c r="R502" i="7"/>
  <c r="R1169" i="7"/>
  <c r="R292" i="7"/>
  <c r="R868" i="7"/>
  <c r="J760" i="7"/>
  <c r="S14" i="7"/>
  <c r="S26" i="7"/>
  <c r="S136" i="7"/>
  <c r="S143" i="7"/>
  <c r="S165" i="7"/>
  <c r="S180" i="7"/>
  <c r="S291" i="7"/>
  <c r="S385" i="7"/>
  <c r="S421" i="7"/>
  <c r="S495" i="7"/>
  <c r="S500" i="7"/>
  <c r="S537" i="7"/>
  <c r="S546" i="7"/>
  <c r="S570" i="7"/>
  <c r="S574" i="7"/>
  <c r="S578" i="7"/>
  <c r="S670" i="7"/>
  <c r="S711" i="7"/>
  <c r="S808" i="7"/>
  <c r="S845" i="7"/>
  <c r="S852" i="7"/>
  <c r="S1032" i="7"/>
  <c r="S1036" i="7"/>
  <c r="S1221" i="7"/>
  <c r="S1226" i="7"/>
  <c r="S1415" i="7"/>
  <c r="S1423" i="7"/>
  <c r="S1605" i="7"/>
  <c r="S1610" i="7"/>
  <c r="N41" i="7"/>
  <c r="N32" i="7" s="1"/>
  <c r="N662" i="7"/>
  <c r="N1918" i="7"/>
  <c r="N1805" i="7" s="1"/>
  <c r="I15" i="8" s="1"/>
  <c r="S54" i="7"/>
  <c r="S196" i="7"/>
  <c r="S261" i="7"/>
  <c r="S50" i="7"/>
  <c r="S191" i="7"/>
  <c r="S18" i="7"/>
  <c r="S72" i="7"/>
  <c r="S139" i="7"/>
  <c r="S168" i="7"/>
  <c r="S271" i="7"/>
  <c r="S284" i="7"/>
  <c r="S370" i="7"/>
  <c r="S717" i="7"/>
  <c r="S815" i="7"/>
  <c r="S905" i="7"/>
  <c r="S909" i="7"/>
  <c r="S1003" i="7"/>
  <c r="S13" i="7"/>
  <c r="S140" i="7"/>
  <c r="S164" i="7"/>
  <c r="S192" i="7"/>
  <c r="S197" i="7"/>
  <c r="S285" i="7"/>
  <c r="S303" i="7"/>
  <c r="S407" i="7"/>
  <c r="S418" i="7"/>
  <c r="S504" i="7"/>
  <c r="S536" i="7"/>
  <c r="S569" i="7"/>
  <c r="S573" i="7"/>
  <c r="S577" i="7"/>
  <c r="S585" i="7"/>
  <c r="S675" i="7"/>
  <c r="S688" i="7"/>
  <c r="S693" i="7"/>
  <c r="S719" i="7"/>
  <c r="S743" i="7"/>
  <c r="S780" i="7"/>
  <c r="S787" i="7"/>
  <c r="S803" i="7"/>
  <c r="S807" i="7"/>
  <c r="S811" i="7"/>
  <c r="S816" i="7"/>
  <c r="S832" i="7"/>
  <c r="S844" i="7"/>
  <c r="S873" i="7"/>
  <c r="S877" i="7"/>
  <c r="S893" i="7"/>
  <c r="S897" i="7"/>
  <c r="S901" i="7"/>
  <c r="S906" i="7"/>
  <c r="S919" i="7"/>
  <c r="S927" i="7"/>
  <c r="S931" i="7"/>
  <c r="S959" i="7"/>
  <c r="S972" i="7"/>
  <c r="S976" i="7"/>
  <c r="S980" i="7"/>
  <c r="S1031" i="7"/>
  <c r="S1035" i="7"/>
  <c r="S1040" i="7"/>
  <c r="S1044" i="7"/>
  <c r="S1058" i="7"/>
  <c r="S1064" i="7"/>
  <c r="S1069" i="7"/>
  <c r="S1098" i="7"/>
  <c r="S1115" i="7"/>
  <c r="S1131" i="7"/>
  <c r="S1147" i="7"/>
  <c r="S1163" i="7"/>
  <c r="S1167" i="7"/>
  <c r="S1186" i="7"/>
  <c r="S1205" i="7"/>
  <c r="S1225" i="7"/>
  <c r="S1229" i="7"/>
  <c r="S1235" i="7"/>
  <c r="S1240" i="7"/>
  <c r="S1246" i="7"/>
  <c r="S1257" i="7"/>
  <c r="S1262" i="7"/>
  <c r="S1274" i="7"/>
  <c r="S1326" i="7"/>
  <c r="S1343" i="7"/>
  <c r="S1348" i="7"/>
  <c r="S1353" i="7"/>
  <c r="S1357" i="7"/>
  <c r="S1363" i="7"/>
  <c r="S1367" i="7"/>
  <c r="S1428" i="7"/>
  <c r="S1432" i="7"/>
  <c r="S1550" i="7"/>
  <c r="S1573" i="7"/>
  <c r="S1603" i="7"/>
  <c r="S1609" i="7"/>
  <c r="S398" i="7"/>
  <c r="S518" i="7"/>
  <c r="S530" i="7"/>
  <c r="S559" i="7"/>
  <c r="S696" i="7"/>
  <c r="S761" i="7"/>
  <c r="S860" i="7"/>
  <c r="S872" i="7"/>
  <c r="S876" i="7"/>
  <c r="S949" i="7"/>
  <c r="S988" i="7"/>
  <c r="S296" i="7"/>
  <c r="S503" i="7"/>
  <c r="S692" i="7"/>
  <c r="S708" i="7"/>
  <c r="S843" i="7"/>
  <c r="S867" i="7"/>
  <c r="S930" i="7"/>
  <c r="S935" i="7"/>
  <c r="S939" i="7"/>
  <c r="S175" i="7"/>
  <c r="S259" i="7"/>
  <c r="S287" i="7"/>
  <c r="S372" i="7"/>
  <c r="S394" i="7"/>
  <c r="S520" i="7"/>
  <c r="S524" i="7"/>
  <c r="S528" i="7"/>
  <c r="S532" i="7"/>
  <c r="S561" i="7"/>
  <c r="S565" i="7"/>
  <c r="S589" i="7"/>
  <c r="S659" i="7"/>
  <c r="S684" i="7"/>
  <c r="S715" i="7"/>
  <c r="S823" i="7"/>
  <c r="S883" i="7"/>
  <c r="S947" i="7"/>
  <c r="S956" i="7"/>
  <c r="S981" i="7"/>
  <c r="S1000" i="7"/>
  <c r="S1090" i="7"/>
  <c r="S1094" i="7"/>
  <c r="S1110" i="7"/>
  <c r="S1116" i="7"/>
  <c r="S1126" i="7"/>
  <c r="S1143" i="7"/>
  <c r="S1154" i="7"/>
  <c r="S1197" i="7"/>
  <c r="S1201" i="7"/>
  <c r="S1253" i="7"/>
  <c r="S1258" i="7"/>
  <c r="S1281" i="7"/>
  <c r="S1295" i="7"/>
  <c r="S1315" i="7"/>
  <c r="S1338" i="7"/>
  <c r="S1359" i="7"/>
  <c r="S1364" i="7"/>
  <c r="S1392" i="7"/>
  <c r="S1443" i="7"/>
  <c r="S1598" i="7"/>
  <c r="S1645" i="7"/>
  <c r="S1653" i="7"/>
  <c r="S1666" i="7"/>
  <c r="S666" i="7"/>
  <c r="S755" i="7"/>
  <c r="S767" i="7"/>
  <c r="S841" i="7"/>
  <c r="S1018" i="7"/>
  <c r="S1387" i="7"/>
  <c r="S45" i="7"/>
  <c r="S275" i="7"/>
  <c r="S280" i="7"/>
  <c r="S720" i="7"/>
  <c r="S744" i="7"/>
  <c r="S898" i="7"/>
  <c r="S902" i="7"/>
  <c r="S951" i="7"/>
  <c r="S960" i="7"/>
  <c r="S255" i="7"/>
  <c r="S740" i="7"/>
  <c r="S1286" i="7"/>
  <c r="S1551" i="7"/>
  <c r="S839" i="7"/>
  <c r="S1012" i="7"/>
  <c r="S827" i="7"/>
  <c r="S724" i="7"/>
  <c r="S1027" i="7"/>
  <c r="S1372" i="7"/>
  <c r="S1395" i="7"/>
  <c r="S683" i="7"/>
  <c r="S279" i="7"/>
  <c r="S985" i="7"/>
  <c r="S989" i="7"/>
  <c r="S1290" i="7"/>
  <c r="S1294" i="7"/>
  <c r="S1314" i="7"/>
  <c r="S1318" i="7"/>
  <c r="S1644" i="7"/>
  <c r="S1648" i="7"/>
  <c r="S1652" i="7"/>
  <c r="S21" i="7"/>
  <c r="S796" i="7"/>
  <c r="J367" i="2"/>
  <c r="J366" i="2"/>
  <c r="J1263" i="7"/>
  <c r="R1263" i="7" s="1"/>
  <c r="R1266" i="7"/>
  <c r="R721" i="7"/>
  <c r="J718" i="7"/>
  <c r="R718" i="7" s="1"/>
  <c r="R1864" i="7"/>
  <c r="J1861" i="7"/>
  <c r="R1861" i="7" s="1"/>
  <c r="R1237" i="7"/>
  <c r="J1234" i="7"/>
  <c r="R1122" i="7"/>
  <c r="J1119" i="7"/>
  <c r="R1119" i="7" s="1"/>
  <c r="R1531" i="7"/>
  <c r="J1530" i="7"/>
  <c r="R1530" i="7" s="1"/>
  <c r="J193" i="7"/>
  <c r="J134" i="7"/>
  <c r="J736" i="7"/>
  <c r="J1587" i="7"/>
  <c r="R1587" i="7" s="1"/>
  <c r="J141" i="7"/>
  <c r="J1341" i="7"/>
  <c r="S912" i="7"/>
  <c r="S936" i="7"/>
  <c r="R1344" i="7"/>
  <c r="N1341" i="7"/>
  <c r="R1341" i="7" s="1"/>
  <c r="R1700" i="7"/>
  <c r="N1699" i="7"/>
  <c r="N1688" i="7" s="1"/>
  <c r="S1231" i="7"/>
  <c r="J1918" i="7"/>
  <c r="J1872" i="7"/>
  <c r="N1077" i="7"/>
  <c r="R74" i="7"/>
  <c r="R432" i="7"/>
  <c r="R1541" i="7"/>
  <c r="S595" i="7"/>
  <c r="S664" i="7"/>
  <c r="N283" i="7"/>
  <c r="N282" i="7" s="1"/>
  <c r="R1322" i="7"/>
  <c r="R1039" i="7"/>
  <c r="R903" i="7"/>
  <c r="R1604" i="7"/>
  <c r="N1890" i="7"/>
  <c r="N1883" i="7" s="1"/>
  <c r="R1816" i="7"/>
  <c r="S497" i="7"/>
  <c r="S522" i="7"/>
  <c r="S526" i="7"/>
  <c r="S538" i="7"/>
  <c r="S555" i="7"/>
  <c r="S567" i="7"/>
  <c r="S655" i="7"/>
  <c r="S749" i="7"/>
  <c r="S869" i="7"/>
  <c r="S1029" i="7"/>
  <c r="S1033" i="7"/>
  <c r="N186" i="7"/>
  <c r="N174" i="7" s="1"/>
  <c r="N134" i="7"/>
  <c r="N429" i="7"/>
  <c r="N419" i="7" s="1"/>
  <c r="N1319" i="7"/>
  <c r="R1319" i="7" s="1"/>
  <c r="R1288" i="7"/>
  <c r="R1230" i="7"/>
  <c r="R1130" i="7"/>
  <c r="N1025" i="7"/>
  <c r="N757" i="7"/>
  <c r="N748" i="7" s="1"/>
  <c r="S11" i="7"/>
  <c r="S15" i="7"/>
  <c r="S71" i="7"/>
  <c r="S797" i="7"/>
  <c r="S821" i="7"/>
  <c r="S1180" i="7"/>
  <c r="S1267" i="7"/>
  <c r="R132" i="7"/>
  <c r="N736" i="7"/>
  <c r="N1872" i="7"/>
  <c r="N1841" i="7" s="1"/>
  <c r="S12" i="7"/>
  <c r="S28" i="7"/>
  <c r="S40" i="7"/>
  <c r="S52" i="7"/>
  <c r="S64" i="7"/>
  <c r="S133" i="7"/>
  <c r="S181" i="7"/>
  <c r="S206" i="7"/>
  <c r="S713" i="7"/>
  <c r="S953" i="7"/>
  <c r="S986" i="7"/>
  <c r="S1413" i="7"/>
  <c r="S1445" i="7"/>
  <c r="S1523" i="7"/>
  <c r="S1575" i="7"/>
  <c r="S269" i="7"/>
  <c r="S317" i="7"/>
  <c r="S374" i="7"/>
  <c r="S392" i="7"/>
  <c r="S734" i="7"/>
  <c r="S790" i="7"/>
  <c r="S826" i="7"/>
  <c r="S882" i="7"/>
  <c r="S896" i="7"/>
  <c r="S979" i="7"/>
  <c r="S1008" i="7"/>
  <c r="S1076" i="7"/>
  <c r="S1219" i="7"/>
  <c r="S1299" i="7"/>
  <c r="S1345" i="7"/>
  <c r="S1349" i="7"/>
  <c r="S1381" i="7"/>
  <c r="S1437" i="7"/>
  <c r="S1547" i="7"/>
  <c r="S1599" i="7"/>
  <c r="S1935" i="7"/>
  <c r="S250" i="7"/>
  <c r="S258" i="7"/>
  <c r="S266" i="7"/>
  <c r="S270" i="7"/>
  <c r="S274" i="7"/>
  <c r="S278" i="7"/>
  <c r="S290" i="7"/>
  <c r="S302" i="7"/>
  <c r="S306" i="7"/>
  <c r="S314" i="7"/>
  <c r="S318" i="7"/>
  <c r="S1291" i="7"/>
  <c r="S1882" i="7"/>
  <c r="S1041" i="7"/>
  <c r="S1045" i="7"/>
  <c r="S1112" i="7"/>
  <c r="S1144" i="7"/>
  <c r="S1160" i="7"/>
  <c r="S1251" i="7"/>
  <c r="S1287" i="7"/>
  <c r="S1911" i="7"/>
  <c r="S1021" i="7"/>
  <c r="S1081" i="7"/>
  <c r="S1208" i="7"/>
  <c r="S1328" i="7"/>
  <c r="S1362" i="7"/>
  <c r="S1434" i="7"/>
  <c r="S1516" i="7"/>
  <c r="S1532" i="7"/>
  <c r="S1704" i="7"/>
  <c r="S1752" i="7"/>
  <c r="S1764" i="7"/>
  <c r="S1831" i="7"/>
  <c r="S1851" i="7"/>
  <c r="S1855" i="7"/>
  <c r="S1859" i="7"/>
  <c r="S1920" i="7"/>
  <c r="S1932" i="7"/>
  <c r="S1633" i="7"/>
  <c r="S1637" i="7"/>
  <c r="S1641" i="7"/>
  <c r="S1649" i="7"/>
  <c r="S1676" i="7"/>
  <c r="S1658" i="7"/>
  <c r="S1669" i="7"/>
  <c r="S1673" i="7"/>
  <c r="S1988" i="7"/>
  <c r="S1992" i="7"/>
  <c r="S1996" i="7"/>
  <c r="S1811" i="7"/>
  <c r="S1815" i="7"/>
  <c r="S1863" i="7"/>
  <c r="S1867" i="7"/>
  <c r="S1871" i="7"/>
  <c r="S1875" i="7"/>
  <c r="S1879" i="7"/>
  <c r="S1895" i="7"/>
  <c r="S1903" i="7"/>
  <c r="S1912" i="7"/>
  <c r="S1936" i="7"/>
  <c r="S1940" i="7"/>
  <c r="S1944" i="7"/>
  <c r="S1846" i="7"/>
  <c r="S1850" i="7"/>
  <c r="S1854" i="7"/>
  <c r="S1858" i="7"/>
  <c r="S1886" i="7"/>
  <c r="S1894" i="7"/>
  <c r="S1898" i="7"/>
  <c r="S1927" i="7"/>
  <c r="S1931" i="7"/>
  <c r="S1939" i="7"/>
  <c r="S1943" i="7"/>
  <c r="S1701" i="7"/>
  <c r="S1705" i="7"/>
  <c r="S1713" i="7"/>
  <c r="S1749" i="7"/>
  <c r="S1761" i="7"/>
  <c r="S1765" i="7"/>
  <c r="S1769" i="7"/>
  <c r="S1716" i="7"/>
  <c r="S1724" i="7"/>
  <c r="S1736" i="7"/>
  <c r="S1646" i="7"/>
  <c r="S1650" i="7"/>
  <c r="S1520" i="7"/>
  <c r="S1524" i="7"/>
  <c r="S1528" i="7"/>
  <c r="S1540" i="7"/>
  <c r="S1544" i="7"/>
  <c r="S1560" i="7"/>
  <c r="S1568" i="7"/>
  <c r="S1576" i="7"/>
  <c r="S1580" i="7"/>
  <c r="S1608" i="7"/>
  <c r="S1612" i="7"/>
  <c r="S1543" i="7"/>
  <c r="S1563" i="7"/>
  <c r="S1579" i="7"/>
  <c r="S652" i="7"/>
  <c r="S656" i="7"/>
  <c r="S661" i="7"/>
  <c r="S669" i="7"/>
  <c r="S673" i="7"/>
  <c r="S686" i="7"/>
  <c r="S694" i="7"/>
  <c r="S702" i="7"/>
  <c r="S710" i="7"/>
  <c r="S722" i="7"/>
  <c r="S726" i="7"/>
  <c r="S738" i="7"/>
  <c r="S742" i="7"/>
  <c r="S750" i="7"/>
  <c r="S754" i="7"/>
  <c r="S762" i="7"/>
  <c r="S766" i="7"/>
  <c r="S778" i="7"/>
  <c r="S782" i="7"/>
  <c r="S794" i="7"/>
  <c r="S802" i="7"/>
  <c r="S810" i="7"/>
  <c r="S818" i="7"/>
  <c r="S838" i="7"/>
  <c r="S846" i="7"/>
  <c r="S854" i="7"/>
  <c r="S858" i="7"/>
  <c r="S862" i="7"/>
  <c r="S870" i="7"/>
  <c r="S874" i="7"/>
  <c r="S878" i="7"/>
  <c r="S887" i="7"/>
  <c r="S892" i="7"/>
  <c r="S900" i="7"/>
  <c r="S904" i="7"/>
  <c r="S908" i="7"/>
  <c r="S921" i="7"/>
  <c r="S925" i="7"/>
  <c r="S933" i="7"/>
  <c r="S937" i="7"/>
  <c r="S942" i="7"/>
  <c r="S954" i="7"/>
  <c r="S958" i="7"/>
  <c r="S962" i="7"/>
  <c r="S971" i="7"/>
  <c r="S975" i="7"/>
  <c r="S983" i="7"/>
  <c r="S987" i="7"/>
  <c r="S992" i="7"/>
  <c r="S996" i="7"/>
  <c r="S1005" i="7"/>
  <c r="S1009" i="7"/>
  <c r="S1013" i="7"/>
  <c r="S1017" i="7"/>
  <c r="S1026" i="7"/>
  <c r="S1030" i="7"/>
  <c r="S1034" i="7"/>
  <c r="S1038" i="7"/>
  <c r="S1042" i="7"/>
  <c r="S1046" i="7"/>
  <c r="S1055" i="7"/>
  <c r="S1059" i="7"/>
  <c r="S1063" i="7"/>
  <c r="S1067" i="7"/>
  <c r="S1085" i="7"/>
  <c r="S1093" i="7"/>
  <c r="S1097" i="7"/>
  <c r="S1105" i="7"/>
  <c r="S1109" i="7"/>
  <c r="S1113" i="7"/>
  <c r="S1117" i="7"/>
  <c r="S1121" i="7"/>
  <c r="S1125" i="7"/>
  <c r="S1129" i="7"/>
  <c r="S1133" i="7"/>
  <c r="S1141" i="7"/>
  <c r="S1149" i="7"/>
  <c r="S1157" i="7"/>
  <c r="S1165" i="7"/>
  <c r="S1173" i="7"/>
  <c r="S1196" i="7"/>
  <c r="S1200" i="7"/>
  <c r="S1204" i="7"/>
  <c r="S1212" i="7"/>
  <c r="S1224" i="7"/>
  <c r="S1228" i="7"/>
  <c r="S1232" i="7"/>
  <c r="S1236" i="7"/>
  <c r="S1248" i="7"/>
  <c r="S1260" i="7"/>
  <c r="S1264" i="7"/>
  <c r="S1268" i="7"/>
  <c r="S1272" i="7"/>
  <c r="S1276" i="7"/>
  <c r="S1284" i="7"/>
  <c r="S1292" i="7"/>
  <c r="S1300" i="7"/>
  <c r="S1308" i="7"/>
  <c r="S1316" i="7"/>
  <c r="S1333" i="7"/>
  <c r="S1337" i="7"/>
  <c r="S1342" i="7"/>
  <c r="S1346" i="7"/>
  <c r="S1350" i="7"/>
  <c r="S1354" i="7"/>
  <c r="S1366" i="7"/>
  <c r="S1378" i="7"/>
  <c r="S1382" i="7"/>
  <c r="S1386" i="7"/>
  <c r="S1390" i="7"/>
  <c r="S1394" i="7"/>
  <c r="S1398" i="7"/>
  <c r="S1406" i="7"/>
  <c r="S1414" i="7"/>
  <c r="S1426" i="7"/>
  <c r="S1438" i="7"/>
  <c r="S1442" i="7"/>
  <c r="S1446" i="7"/>
  <c r="S668" i="7"/>
  <c r="S689" i="7"/>
  <c r="S705" i="7"/>
  <c r="S729" i="7"/>
  <c r="S733" i="7"/>
  <c r="S781" i="7"/>
  <c r="S785" i="7"/>
  <c r="S789" i="7"/>
  <c r="S805" i="7"/>
  <c r="S813" i="7"/>
  <c r="S829" i="7"/>
  <c r="S833" i="7"/>
  <c r="S849" i="7"/>
  <c r="S857" i="7"/>
  <c r="S865" i="7"/>
  <c r="S881" i="7"/>
  <c r="S886" i="7"/>
  <c r="S895" i="7"/>
  <c r="S899" i="7"/>
  <c r="S907" i="7"/>
  <c r="S916" i="7"/>
  <c r="S924" i="7"/>
  <c r="S928" i="7"/>
  <c r="S945" i="7"/>
  <c r="S974" i="7"/>
  <c r="S978" i="7"/>
  <c r="S1016" i="7"/>
  <c r="S1020" i="7"/>
  <c r="S1050" i="7"/>
  <c r="S1071" i="7"/>
  <c r="S1080" i="7"/>
  <c r="S1084" i="7"/>
  <c r="S1088" i="7"/>
  <c r="S1100" i="7"/>
  <c r="S1104" i="7"/>
  <c r="S1108" i="7"/>
  <c r="S1120" i="7"/>
  <c r="S1124" i="7"/>
  <c r="S1128" i="7"/>
  <c r="S1132" i="7"/>
  <c r="S1136" i="7"/>
  <c r="S1148" i="7"/>
  <c r="S1152" i="7"/>
  <c r="S1164" i="7"/>
  <c r="S1168" i="7"/>
  <c r="S1172" i="7"/>
  <c r="S1176" i="7"/>
  <c r="S1187" i="7"/>
  <c r="S1191" i="7"/>
  <c r="S1203" i="7"/>
  <c r="S1207" i="7"/>
  <c r="S1211" i="7"/>
  <c r="S1215" i="7"/>
  <c r="S1239" i="7"/>
  <c r="S1243" i="7"/>
  <c r="S1247" i="7"/>
  <c r="S1275" i="7"/>
  <c r="S1279" i="7"/>
  <c r="S1283" i="7"/>
  <c r="S1307" i="7"/>
  <c r="S1331" i="7"/>
  <c r="S1365" i="7"/>
  <c r="S1373" i="7"/>
  <c r="S1405" i="7"/>
  <c r="S1421" i="7"/>
  <c r="S1429" i="7"/>
  <c r="S1433" i="7"/>
  <c r="S494" i="7"/>
  <c r="S498" i="7"/>
  <c r="S506" i="7"/>
  <c r="S519" i="7"/>
  <c r="S523" i="7"/>
  <c r="S527" i="7"/>
  <c r="S531" i="7"/>
  <c r="S535" i="7"/>
  <c r="S539" i="7"/>
  <c r="S544" i="7"/>
  <c r="S556" i="7"/>
  <c r="S560" i="7"/>
  <c r="S564" i="7"/>
  <c r="S572" i="7"/>
  <c r="S576" i="7"/>
  <c r="S592" i="7"/>
  <c r="S501" i="7"/>
  <c r="S505" i="7"/>
  <c r="S510" i="7"/>
  <c r="S397" i="7"/>
  <c r="S401" i="7"/>
  <c r="S422" i="7"/>
  <c r="S426" i="7"/>
  <c r="S378" i="7"/>
  <c r="S382" i="7"/>
  <c r="S400" i="7"/>
  <c r="S249" i="7"/>
  <c r="S277" i="7"/>
  <c r="S281" i="7"/>
  <c r="S293" i="7"/>
  <c r="S297" i="7"/>
  <c r="S305" i="7"/>
  <c r="S150" i="7"/>
  <c r="S182" i="7"/>
  <c r="S202" i="7"/>
  <c r="S137" i="7"/>
  <c r="S149" i="7"/>
  <c r="S169" i="7"/>
  <c r="S173" i="7"/>
  <c r="S205" i="7"/>
  <c r="S31" i="7"/>
  <c r="S35" i="7"/>
  <c r="S43" i="7"/>
  <c r="S51" i="7"/>
  <c r="S75" i="7"/>
  <c r="N1984" i="7"/>
  <c r="N1983" i="7" s="1"/>
  <c r="I16" i="8" s="1"/>
  <c r="R1990" i="7"/>
  <c r="R1985" i="7"/>
  <c r="R1919" i="7"/>
  <c r="R1915" i="7"/>
  <c r="R1909" i="7"/>
  <c r="R1877" i="7"/>
  <c r="R1937" i="7"/>
  <c r="R1901" i="7"/>
  <c r="R1738" i="7"/>
  <c r="N1734" i="7"/>
  <c r="N1730" i="7" s="1"/>
  <c r="R1744" i="7"/>
  <c r="R1745" i="7"/>
  <c r="R1732" i="7"/>
  <c r="R1665" i="7"/>
  <c r="R1664" i="7"/>
  <c r="N1534" i="7"/>
  <c r="N1594" i="7"/>
  <c r="R1594" i="7" s="1"/>
  <c r="R1552" i="7"/>
  <c r="N1548" i="7"/>
  <c r="R1548" i="7" s="1"/>
  <c r="N1570" i="7"/>
  <c r="R1571" i="7"/>
  <c r="R1607" i="7"/>
  <c r="R1567" i="7"/>
  <c r="R1517" i="7"/>
  <c r="R727" i="7"/>
  <c r="N783" i="7"/>
  <c r="N774" i="7" s="1"/>
  <c r="R799" i="7"/>
  <c r="R835" i="7"/>
  <c r="R915" i="7"/>
  <c r="N917" i="7"/>
  <c r="R917" i="7" s="1"/>
  <c r="R1062" i="7"/>
  <c r="R798" i="7"/>
  <c r="N788" i="7"/>
  <c r="N1051" i="7"/>
  <c r="R1061" i="7"/>
  <c r="N967" i="7"/>
  <c r="R967" i="7" s="1"/>
  <c r="R968" i="7"/>
  <c r="N825" i="7"/>
  <c r="R834" i="7"/>
  <c r="N769" i="7"/>
  <c r="R769" i="7" s="1"/>
  <c r="R772" i="7"/>
  <c r="N1396" i="7"/>
  <c r="R1396" i="7" s="1"/>
  <c r="R1399" i="7"/>
  <c r="R914" i="7"/>
  <c r="R847" i="7"/>
  <c r="N837" i="7"/>
  <c r="R703" i="7"/>
  <c r="N690" i="7"/>
  <c r="N1418" i="7"/>
  <c r="N760" i="7"/>
  <c r="R998" i="7"/>
  <c r="R864" i="7"/>
  <c r="R1389" i="7"/>
  <c r="R1256" i="7"/>
  <c r="R786" i="7"/>
  <c r="R773" i="7"/>
  <c r="R1313" i="7"/>
  <c r="R1142" i="7"/>
  <c r="R1096" i="7"/>
  <c r="R1066" i="7"/>
  <c r="R955" i="7"/>
  <c r="R801" i="7"/>
  <c r="R739" i="7"/>
  <c r="R1249" i="7"/>
  <c r="R1358" i="7"/>
  <c r="R1305" i="7"/>
  <c r="R1400" i="7"/>
  <c r="R1361" i="7"/>
  <c r="R1270" i="7"/>
  <c r="R1241" i="7"/>
  <c r="R1150" i="7"/>
  <c r="R1127" i="7"/>
  <c r="R1103" i="7"/>
  <c r="R840" i="7"/>
  <c r="R509" i="7"/>
  <c r="R541" i="7"/>
  <c r="N499" i="7"/>
  <c r="N488" i="7" s="1"/>
  <c r="R508" i="7"/>
  <c r="N593" i="7"/>
  <c r="R593" i="7" s="1"/>
  <c r="R594" i="7"/>
  <c r="N379" i="7"/>
  <c r="R379" i="7" s="1"/>
  <c r="N411" i="7"/>
  <c r="R412" i="7"/>
  <c r="R405" i="7"/>
  <c r="N396" i="7"/>
  <c r="R420" i="7"/>
  <c r="R433" i="7"/>
  <c r="R413" i="7"/>
  <c r="N300" i="7"/>
  <c r="R246" i="7"/>
  <c r="R160" i="7"/>
  <c r="N157" i="7"/>
  <c r="R157" i="7" s="1"/>
  <c r="R145" i="7"/>
  <c r="N141" i="7"/>
  <c r="R190" i="7"/>
  <c r="R147" i="7"/>
  <c r="N198" i="7"/>
  <c r="N193" i="7" s="1"/>
  <c r="R200" i="7"/>
  <c r="R189" i="7"/>
  <c r="R162" i="7"/>
  <c r="R198" i="7"/>
  <c r="R138" i="7"/>
  <c r="R58" i="7"/>
  <c r="N55" i="7"/>
  <c r="N47" i="7" s="1"/>
  <c r="R67" i="7"/>
  <c r="N66" i="7"/>
  <c r="N8" i="7"/>
  <c r="R9" i="7"/>
  <c r="R61" i="7"/>
  <c r="R57" i="7"/>
  <c r="R17" i="7"/>
  <c r="R19" i="7"/>
  <c r="R1986" i="7"/>
  <c r="J1984" i="7"/>
  <c r="J1983" i="7" s="1"/>
  <c r="F16" i="8" s="1"/>
  <c r="J1906" i="7"/>
  <c r="J1905" i="7" s="1"/>
  <c r="R1905" i="7" s="1"/>
  <c r="R1925" i="7"/>
  <c r="J1924" i="7"/>
  <c r="R1924" i="7" s="1"/>
  <c r="R1933" i="7"/>
  <c r="R1836" i="7"/>
  <c r="J1833" i="7"/>
  <c r="R1810" i="7"/>
  <c r="J1806" i="7"/>
  <c r="J1890" i="7"/>
  <c r="R1823" i="7"/>
  <c r="J1819" i="7"/>
  <c r="J1842" i="7"/>
  <c r="R1842" i="7" s="1"/>
  <c r="R1848" i="7"/>
  <c r="R1934" i="7"/>
  <c r="R1902" i="7"/>
  <c r="R1916" i="7"/>
  <c r="R1885" i="7"/>
  <c r="R1873" i="7"/>
  <c r="R1849" i="7"/>
  <c r="R1824" i="7"/>
  <c r="R1814" i="7"/>
  <c r="J1731" i="7"/>
  <c r="J1730" i="7" s="1"/>
  <c r="J1748" i="7"/>
  <c r="R1751" i="7"/>
  <c r="R1762" i="7"/>
  <c r="J1759" i="7"/>
  <c r="J1740" i="7"/>
  <c r="R1740" i="7" s="1"/>
  <c r="R1741" i="7"/>
  <c r="R1709" i="7"/>
  <c r="J1706" i="7"/>
  <c r="R1753" i="7"/>
  <c r="R1735" i="7"/>
  <c r="R1768" i="7"/>
  <c r="R1715" i="7"/>
  <c r="J1630" i="7"/>
  <c r="R1630" i="7" s="1"/>
  <c r="R1631" i="7"/>
  <c r="J1640" i="7"/>
  <c r="R1642" i="7"/>
  <c r="R1674" i="7"/>
  <c r="R1657" i="7"/>
  <c r="J1655" i="7"/>
  <c r="R1655" i="7" s="1"/>
  <c r="R1675" i="7"/>
  <c r="R1654" i="7"/>
  <c r="R1535" i="7"/>
  <c r="J1534" i="7"/>
  <c r="R1574" i="7"/>
  <c r="J1566" i="7"/>
  <c r="J1556" i="7"/>
  <c r="R1556" i="7" s="1"/>
  <c r="R1559" i="7"/>
  <c r="R1585" i="7"/>
  <c r="R1577" i="7"/>
  <c r="R1546" i="7"/>
  <c r="R1518" i="7"/>
  <c r="R665" i="7"/>
  <c r="R730" i="7"/>
  <c r="R804" i="7"/>
  <c r="J856" i="7"/>
  <c r="R880" i="7"/>
  <c r="R920" i="7"/>
  <c r="R973" i="7"/>
  <c r="R1089" i="7"/>
  <c r="R1114" i="7"/>
  <c r="R1153" i="7"/>
  <c r="R1195" i="7"/>
  <c r="R1202" i="7"/>
  <c r="R1216" i="7"/>
  <c r="R1252" i="7"/>
  <c r="J1285" i="7"/>
  <c r="R1324" i="7"/>
  <c r="J1377" i="7"/>
  <c r="J1401" i="7"/>
  <c r="R1401" i="7" s="1"/>
  <c r="R1420" i="7"/>
  <c r="R946" i="7"/>
  <c r="J774" i="7"/>
  <c r="R777" i="7"/>
  <c r="J748" i="7"/>
  <c r="R751" i="7"/>
  <c r="J709" i="7"/>
  <c r="R709" i="7" s="1"/>
  <c r="R712" i="7"/>
  <c r="R662" i="7"/>
  <c r="J1424" i="7"/>
  <c r="R1424" i="7" s="1"/>
  <c r="R1427" i="7"/>
  <c r="R791" i="7"/>
  <c r="J788" i="7"/>
  <c r="J825" i="7"/>
  <c r="R1419" i="7"/>
  <c r="R820" i="7"/>
  <c r="J817" i="7"/>
  <c r="R817" i="7" s="1"/>
  <c r="R685" i="7"/>
  <c r="J682" i="7"/>
  <c r="R682" i="7" s="1"/>
  <c r="R1439" i="7"/>
  <c r="R1436" i="7" s="1"/>
  <c r="J1436" i="7"/>
  <c r="J690" i="7"/>
  <c r="J837" i="7"/>
  <c r="R1273" i="7"/>
  <c r="R1259" i="7"/>
  <c r="R1161" i="7"/>
  <c r="R1145" i="7"/>
  <c r="R1099" i="7"/>
  <c r="R894" i="7"/>
  <c r="R779" i="7"/>
  <c r="R765" i="7"/>
  <c r="R753" i="7"/>
  <c r="R745" i="7"/>
  <c r="R741" i="7"/>
  <c r="R678" i="7"/>
  <c r="J485" i="7"/>
  <c r="R485" i="7" s="1"/>
  <c r="R486" i="7"/>
  <c r="J489" i="7"/>
  <c r="R490" i="7"/>
  <c r="J365" i="7"/>
  <c r="J408" i="7"/>
  <c r="R409" i="7"/>
  <c r="R399" i="7"/>
  <c r="J419" i="7"/>
  <c r="R419" i="7" s="1"/>
  <c r="R384" i="7"/>
  <c r="R368" i="7"/>
  <c r="R410" i="7"/>
  <c r="R403" i="7"/>
  <c r="R310" i="7"/>
  <c r="R265" i="7"/>
  <c r="J262" i="7"/>
  <c r="R262" i="7" s="1"/>
  <c r="J273" i="7"/>
  <c r="R273" i="7" s="1"/>
  <c r="R272" i="7"/>
  <c r="J251" i="7"/>
  <c r="R251" i="7" s="1"/>
  <c r="J283" i="7"/>
  <c r="R286" i="7"/>
  <c r="R295" i="7"/>
  <c r="R289" i="7"/>
  <c r="R148" i="7"/>
  <c r="J174" i="7"/>
  <c r="R177" i="7"/>
  <c r="J127" i="7"/>
  <c r="R127" i="7" s="1"/>
  <c r="R128" i="7"/>
  <c r="R203" i="7"/>
  <c r="R166" i="7"/>
  <c r="J163" i="7"/>
  <c r="R163" i="7" s="1"/>
  <c r="R194" i="7"/>
  <c r="R172" i="7"/>
  <c r="R152" i="7"/>
  <c r="J87" i="7"/>
  <c r="R87" i="7" s="1"/>
  <c r="R88" i="7"/>
  <c r="R95" i="7"/>
  <c r="J92" i="7"/>
  <c r="R96" i="7"/>
  <c r="R10" i="7"/>
  <c r="J16" i="7"/>
  <c r="R16" i="7" s="1"/>
  <c r="R25" i="7"/>
  <c r="J27" i="7"/>
  <c r="R27" i="7" s="1"/>
  <c r="J23" i="7"/>
  <c r="R24" i="7"/>
  <c r="R37" i="7"/>
  <c r="J34" i="7"/>
  <c r="R34" i="7" s="1"/>
  <c r="J68" i="7"/>
  <c r="R70" i="7"/>
  <c r="R49" i="7"/>
  <c r="J47" i="7"/>
  <c r="R73" i="7"/>
  <c r="N1748" i="7" l="1"/>
  <c r="N1747" i="7" s="1"/>
  <c r="N511" i="7"/>
  <c r="N130" i="7"/>
  <c r="R863" i="7"/>
  <c r="R1277" i="7"/>
  <c r="N891" i="7"/>
  <c r="R891" i="7" s="1"/>
  <c r="R1984" i="7"/>
  <c r="R1025" i="7"/>
  <c r="J1860" i="7"/>
  <c r="R1860" i="7" s="1"/>
  <c r="R760" i="7"/>
  <c r="J1418" i="7"/>
  <c r="R1418" i="7" s="1"/>
  <c r="R1872" i="7"/>
  <c r="R1918" i="7"/>
  <c r="R41" i="7"/>
  <c r="J130" i="7"/>
  <c r="R1699" i="7"/>
  <c r="N970" i="7"/>
  <c r="R970" i="7" s="1"/>
  <c r="R1285" i="7"/>
  <c r="J1584" i="7"/>
  <c r="R1584" i="7" s="1"/>
  <c r="R1890" i="7"/>
  <c r="R134" i="7"/>
  <c r="R736" i="7"/>
  <c r="J1184" i="7"/>
  <c r="R1184" i="7" s="1"/>
  <c r="J1077" i="7"/>
  <c r="R1077" i="7" s="1"/>
  <c r="N383" i="7"/>
  <c r="R429" i="7"/>
  <c r="R186" i="7"/>
  <c r="R1734" i="7"/>
  <c r="R757" i="7"/>
  <c r="R1234" i="7"/>
  <c r="L16" i="8"/>
  <c r="N7" i="7"/>
  <c r="I5" i="8" s="1"/>
  <c r="R499" i="7"/>
  <c r="R748" i="7"/>
  <c r="R174" i="7"/>
  <c r="R837" i="7"/>
  <c r="R1051" i="7"/>
  <c r="R193" i="7"/>
  <c r="R1983" i="7"/>
  <c r="R1730" i="7"/>
  <c r="N1687" i="7"/>
  <c r="I14" i="8" s="1"/>
  <c r="R1534" i="7"/>
  <c r="N1593" i="7"/>
  <c r="R1593" i="7" s="1"/>
  <c r="N1566" i="7"/>
  <c r="R1566" i="7" s="1"/>
  <c r="R1570" i="7"/>
  <c r="N1545" i="7"/>
  <c r="R690" i="7"/>
  <c r="R783" i="7"/>
  <c r="R788" i="7"/>
  <c r="R825" i="7"/>
  <c r="N676" i="7"/>
  <c r="N650" i="7" s="1"/>
  <c r="N943" i="7"/>
  <c r="R943" i="7" s="1"/>
  <c r="R774" i="7"/>
  <c r="N1377" i="7"/>
  <c r="N1177" i="7" s="1"/>
  <c r="N365" i="7"/>
  <c r="R365" i="7" s="1"/>
  <c r="R396" i="7"/>
  <c r="N408" i="7"/>
  <c r="R408" i="7" s="1"/>
  <c r="R411" i="7"/>
  <c r="N294" i="7"/>
  <c r="R300" i="7"/>
  <c r="N126" i="7"/>
  <c r="I7" i="8" s="1"/>
  <c r="R130" i="7"/>
  <c r="R141" i="7"/>
  <c r="R55" i="7"/>
  <c r="N65" i="7"/>
  <c r="R65" i="7" s="1"/>
  <c r="R66" i="7"/>
  <c r="R47" i="7"/>
  <c r="R1906" i="7"/>
  <c r="R1806" i="7"/>
  <c r="J1807" i="7"/>
  <c r="R1807" i="7" s="1"/>
  <c r="J1818" i="7"/>
  <c r="R1818" i="7" s="1"/>
  <c r="R1819" i="7"/>
  <c r="J1883" i="7"/>
  <c r="J1832" i="7"/>
  <c r="R1832" i="7" s="1"/>
  <c r="R1833" i="7"/>
  <c r="R1731" i="7"/>
  <c r="J1688" i="7"/>
  <c r="R1688" i="7" s="1"/>
  <c r="R1706" i="7"/>
  <c r="R1748" i="7"/>
  <c r="J1747" i="7"/>
  <c r="R1747" i="7" s="1"/>
  <c r="J1758" i="7"/>
  <c r="R1759" i="7"/>
  <c r="J1639" i="7"/>
  <c r="R1640" i="7"/>
  <c r="J1545" i="7"/>
  <c r="J855" i="7"/>
  <c r="R855" i="7" s="1"/>
  <c r="R856" i="7"/>
  <c r="J676" i="7"/>
  <c r="J650" i="7" s="1"/>
  <c r="J488" i="7"/>
  <c r="R489" i="7"/>
  <c r="J383" i="7"/>
  <c r="R283" i="7"/>
  <c r="J282" i="7"/>
  <c r="J151" i="7"/>
  <c r="R92" i="7"/>
  <c r="J86" i="7"/>
  <c r="R68" i="7"/>
  <c r="R23" i="7"/>
  <c r="J22" i="7"/>
  <c r="J32" i="7"/>
  <c r="R32" i="7" s="1"/>
  <c r="J1841" i="7" l="1"/>
  <c r="R1841" i="7" s="1"/>
  <c r="J1177" i="7"/>
  <c r="R1177" i="7" s="1"/>
  <c r="J1583" i="7"/>
  <c r="J1529" i="7" s="1"/>
  <c r="N364" i="7"/>
  <c r="I9" i="8" s="1"/>
  <c r="R86" i="7"/>
  <c r="F6" i="8"/>
  <c r="L6" i="8" s="1"/>
  <c r="R1545" i="7"/>
  <c r="N1529" i="7"/>
  <c r="N1513" i="7" s="1"/>
  <c r="I12" i="8" s="1"/>
  <c r="N850" i="7"/>
  <c r="N649" i="7" s="1"/>
  <c r="I11" i="8" s="1"/>
  <c r="R1377" i="7"/>
  <c r="N484" i="7"/>
  <c r="I10" i="8" s="1"/>
  <c r="R511" i="7"/>
  <c r="R294" i="7"/>
  <c r="N245" i="7"/>
  <c r="I8" i="8" s="1"/>
  <c r="R1883" i="7"/>
  <c r="J1805" i="7"/>
  <c r="R1758" i="7"/>
  <c r="J1687" i="7"/>
  <c r="R1639" i="7"/>
  <c r="J1629" i="7"/>
  <c r="J850" i="7"/>
  <c r="R676" i="7"/>
  <c r="R650" i="7"/>
  <c r="R488" i="7"/>
  <c r="J484" i="7"/>
  <c r="R383" i="7"/>
  <c r="J364" i="7"/>
  <c r="R282" i="7"/>
  <c r="J245" i="7"/>
  <c r="F8" i="8" s="1"/>
  <c r="R151" i="7"/>
  <c r="J126" i="7"/>
  <c r="R22" i="7"/>
  <c r="J8" i="7"/>
  <c r="R8" i="7" s="1"/>
  <c r="R1583" i="7" l="1"/>
  <c r="R1629" i="7"/>
  <c r="F13" i="8"/>
  <c r="L13" i="8" s="1"/>
  <c r="R1687" i="7"/>
  <c r="F14" i="8"/>
  <c r="L14" i="8" s="1"/>
  <c r="L8" i="8"/>
  <c r="R484" i="7"/>
  <c r="F10" i="8"/>
  <c r="L10" i="8" s="1"/>
  <c r="R126" i="7"/>
  <c r="F7" i="8"/>
  <c r="L7" i="8" s="1"/>
  <c r="R364" i="7"/>
  <c r="F9" i="8"/>
  <c r="L9" i="8" s="1"/>
  <c r="R1805" i="7"/>
  <c r="F15" i="8"/>
  <c r="L15" i="8" s="1"/>
  <c r="I4" i="8"/>
  <c r="R850" i="7"/>
  <c r="R245" i="7"/>
  <c r="R1529" i="7"/>
  <c r="J1513" i="7"/>
  <c r="J649" i="7"/>
  <c r="J7" i="7"/>
  <c r="R7" i="7" l="1"/>
  <c r="F5" i="8"/>
  <c r="R649" i="7"/>
  <c r="F11" i="8"/>
  <c r="L11" i="8" s="1"/>
  <c r="R1513" i="7"/>
  <c r="F12" i="8"/>
  <c r="L12" i="8" s="1"/>
  <c r="Q1997" i="7"/>
  <c r="Q1996" i="7"/>
  <c r="Q1995" i="7"/>
  <c r="Q1994" i="7"/>
  <c r="I1993" i="7"/>
  <c r="Q1993" i="7" s="1"/>
  <c r="Q1992" i="7"/>
  <c r="Q1991" i="7"/>
  <c r="M1990" i="7"/>
  <c r="O1990" i="7" s="1"/>
  <c r="Q1988" i="7"/>
  <c r="Q1987" i="7"/>
  <c r="M1986" i="7"/>
  <c r="I1986" i="7"/>
  <c r="B1983" i="7"/>
  <c r="B1984" i="7" s="1"/>
  <c r="B1985" i="7" s="1"/>
  <c r="B1986" i="7" s="1"/>
  <c r="B1987" i="7" s="1"/>
  <c r="B1988" i="7" s="1"/>
  <c r="B1989" i="7" s="1"/>
  <c r="B1990" i="7" s="1"/>
  <c r="B1991" i="7" s="1"/>
  <c r="B1992" i="7" s="1"/>
  <c r="B1993" i="7" s="1"/>
  <c r="B1994" i="7" s="1"/>
  <c r="B1995" i="7" s="1"/>
  <c r="B1996" i="7" s="1"/>
  <c r="B1997" i="7" s="1"/>
  <c r="Q1944" i="7"/>
  <c r="Q1943" i="7"/>
  <c r="Q1942" i="7"/>
  <c r="Q1941" i="7"/>
  <c r="Q1940" i="7"/>
  <c r="Q1939" i="7"/>
  <c r="Q1938" i="7"/>
  <c r="M1937" i="7"/>
  <c r="O1937" i="7" s="1"/>
  <c r="I1937" i="7"/>
  <c r="Q1936" i="7"/>
  <c r="Q1935" i="7"/>
  <c r="M1933" i="7"/>
  <c r="O1933" i="7" s="1"/>
  <c r="Q1932" i="7"/>
  <c r="Q1931" i="7"/>
  <c r="Q1930" i="7"/>
  <c r="Q1929" i="7"/>
  <c r="I1928" i="7"/>
  <c r="Q1927" i="7"/>
  <c r="Q1926" i="7"/>
  <c r="M1925" i="7"/>
  <c r="I1925" i="7"/>
  <c r="K1925" i="7" s="1"/>
  <c r="Q1923" i="7"/>
  <c r="M1922" i="7"/>
  <c r="O1922" i="7" s="1"/>
  <c r="I1922" i="7"/>
  <c r="Q1920" i="7"/>
  <c r="M1919" i="7"/>
  <c r="O1919" i="7" s="1"/>
  <c r="I1919" i="7"/>
  <c r="K1919" i="7" s="1"/>
  <c r="Q1917" i="7"/>
  <c r="M1916" i="7"/>
  <c r="I1916" i="7"/>
  <c r="K1916" i="7" s="1"/>
  <c r="Q1914" i="7"/>
  <c r="I1913" i="7"/>
  <c r="Q1912" i="7"/>
  <c r="Q1911" i="7"/>
  <c r="Q1910" i="7"/>
  <c r="M1909" i="7"/>
  <c r="I1908" i="7"/>
  <c r="I1907" i="7"/>
  <c r="Q1903" i="7"/>
  <c r="M1902" i="7"/>
  <c r="I1902" i="7"/>
  <c r="K1902" i="7" s="1"/>
  <c r="Q1900" i="7"/>
  <c r="I1899" i="7"/>
  <c r="Q1898" i="7"/>
  <c r="Q1897" i="7"/>
  <c r="Q1896" i="7"/>
  <c r="Q1895" i="7"/>
  <c r="Q1894" i="7"/>
  <c r="M1893" i="7"/>
  <c r="O1893" i="7" s="1"/>
  <c r="I1892" i="7"/>
  <c r="I1891" i="7"/>
  <c r="K1891" i="7" s="1"/>
  <c r="S1891" i="7" s="1"/>
  <c r="Q1889" i="7"/>
  <c r="I1888" i="7"/>
  <c r="Q1887" i="7"/>
  <c r="Q1886" i="7"/>
  <c r="M1885" i="7"/>
  <c r="O1885" i="7" s="1"/>
  <c r="I1885" i="7"/>
  <c r="Q1884" i="7"/>
  <c r="Q1882" i="7"/>
  <c r="Q1881" i="7"/>
  <c r="Q1880" i="7"/>
  <c r="Q1879" i="7"/>
  <c r="M1878" i="7"/>
  <c r="O1878" i="7" s="1"/>
  <c r="I1878" i="7"/>
  <c r="M1877" i="7"/>
  <c r="O1877" i="7" s="1"/>
  <c r="Q1876" i="7"/>
  <c r="Q1875" i="7"/>
  <c r="Q1874" i="7"/>
  <c r="M1873" i="7"/>
  <c r="O1873" i="7" s="1"/>
  <c r="I1873" i="7"/>
  <c r="K1873" i="7" s="1"/>
  <c r="Q1871" i="7"/>
  <c r="I1870" i="7"/>
  <c r="Q1869" i="7"/>
  <c r="Q1868" i="7"/>
  <c r="Q1867" i="7"/>
  <c r="I1866" i="7"/>
  <c r="Q1865" i="7"/>
  <c r="M1864" i="7"/>
  <c r="O1864" i="7" s="1"/>
  <c r="Q1863" i="7"/>
  <c r="I1862" i="7"/>
  <c r="K1862" i="7" s="1"/>
  <c r="S1862" i="7" s="1"/>
  <c r="Q1859" i="7"/>
  <c r="Q1858" i="7"/>
  <c r="Q1857" i="7"/>
  <c r="Q1856" i="7"/>
  <c r="Q1855" i="7"/>
  <c r="Q1854" i="7"/>
  <c r="Q1853" i="7"/>
  <c r="Q1852" i="7"/>
  <c r="Q1851" i="7"/>
  <c r="Q1850" i="7"/>
  <c r="I1849" i="7"/>
  <c r="Q1846" i="7"/>
  <c r="Q1845" i="7"/>
  <c r="Q1844" i="7"/>
  <c r="M1843" i="7"/>
  <c r="I1843" i="7"/>
  <c r="K1843" i="7" s="1"/>
  <c r="I1840" i="7"/>
  <c r="I1839" i="7"/>
  <c r="I1838" i="7"/>
  <c r="I1837" i="7"/>
  <c r="M1836" i="7"/>
  <c r="I1835" i="7"/>
  <c r="K1835" i="7" s="1"/>
  <c r="S1835" i="7" s="1"/>
  <c r="I1834" i="7"/>
  <c r="Q1831" i="7"/>
  <c r="I1830" i="7"/>
  <c r="K1830" i="7" s="1"/>
  <c r="S1830" i="7" s="1"/>
  <c r="I1829" i="7"/>
  <c r="I1828" i="7"/>
  <c r="I1827" i="7"/>
  <c r="I1826" i="7"/>
  <c r="I1825" i="7"/>
  <c r="I1824" i="7"/>
  <c r="I1822" i="7"/>
  <c r="K1822" i="7" s="1"/>
  <c r="S1822" i="7" s="1"/>
  <c r="I1821" i="7"/>
  <c r="Q1820" i="7"/>
  <c r="Q1817" i="7"/>
  <c r="M1816" i="7"/>
  <c r="O1816" i="7" s="1"/>
  <c r="I1816" i="7"/>
  <c r="K1816" i="7" s="1"/>
  <c r="S1816" i="7" s="1"/>
  <c r="Q1815" i="7"/>
  <c r="I1814" i="7"/>
  <c r="K1814" i="7" s="1"/>
  <c r="S1814" i="7" s="1"/>
  <c r="I1813" i="7"/>
  <c r="Q1812" i="7"/>
  <c r="Q1811" i="7"/>
  <c r="M1810" i="7"/>
  <c r="O1810" i="7" s="1"/>
  <c r="Q1809" i="7"/>
  <c r="Q1808" i="7"/>
  <c r="B1805" i="7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B1852" i="7" s="1"/>
  <c r="B1853" i="7" s="1"/>
  <c r="B1854" i="7" s="1"/>
  <c r="B1855" i="7" s="1"/>
  <c r="B1856" i="7" s="1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B1890" i="7" s="1"/>
  <c r="B1891" i="7" s="1"/>
  <c r="B1892" i="7" s="1"/>
  <c r="B1893" i="7" s="1"/>
  <c r="B1894" i="7" s="1"/>
  <c r="B1895" i="7" s="1"/>
  <c r="Q1769" i="7"/>
  <c r="I1768" i="7"/>
  <c r="Q1767" i="7"/>
  <c r="Q1766" i="7"/>
  <c r="Q1765" i="7"/>
  <c r="Q1764" i="7"/>
  <c r="Q1763" i="7"/>
  <c r="M1762" i="7"/>
  <c r="O1762" i="7" s="1"/>
  <c r="Q1761" i="7"/>
  <c r="Q1760" i="7"/>
  <c r="M1758" i="7"/>
  <c r="O1758" i="7" s="1"/>
  <c r="Q1757" i="7"/>
  <c r="M1756" i="7"/>
  <c r="Q1756" i="7" s="1"/>
  <c r="Q1754" i="7"/>
  <c r="I1753" i="7"/>
  <c r="Q1752" i="7"/>
  <c r="M1751" i="7"/>
  <c r="O1751" i="7" s="1"/>
  <c r="Q1750" i="7"/>
  <c r="Q1749" i="7"/>
  <c r="Q1746" i="7"/>
  <c r="M1745" i="7"/>
  <c r="I1744" i="7"/>
  <c r="K1744" i="7" s="1"/>
  <c r="I1743" i="7"/>
  <c r="Q1742" i="7"/>
  <c r="M1741" i="7"/>
  <c r="O1741" i="7" s="1"/>
  <c r="Q1739" i="7"/>
  <c r="M1738" i="7"/>
  <c r="Q1736" i="7"/>
  <c r="M1735" i="7"/>
  <c r="O1735" i="7" s="1"/>
  <c r="I1735" i="7"/>
  <c r="K1735" i="7" s="1"/>
  <c r="I1733" i="7"/>
  <c r="M1732" i="7"/>
  <c r="O1732" i="7" s="1"/>
  <c r="Q1728" i="7"/>
  <c r="Q1726" i="7"/>
  <c r="I1725" i="7"/>
  <c r="K1725" i="7" s="1"/>
  <c r="S1725" i="7" s="1"/>
  <c r="Q1724" i="7"/>
  <c r="I1723" i="7"/>
  <c r="Q1722" i="7"/>
  <c r="I1721" i="7"/>
  <c r="M1720" i="7"/>
  <c r="O1720" i="7" s="1"/>
  <c r="I1719" i="7"/>
  <c r="Q1718" i="7"/>
  <c r="Q1716" i="7"/>
  <c r="I1715" i="7"/>
  <c r="Q1714" i="7"/>
  <c r="Q1713" i="7"/>
  <c r="I1712" i="7"/>
  <c r="Q1711" i="7"/>
  <c r="Q1710" i="7"/>
  <c r="M1709" i="7"/>
  <c r="O1709" i="7" s="1"/>
  <c r="I1708" i="7"/>
  <c r="I1707" i="7"/>
  <c r="Q1705" i="7"/>
  <c r="Q1704" i="7"/>
  <c r="Q1703" i="7"/>
  <c r="Q1702" i="7"/>
  <c r="Q1701" i="7"/>
  <c r="M1700" i="7"/>
  <c r="M1697" i="7"/>
  <c r="I1691" i="7"/>
  <c r="Q1690" i="7"/>
  <c r="I1689" i="7"/>
  <c r="B1687" i="7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B1722" i="7" s="1"/>
  <c r="B1723" i="7" s="1"/>
  <c r="B1724" i="7" s="1"/>
  <c r="B1725" i="7" s="1"/>
  <c r="B1726" i="7" s="1"/>
  <c r="B1727" i="7" s="1"/>
  <c r="B1728" i="7" s="1"/>
  <c r="B1729" i="7" s="1"/>
  <c r="B1730" i="7" s="1"/>
  <c r="B1731" i="7" s="1"/>
  <c r="B1732" i="7" s="1"/>
  <c r="B1733" i="7" s="1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Q1677" i="7"/>
  <c r="Q1676" i="7"/>
  <c r="M1675" i="7"/>
  <c r="I1675" i="7"/>
  <c r="Q1673" i="7"/>
  <c r="Q1672" i="7"/>
  <c r="Q1671" i="7"/>
  <c r="Q1670" i="7"/>
  <c r="Q1669" i="7"/>
  <c r="Q1668" i="7"/>
  <c r="Q1667" i="7"/>
  <c r="Q1666" i="7"/>
  <c r="M1665" i="7"/>
  <c r="Q1665" i="7" s="1"/>
  <c r="I1665" i="7"/>
  <c r="K1665" i="7" s="1"/>
  <c r="I1660" i="7"/>
  <c r="I1659" i="7"/>
  <c r="Q1658" i="7"/>
  <c r="Q1656" i="7"/>
  <c r="I1654" i="7"/>
  <c r="Q1653" i="7"/>
  <c r="Q1652" i="7"/>
  <c r="Q1651" i="7"/>
  <c r="Q1650" i="7"/>
  <c r="Q1649" i="7"/>
  <c r="Q1648" i="7"/>
  <c r="Q1647" i="7"/>
  <c r="Q1646" i="7"/>
  <c r="Q1645" i="7"/>
  <c r="Q1644" i="7"/>
  <c r="Q1643" i="7"/>
  <c r="Q1641" i="7"/>
  <c r="M1640" i="7"/>
  <c r="O1640" i="7" s="1"/>
  <c r="Q1638" i="7"/>
  <c r="Q1637" i="7"/>
  <c r="Q1636" i="7"/>
  <c r="Q1635" i="7"/>
  <c r="I1634" i="7"/>
  <c r="Q1633" i="7"/>
  <c r="I1632" i="7"/>
  <c r="Q1632" i="7" s="1"/>
  <c r="M1630" i="7"/>
  <c r="O1630" i="7" s="1"/>
  <c r="B1629" i="7"/>
  <c r="B1630" i="7" s="1"/>
  <c r="B1631" i="7" s="1"/>
  <c r="B1632" i="7" s="1"/>
  <c r="B1633" i="7" s="1"/>
  <c r="B1634" i="7" s="1"/>
  <c r="B1635" i="7" s="1"/>
  <c r="B1636" i="7" s="1"/>
  <c r="B1637" i="7" s="1"/>
  <c r="B1638" i="7" s="1"/>
  <c r="B1639" i="7" s="1"/>
  <c r="B1640" i="7" s="1"/>
  <c r="B1641" i="7" s="1"/>
  <c r="B1642" i="7" s="1"/>
  <c r="B1643" i="7" s="1"/>
  <c r="B1644" i="7" s="1"/>
  <c r="B1645" i="7" s="1"/>
  <c r="B1646" i="7" s="1"/>
  <c r="B1647" i="7" s="1"/>
  <c r="B1648" i="7" s="1"/>
  <c r="B1649" i="7" s="1"/>
  <c r="Q1612" i="7"/>
  <c r="Q1611" i="7"/>
  <c r="Q1610" i="7"/>
  <c r="Q1609" i="7"/>
  <c r="Q1608" i="7"/>
  <c r="M1607" i="7"/>
  <c r="O1607" i="7" s="1"/>
  <c r="I1607" i="7"/>
  <c r="Q1606" i="7"/>
  <c r="Q1605" i="7"/>
  <c r="M1604" i="7"/>
  <c r="O1604" i="7" s="1"/>
  <c r="Q1603" i="7"/>
  <c r="Q1602" i="7"/>
  <c r="M1601" i="7"/>
  <c r="Q1599" i="7"/>
  <c r="Q1598" i="7"/>
  <c r="M1597" i="7"/>
  <c r="M1595" i="7"/>
  <c r="I1592" i="7"/>
  <c r="K1592" i="7" s="1"/>
  <c r="S1592" i="7" s="1"/>
  <c r="I1591" i="7"/>
  <c r="I1590" i="7"/>
  <c r="I1589" i="7"/>
  <c r="I1588" i="7"/>
  <c r="K1588" i="7" s="1"/>
  <c r="S1588" i="7" s="1"/>
  <c r="I1586" i="7"/>
  <c r="I1585" i="7"/>
  <c r="Q1582" i="7"/>
  <c r="I1581" i="7"/>
  <c r="Q1580" i="7"/>
  <c r="Q1579" i="7"/>
  <c r="Q1578" i="7"/>
  <c r="I1577" i="7"/>
  <c r="Q1576" i="7"/>
  <c r="Q1575" i="7"/>
  <c r="Q1573" i="7"/>
  <c r="M1572" i="7"/>
  <c r="M1571" i="7" s="1"/>
  <c r="I1569" i="7"/>
  <c r="Q1568" i="7"/>
  <c r="M1567" i="7"/>
  <c r="O1567" i="7" s="1"/>
  <c r="Q1565" i="7"/>
  <c r="I1564" i="7"/>
  <c r="Q1563" i="7"/>
  <c r="Q1562" i="7"/>
  <c r="Q1561" i="7"/>
  <c r="Q1560" i="7"/>
  <c r="M1559" i="7"/>
  <c r="Q1558" i="7"/>
  <c r="Q1557" i="7"/>
  <c r="M1555" i="7"/>
  <c r="M1554" i="7"/>
  <c r="M1553" i="7"/>
  <c r="Q1551" i="7"/>
  <c r="Q1550" i="7"/>
  <c r="M1549" i="7"/>
  <c r="O1549" i="7" s="1"/>
  <c r="S1549" i="7" s="1"/>
  <c r="Q1547" i="7"/>
  <c r="Q1546" i="7"/>
  <c r="M1546" i="7"/>
  <c r="O1546" i="7" s="1"/>
  <c r="I1546" i="7"/>
  <c r="K1546" i="7" s="1"/>
  <c r="Q1544" i="7"/>
  <c r="Q1543" i="7"/>
  <c r="M1542" i="7"/>
  <c r="I1541" i="7"/>
  <c r="K1541" i="7" s="1"/>
  <c r="Q1540" i="7"/>
  <c r="I1539" i="7"/>
  <c r="Q1538" i="7"/>
  <c r="Q1537" i="7"/>
  <c r="I1536" i="7"/>
  <c r="M1535" i="7"/>
  <c r="O1535" i="7" s="1"/>
  <c r="Q1533" i="7"/>
  <c r="Q1532" i="7"/>
  <c r="I1531" i="7"/>
  <c r="M1530" i="7"/>
  <c r="O1530" i="7" s="1"/>
  <c r="Q1528" i="7"/>
  <c r="Q1527" i="7"/>
  <c r="Q1526" i="7"/>
  <c r="Q1525" i="7"/>
  <c r="Q1524" i="7"/>
  <c r="Q1523" i="7"/>
  <c r="Q1522" i="7"/>
  <c r="I1521" i="7"/>
  <c r="Q1520" i="7"/>
  <c r="I1519" i="7"/>
  <c r="M1518" i="7"/>
  <c r="Q1516" i="7"/>
  <c r="I1515" i="7"/>
  <c r="I1514" i="7" s="1"/>
  <c r="K1514" i="7" s="1"/>
  <c r="M1514" i="7"/>
  <c r="O1514" i="7" s="1"/>
  <c r="B1513" i="7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B1591" i="7" s="1"/>
  <c r="B1592" i="7" s="1"/>
  <c r="B1593" i="7" s="1"/>
  <c r="B1594" i="7" s="1"/>
  <c r="B1595" i="7" s="1"/>
  <c r="B1596" i="7" s="1"/>
  <c r="B1597" i="7" s="1"/>
  <c r="B1598" i="7" s="1"/>
  <c r="B1599" i="7" s="1"/>
  <c r="B1600" i="7" s="1"/>
  <c r="B1601" i="7" s="1"/>
  <c r="B1602" i="7" s="1"/>
  <c r="B1603" i="7" s="1"/>
  <c r="B1604" i="7" s="1"/>
  <c r="B1605" i="7" s="1"/>
  <c r="B1606" i="7" s="1"/>
  <c r="B1607" i="7" s="1"/>
  <c r="B1608" i="7" s="1"/>
  <c r="B1609" i="7" s="1"/>
  <c r="B1610" i="7" s="1"/>
  <c r="B1611" i="7" s="1"/>
  <c r="B1612" i="7" s="1"/>
  <c r="Q1446" i="7"/>
  <c r="Q1445" i="7"/>
  <c r="Q1444" i="7"/>
  <c r="Q1443" i="7"/>
  <c r="Q1442" i="7"/>
  <c r="I1441" i="7"/>
  <c r="Q1440" i="7"/>
  <c r="M1439" i="7"/>
  <c r="O1439" i="7" s="1"/>
  <c r="Q1438" i="7"/>
  <c r="Q1437" i="7"/>
  <c r="Q1435" i="7"/>
  <c r="Q1434" i="7"/>
  <c r="Q1433" i="7"/>
  <c r="Q1432" i="7"/>
  <c r="Q1431" i="7"/>
  <c r="I1430" i="7"/>
  <c r="K1430" i="7" s="1"/>
  <c r="S1430" i="7" s="1"/>
  <c r="Q1429" i="7"/>
  <c r="Q1428" i="7"/>
  <c r="M1427" i="7"/>
  <c r="I1427" i="7"/>
  <c r="K1427" i="7" s="1"/>
  <c r="Q1426" i="7"/>
  <c r="Q1425" i="7"/>
  <c r="Q1423" i="7"/>
  <c r="M1422" i="7"/>
  <c r="O1422" i="7" s="1"/>
  <c r="I1422" i="7"/>
  <c r="K1422" i="7" s="1"/>
  <c r="Q1421" i="7"/>
  <c r="M1420" i="7"/>
  <c r="O1420" i="7" s="1"/>
  <c r="I1420" i="7"/>
  <c r="Q1417" i="7"/>
  <c r="Q1416" i="7"/>
  <c r="Q1415" i="7"/>
  <c r="Q1414" i="7"/>
  <c r="Q1413" i="7"/>
  <c r="Q1412" i="7"/>
  <c r="M1411" i="7"/>
  <c r="O1411" i="7" s="1"/>
  <c r="I1411" i="7"/>
  <c r="K1411" i="7" s="1"/>
  <c r="I1410" i="7"/>
  <c r="I1409" i="7"/>
  <c r="Q1408" i="7"/>
  <c r="Q1407" i="7"/>
  <c r="Q1406" i="7"/>
  <c r="Q1405" i="7"/>
  <c r="M1404" i="7"/>
  <c r="O1404" i="7" s="1"/>
  <c r="I1404" i="7"/>
  <c r="K1404" i="7" s="1"/>
  <c r="I1403" i="7"/>
  <c r="I1402" i="7"/>
  <c r="M1400" i="7"/>
  <c r="Q1398" i="7"/>
  <c r="M1397" i="7"/>
  <c r="I1396" i="7"/>
  <c r="K1396" i="7" s="1"/>
  <c r="Q1395" i="7"/>
  <c r="Q1394" i="7"/>
  <c r="Q1393" i="7"/>
  <c r="Q1392" i="7"/>
  <c r="Q1391" i="7"/>
  <c r="Q1390" i="7"/>
  <c r="M1389" i="7"/>
  <c r="I1389" i="7"/>
  <c r="Q1388" i="7"/>
  <c r="Q1387" i="7"/>
  <c r="Q1386" i="7"/>
  <c r="Q1385" i="7"/>
  <c r="Q1384" i="7"/>
  <c r="Q1383" i="7"/>
  <c r="Q1382" i="7"/>
  <c r="Q1381" i="7"/>
  <c r="M1380" i="7"/>
  <c r="I1380" i="7"/>
  <c r="K1380" i="7" s="1"/>
  <c r="Q1379" i="7"/>
  <c r="Q1378" i="7"/>
  <c r="Q1376" i="7"/>
  <c r="Q1375" i="7"/>
  <c r="Q1374" i="7"/>
  <c r="Q1373" i="7"/>
  <c r="Q1372" i="7"/>
  <c r="Q1371" i="7"/>
  <c r="M1370" i="7"/>
  <c r="I1370" i="7"/>
  <c r="K1370" i="7" s="1"/>
  <c r="I1369" i="7"/>
  <c r="I1368" i="7"/>
  <c r="K1368" i="7" s="1"/>
  <c r="S1368" i="7" s="1"/>
  <c r="Q1367" i="7"/>
  <c r="Q1366" i="7"/>
  <c r="Q1365" i="7"/>
  <c r="Q1364" i="7"/>
  <c r="Q1363" i="7"/>
  <c r="Q1362" i="7"/>
  <c r="M1361" i="7"/>
  <c r="O1361" i="7" s="1"/>
  <c r="I1361" i="7"/>
  <c r="K1361" i="7" s="1"/>
  <c r="Q1360" i="7"/>
  <c r="Q1359" i="7"/>
  <c r="Q1357" i="7"/>
  <c r="Q1356" i="7"/>
  <c r="Q1355" i="7"/>
  <c r="Q1354" i="7"/>
  <c r="Q1353" i="7"/>
  <c r="M1352" i="7"/>
  <c r="O1352" i="7" s="1"/>
  <c r="I1352" i="7"/>
  <c r="Q1351" i="7"/>
  <c r="Q1350" i="7"/>
  <c r="Q1349" i="7"/>
  <c r="Q1348" i="7"/>
  <c r="Q1347" i="7"/>
  <c r="Q1346" i="7"/>
  <c r="Q1345" i="7"/>
  <c r="M1344" i="7"/>
  <c r="I1344" i="7"/>
  <c r="K1344" i="7" s="1"/>
  <c r="Q1343" i="7"/>
  <c r="Q1342" i="7"/>
  <c r="Q1339" i="7"/>
  <c r="Q1338" i="7"/>
  <c r="Q1337" i="7"/>
  <c r="Q1336" i="7"/>
  <c r="M1335" i="7"/>
  <c r="I1335" i="7"/>
  <c r="K1335" i="7" s="1"/>
  <c r="Q1334" i="7"/>
  <c r="Q1333" i="7"/>
  <c r="Q1331" i="7"/>
  <c r="Q1330" i="7"/>
  <c r="Q1329" i="7"/>
  <c r="Q1328" i="7"/>
  <c r="M1327" i="7"/>
  <c r="I1327" i="7"/>
  <c r="Q1326" i="7"/>
  <c r="Q1325" i="7"/>
  <c r="Q1323" i="7"/>
  <c r="M1322" i="7"/>
  <c r="O1322" i="7" s="1"/>
  <c r="I1322" i="7"/>
  <c r="K1322" i="7" s="1"/>
  <c r="Q1321" i="7"/>
  <c r="M1320" i="7"/>
  <c r="I1320" i="7"/>
  <c r="Q1318" i="7"/>
  <c r="Q1317" i="7"/>
  <c r="Q1316" i="7"/>
  <c r="Q1315" i="7"/>
  <c r="Q1314" i="7"/>
  <c r="M1313" i="7"/>
  <c r="I1313" i="7"/>
  <c r="K1313" i="7" s="1"/>
  <c r="I1312" i="7"/>
  <c r="I1311" i="7"/>
  <c r="Q1310" i="7"/>
  <c r="Q1309" i="7"/>
  <c r="Q1308" i="7"/>
  <c r="Q1307" i="7"/>
  <c r="Q1306" i="7"/>
  <c r="M1305" i="7"/>
  <c r="O1305" i="7" s="1"/>
  <c r="I1305" i="7"/>
  <c r="K1305" i="7" s="1"/>
  <c r="I1304" i="7"/>
  <c r="K1304" i="7" s="1"/>
  <c r="S1304" i="7" s="1"/>
  <c r="I1303" i="7"/>
  <c r="K1303" i="7" s="1"/>
  <c r="S1303" i="7" s="1"/>
  <c r="Q1301" i="7"/>
  <c r="Q1300" i="7"/>
  <c r="Q1299" i="7"/>
  <c r="Q1298" i="7"/>
  <c r="Q1297" i="7"/>
  <c r="M1296" i="7"/>
  <c r="O1296" i="7" s="1"/>
  <c r="I1296" i="7"/>
  <c r="K1296" i="7" s="1"/>
  <c r="Q1295" i="7"/>
  <c r="Q1294" i="7"/>
  <c r="Q1293" i="7"/>
  <c r="Q1292" i="7"/>
  <c r="Q1291" i="7"/>
  <c r="Q1290" i="7"/>
  <c r="Q1289" i="7"/>
  <c r="M1288" i="7"/>
  <c r="O1288" i="7" s="1"/>
  <c r="I1288" i="7"/>
  <c r="K1288" i="7" s="1"/>
  <c r="Q1287" i="7"/>
  <c r="Q1286" i="7"/>
  <c r="Q1284" i="7"/>
  <c r="Q1283" i="7"/>
  <c r="Q1282" i="7"/>
  <c r="Q1281" i="7"/>
  <c r="M1280" i="7"/>
  <c r="O1280" i="7" s="1"/>
  <c r="I1280" i="7"/>
  <c r="Q1279" i="7"/>
  <c r="Q1278" i="7"/>
  <c r="Q1276" i="7"/>
  <c r="Q1275" i="7"/>
  <c r="Q1274" i="7"/>
  <c r="M1273" i="7"/>
  <c r="O1273" i="7" s="1"/>
  <c r="I1273" i="7"/>
  <c r="Q1272" i="7"/>
  <c r="Q1271" i="7"/>
  <c r="Q1269" i="7"/>
  <c r="Q1268" i="7"/>
  <c r="Q1267" i="7"/>
  <c r="M1266" i="7"/>
  <c r="O1266" i="7" s="1"/>
  <c r="I1266" i="7"/>
  <c r="K1266" i="7" s="1"/>
  <c r="Q1265" i="7"/>
  <c r="Q1264" i="7"/>
  <c r="Q1262" i="7"/>
  <c r="Q1261" i="7"/>
  <c r="Q1260" i="7"/>
  <c r="M1259" i="7"/>
  <c r="O1259" i="7" s="1"/>
  <c r="I1259" i="7"/>
  <c r="Q1258" i="7"/>
  <c r="Q1257" i="7"/>
  <c r="Q1255" i="7"/>
  <c r="Q1254" i="7"/>
  <c r="Q1253" i="7"/>
  <c r="M1252" i="7"/>
  <c r="O1252" i="7" s="1"/>
  <c r="I1252" i="7"/>
  <c r="Q1251" i="7"/>
  <c r="Q1250" i="7"/>
  <c r="Q1248" i="7"/>
  <c r="Q1247" i="7"/>
  <c r="Q1246" i="7"/>
  <c r="Q1245" i="7"/>
  <c r="M1244" i="7"/>
  <c r="O1244" i="7" s="1"/>
  <c r="I1244" i="7"/>
  <c r="Q1243" i="7"/>
  <c r="Q1242" i="7"/>
  <c r="M1241" i="7"/>
  <c r="O1241" i="7" s="1"/>
  <c r="Q1240" i="7"/>
  <c r="Q1239" i="7"/>
  <c r="Q1238" i="7"/>
  <c r="M1237" i="7"/>
  <c r="I1237" i="7"/>
  <c r="K1237" i="7" s="1"/>
  <c r="Q1236" i="7"/>
  <c r="Q1235" i="7"/>
  <c r="Q1233" i="7"/>
  <c r="Q1232" i="7"/>
  <c r="Q1231" i="7"/>
  <c r="M1230" i="7"/>
  <c r="O1230" i="7" s="1"/>
  <c r="I1230" i="7"/>
  <c r="Q1229" i="7"/>
  <c r="Q1228" i="7"/>
  <c r="Q1226" i="7"/>
  <c r="Q1225" i="7"/>
  <c r="Q1224" i="7"/>
  <c r="M1223" i="7"/>
  <c r="I1223" i="7"/>
  <c r="K1223" i="7" s="1"/>
  <c r="Q1222" i="7"/>
  <c r="Q1221" i="7"/>
  <c r="Q1219" i="7"/>
  <c r="Q1218" i="7"/>
  <c r="Q1217" i="7"/>
  <c r="M1216" i="7"/>
  <c r="O1216" i="7" s="1"/>
  <c r="I1216" i="7"/>
  <c r="K1216" i="7" s="1"/>
  <c r="Q1215" i="7"/>
  <c r="Q1214" i="7"/>
  <c r="Q1212" i="7"/>
  <c r="Q1211" i="7"/>
  <c r="Q1210" i="7"/>
  <c r="M1209" i="7"/>
  <c r="O1209" i="7" s="1"/>
  <c r="I1209" i="7"/>
  <c r="Q1208" i="7"/>
  <c r="Q1207" i="7"/>
  <c r="Q1205" i="7"/>
  <c r="Q1204" i="7"/>
  <c r="Q1203" i="7"/>
  <c r="M1202" i="7"/>
  <c r="O1202" i="7" s="1"/>
  <c r="I1202" i="7"/>
  <c r="Q1201" i="7"/>
  <c r="Q1200" i="7"/>
  <c r="Q1198" i="7"/>
  <c r="Q1197" i="7"/>
  <c r="Q1196" i="7"/>
  <c r="M1195" i="7"/>
  <c r="I1195" i="7"/>
  <c r="K1195" i="7" s="1"/>
  <c r="Q1194" i="7"/>
  <c r="Q1193" i="7"/>
  <c r="Q1191" i="7"/>
  <c r="Q1190" i="7"/>
  <c r="Q1189" i="7"/>
  <c r="M1188" i="7"/>
  <c r="O1188" i="7" s="1"/>
  <c r="I1188" i="7"/>
  <c r="K1188" i="7" s="1"/>
  <c r="Q1187" i="7"/>
  <c r="Q1186" i="7"/>
  <c r="M1185" i="7"/>
  <c r="O1185" i="7" s="1"/>
  <c r="Q1183" i="7"/>
  <c r="Q1182" i="7"/>
  <c r="Q1180" i="7"/>
  <c r="Q1179" i="7"/>
  <c r="Q1176" i="7"/>
  <c r="Q1175" i="7"/>
  <c r="Q1174" i="7"/>
  <c r="Q1173" i="7"/>
  <c r="Q1172" i="7"/>
  <c r="Q1171" i="7"/>
  <c r="Q1170" i="7"/>
  <c r="M1169" i="7"/>
  <c r="O1169" i="7" s="1"/>
  <c r="I1169" i="7"/>
  <c r="Q1168" i="7"/>
  <c r="Q1167" i="7"/>
  <c r="Q1165" i="7"/>
  <c r="Q1164" i="7"/>
  <c r="Q1163" i="7"/>
  <c r="Q1162" i="7"/>
  <c r="M1161" i="7"/>
  <c r="O1161" i="7" s="1"/>
  <c r="I1161" i="7"/>
  <c r="Q1160" i="7"/>
  <c r="Q1159" i="7"/>
  <c r="M1158" i="7"/>
  <c r="O1158" i="7" s="1"/>
  <c r="Q1157" i="7"/>
  <c r="Q1156" i="7"/>
  <c r="Q1155" i="7"/>
  <c r="Q1154" i="7"/>
  <c r="M1153" i="7"/>
  <c r="O1153" i="7" s="1"/>
  <c r="I1153" i="7"/>
  <c r="Q1152" i="7"/>
  <c r="Q1151" i="7"/>
  <c r="M1150" i="7"/>
  <c r="O1150" i="7" s="1"/>
  <c r="Q1149" i="7"/>
  <c r="Q1148" i="7"/>
  <c r="Q1147" i="7"/>
  <c r="Q1146" i="7"/>
  <c r="M1145" i="7"/>
  <c r="O1145" i="7" s="1"/>
  <c r="I1145" i="7"/>
  <c r="K1145" i="7" s="1"/>
  <c r="Q1144" i="7"/>
  <c r="Q1143" i="7"/>
  <c r="Q1141" i="7"/>
  <c r="Q1140" i="7"/>
  <c r="Q1139" i="7"/>
  <c r="Q1138" i="7"/>
  <c r="M1137" i="7"/>
  <c r="O1137" i="7" s="1"/>
  <c r="I1137" i="7"/>
  <c r="K1137" i="7" s="1"/>
  <c r="Q1136" i="7"/>
  <c r="Q1135" i="7"/>
  <c r="M1134" i="7"/>
  <c r="O1134" i="7" s="1"/>
  <c r="I1134" i="7"/>
  <c r="K1134" i="7" s="1"/>
  <c r="Q1133" i="7"/>
  <c r="Q1132" i="7"/>
  <c r="Q1131" i="7"/>
  <c r="M1130" i="7"/>
  <c r="O1130" i="7" s="1"/>
  <c r="I1130" i="7"/>
  <c r="Q1129" i="7"/>
  <c r="Q1128" i="7"/>
  <c r="M1127" i="7"/>
  <c r="Q1126" i="7"/>
  <c r="Q1125" i="7"/>
  <c r="Q1124" i="7"/>
  <c r="Q1123" i="7"/>
  <c r="M1122" i="7"/>
  <c r="M1119" i="7" s="1"/>
  <c r="O1119" i="7" s="1"/>
  <c r="I1122" i="7"/>
  <c r="K1122" i="7" s="1"/>
  <c r="Q1121" i="7"/>
  <c r="Q1120" i="7"/>
  <c r="I1119" i="7"/>
  <c r="K1119" i="7" s="1"/>
  <c r="Q1118" i="7"/>
  <c r="Q1117" i="7"/>
  <c r="Q1116" i="7"/>
  <c r="Q1115" i="7"/>
  <c r="M1114" i="7"/>
  <c r="I1114" i="7"/>
  <c r="Q1113" i="7"/>
  <c r="Q1112" i="7"/>
  <c r="Q1110" i="7"/>
  <c r="Q1109" i="7"/>
  <c r="Q1108" i="7"/>
  <c r="Q1107" i="7"/>
  <c r="M1106" i="7"/>
  <c r="O1106" i="7" s="1"/>
  <c r="I1106" i="7"/>
  <c r="Q1105" i="7"/>
  <c r="Q1104" i="7"/>
  <c r="Q1102" i="7"/>
  <c r="Q1101" i="7"/>
  <c r="Q1100" i="7"/>
  <c r="M1099" i="7"/>
  <c r="O1099" i="7" s="1"/>
  <c r="I1099" i="7"/>
  <c r="K1099" i="7" s="1"/>
  <c r="Q1098" i="7"/>
  <c r="Q1097" i="7"/>
  <c r="Q1095" i="7"/>
  <c r="Q1094" i="7"/>
  <c r="Q1093" i="7"/>
  <c r="Q1092" i="7"/>
  <c r="Q1091" i="7"/>
  <c r="Q1090" i="7"/>
  <c r="M1089" i="7"/>
  <c r="O1089" i="7" s="1"/>
  <c r="I1089" i="7"/>
  <c r="Q1088" i="7"/>
  <c r="Q1087" i="7"/>
  <c r="Q1085" i="7"/>
  <c r="Q1084" i="7"/>
  <c r="Q1083" i="7"/>
  <c r="Q1082" i="7"/>
  <c r="Q1081" i="7"/>
  <c r="Q1080" i="7"/>
  <c r="Q1079" i="7"/>
  <c r="I1078" i="7"/>
  <c r="Q1076" i="7"/>
  <c r="Q1073" i="7"/>
  <c r="I1072" i="7"/>
  <c r="Q1071" i="7"/>
  <c r="Q1069" i="7"/>
  <c r="I1068" i="7"/>
  <c r="Q1067" i="7"/>
  <c r="M1066" i="7"/>
  <c r="O1066" i="7" s="1"/>
  <c r="Q1065" i="7"/>
  <c r="Q1064" i="7"/>
  <c r="Q1063" i="7"/>
  <c r="M1062" i="7"/>
  <c r="I1061" i="7"/>
  <c r="K1061" i="7" s="1"/>
  <c r="Q1060" i="7"/>
  <c r="Q1059" i="7"/>
  <c r="Q1058" i="7"/>
  <c r="Q1057" i="7"/>
  <c r="I1056" i="7"/>
  <c r="Q1055" i="7"/>
  <c r="Q1053" i="7"/>
  <c r="Q1052" i="7"/>
  <c r="Q1050" i="7"/>
  <c r="Q1047" i="7"/>
  <c r="Q1046" i="7"/>
  <c r="Q1045" i="7"/>
  <c r="Q1044" i="7"/>
  <c r="Q1043" i="7"/>
  <c r="Q1042" i="7"/>
  <c r="Q1041" i="7"/>
  <c r="Q1040" i="7"/>
  <c r="M1039" i="7"/>
  <c r="O1039" i="7" s="1"/>
  <c r="I1039" i="7"/>
  <c r="K1039" i="7" s="1"/>
  <c r="Q1038" i="7"/>
  <c r="Q1037" i="7"/>
  <c r="Q1036" i="7"/>
  <c r="Q1035" i="7"/>
  <c r="Q1034" i="7"/>
  <c r="Q1033" i="7"/>
  <c r="Q1032" i="7"/>
  <c r="Q1031" i="7"/>
  <c r="Q1030" i="7"/>
  <c r="Q1029" i="7"/>
  <c r="I1028" i="7"/>
  <c r="Q1027" i="7"/>
  <c r="Q1026" i="7"/>
  <c r="Q1024" i="7"/>
  <c r="Q1021" i="7"/>
  <c r="Q1020" i="7"/>
  <c r="Q1019" i="7"/>
  <c r="Q1018" i="7"/>
  <c r="Q1017" i="7"/>
  <c r="Q1016" i="7"/>
  <c r="Q1015" i="7"/>
  <c r="M1014" i="7"/>
  <c r="O1014" i="7" s="1"/>
  <c r="I1014" i="7"/>
  <c r="K1014" i="7" s="1"/>
  <c r="Q1013" i="7"/>
  <c r="Q1012" i="7"/>
  <c r="Q1011" i="7"/>
  <c r="Q1010" i="7"/>
  <c r="Q1009" i="7"/>
  <c r="Q1008" i="7"/>
  <c r="Q1007" i="7"/>
  <c r="Q1006" i="7"/>
  <c r="Q1005" i="7"/>
  <c r="I1004" i="7"/>
  <c r="Q1003" i="7"/>
  <c r="Q1002" i="7"/>
  <c r="Q1000" i="7"/>
  <c r="M999" i="7"/>
  <c r="Q996" i="7"/>
  <c r="M995" i="7"/>
  <c r="O995" i="7" s="1"/>
  <c r="S995" i="7" s="1"/>
  <c r="I994" i="7"/>
  <c r="K994" i="7" s="1"/>
  <c r="Q992" i="7"/>
  <c r="Q989" i="7"/>
  <c r="Q988" i="7"/>
  <c r="Q987" i="7"/>
  <c r="Q986" i="7"/>
  <c r="Q985" i="7"/>
  <c r="Q984" i="7"/>
  <c r="Q983" i="7"/>
  <c r="M982" i="7"/>
  <c r="O982" i="7" s="1"/>
  <c r="I982" i="7"/>
  <c r="K982" i="7" s="1"/>
  <c r="Q981" i="7"/>
  <c r="Q980" i="7"/>
  <c r="Q979" i="7"/>
  <c r="Q978" i="7"/>
  <c r="Q977" i="7"/>
  <c r="Q976" i="7"/>
  <c r="Q975" i="7"/>
  <c r="Q974" i="7"/>
  <c r="I973" i="7"/>
  <c r="Q972" i="7"/>
  <c r="Q971" i="7"/>
  <c r="M969" i="7"/>
  <c r="I967" i="7"/>
  <c r="K967" i="7" s="1"/>
  <c r="Q965" i="7"/>
  <c r="Q962" i="7"/>
  <c r="Q961" i="7"/>
  <c r="Q960" i="7"/>
  <c r="Q959" i="7"/>
  <c r="Q958" i="7"/>
  <c r="Q957" i="7"/>
  <c r="Q956" i="7"/>
  <c r="M955" i="7"/>
  <c r="I955" i="7"/>
  <c r="K955" i="7" s="1"/>
  <c r="Q954" i="7"/>
  <c r="Q953" i="7"/>
  <c r="Q952" i="7"/>
  <c r="Q951" i="7"/>
  <c r="I950" i="7"/>
  <c r="Q949" i="7"/>
  <c r="Q948" i="7"/>
  <c r="Q947" i="7"/>
  <c r="I946" i="7"/>
  <c r="Q945" i="7"/>
  <c r="Q944" i="7"/>
  <c r="Q942" i="7"/>
  <c r="Q939" i="7"/>
  <c r="Q938" i="7"/>
  <c r="Q937" i="7"/>
  <c r="Q936" i="7"/>
  <c r="Q935" i="7"/>
  <c r="Q934" i="7"/>
  <c r="Q933" i="7"/>
  <c r="M932" i="7"/>
  <c r="O932" i="7" s="1"/>
  <c r="I932" i="7"/>
  <c r="K932" i="7" s="1"/>
  <c r="Q931" i="7"/>
  <c r="Q930" i="7"/>
  <c r="Q929" i="7"/>
  <c r="Q928" i="7"/>
  <c r="Q927" i="7"/>
  <c r="Q926" i="7"/>
  <c r="Q925" i="7"/>
  <c r="Q924" i="7"/>
  <c r="I923" i="7"/>
  <c r="K923" i="7" s="1"/>
  <c r="S923" i="7" s="1"/>
  <c r="Q922" i="7"/>
  <c r="Q921" i="7"/>
  <c r="Q919" i="7"/>
  <c r="Q916" i="7"/>
  <c r="M915" i="7"/>
  <c r="O915" i="7" s="1"/>
  <c r="S915" i="7" s="1"/>
  <c r="Q912" i="7"/>
  <c r="Q909" i="7"/>
  <c r="Q908" i="7"/>
  <c r="Q907" i="7"/>
  <c r="Q906" i="7"/>
  <c r="Q905" i="7"/>
  <c r="Q904" i="7"/>
  <c r="M903" i="7"/>
  <c r="I903" i="7"/>
  <c r="Q902" i="7"/>
  <c r="Q901" i="7"/>
  <c r="Q900" i="7"/>
  <c r="Q899" i="7"/>
  <c r="Q898" i="7"/>
  <c r="Q897" i="7"/>
  <c r="Q896" i="7"/>
  <c r="Q895" i="7"/>
  <c r="I894" i="7"/>
  <c r="Q893" i="7"/>
  <c r="Q892" i="7"/>
  <c r="Q890" i="7"/>
  <c r="Q887" i="7"/>
  <c r="Q886" i="7"/>
  <c r="Q885" i="7"/>
  <c r="Q883" i="7"/>
  <c r="Q882" i="7"/>
  <c r="Q881" i="7"/>
  <c r="M880" i="7"/>
  <c r="O880" i="7" s="1"/>
  <c r="I880" i="7"/>
  <c r="K880" i="7" s="1"/>
  <c r="Q879" i="7"/>
  <c r="Q878" i="7"/>
  <c r="Q877" i="7"/>
  <c r="Q876" i="7"/>
  <c r="Q875" i="7"/>
  <c r="Q874" i="7"/>
  <c r="Q873" i="7"/>
  <c r="Q872" i="7"/>
  <c r="I871" i="7"/>
  <c r="Q870" i="7"/>
  <c r="Q869" i="7"/>
  <c r="Q867" i="7"/>
  <c r="M866" i="7"/>
  <c r="Q865" i="7"/>
  <c r="M864" i="7"/>
  <c r="I863" i="7"/>
  <c r="K863" i="7" s="1"/>
  <c r="Q862" i="7"/>
  <c r="I861" i="7"/>
  <c r="Q860" i="7"/>
  <c r="Q858" i="7"/>
  <c r="Q857" i="7"/>
  <c r="Q854" i="7"/>
  <c r="Q853" i="7"/>
  <c r="Q852" i="7"/>
  <c r="I851" i="7"/>
  <c r="Q849" i="7"/>
  <c r="M848" i="7"/>
  <c r="I847" i="7"/>
  <c r="K847" i="7" s="1"/>
  <c r="Q846" i="7"/>
  <c r="Q845" i="7"/>
  <c r="Q844" i="7"/>
  <c r="Q843" i="7"/>
  <c r="I842" i="7"/>
  <c r="Q841" i="7"/>
  <c r="M840" i="7"/>
  <c r="O840" i="7" s="1"/>
  <c r="Q839" i="7"/>
  <c r="Q838" i="7"/>
  <c r="Q836" i="7"/>
  <c r="M835" i="7"/>
  <c r="O835" i="7" s="1"/>
  <c r="S835" i="7" s="1"/>
  <c r="I834" i="7"/>
  <c r="K834" i="7" s="1"/>
  <c r="Q833" i="7"/>
  <c r="Q832" i="7"/>
  <c r="Q831" i="7"/>
  <c r="I830" i="7"/>
  <c r="Q829" i="7"/>
  <c r="M828" i="7"/>
  <c r="O828" i="7" s="1"/>
  <c r="Q827" i="7"/>
  <c r="Q826" i="7"/>
  <c r="Q824" i="7"/>
  <c r="Q823" i="7"/>
  <c r="I822" i="7"/>
  <c r="Q821" i="7"/>
  <c r="M820" i="7"/>
  <c r="O820" i="7" s="1"/>
  <c r="Q819" i="7"/>
  <c r="Q818" i="7"/>
  <c r="Q816" i="7"/>
  <c r="Q815" i="7"/>
  <c r="I814" i="7"/>
  <c r="Q813" i="7"/>
  <c r="M812" i="7"/>
  <c r="O812" i="7" s="1"/>
  <c r="Q811" i="7"/>
  <c r="Q810" i="7"/>
  <c r="Q808" i="7"/>
  <c r="Q807" i="7"/>
  <c r="I806" i="7"/>
  <c r="Q805" i="7"/>
  <c r="Q803" i="7"/>
  <c r="Q802" i="7"/>
  <c r="M801" i="7"/>
  <c r="O801" i="7" s="1"/>
  <c r="Q800" i="7"/>
  <c r="M799" i="7"/>
  <c r="M798" i="7" s="1"/>
  <c r="O798" i="7" s="1"/>
  <c r="S798" i="7" s="1"/>
  <c r="Q797" i="7"/>
  <c r="Q796" i="7"/>
  <c r="Q795" i="7"/>
  <c r="Q794" i="7"/>
  <c r="I793" i="7"/>
  <c r="Q793" i="7" s="1"/>
  <c r="Q792" i="7"/>
  <c r="Q790" i="7"/>
  <c r="Q789" i="7"/>
  <c r="Q787" i="7"/>
  <c r="M786" i="7"/>
  <c r="O786" i="7" s="1"/>
  <c r="S786" i="7" s="1"/>
  <c r="Q785" i="7"/>
  <c r="M784" i="7"/>
  <c r="Q782" i="7"/>
  <c r="Q781" i="7"/>
  <c r="Q780" i="7"/>
  <c r="I779" i="7"/>
  <c r="Q778" i="7"/>
  <c r="Q776" i="7"/>
  <c r="Q775" i="7"/>
  <c r="M773" i="7"/>
  <c r="O773" i="7" s="1"/>
  <c r="S773" i="7" s="1"/>
  <c r="M771" i="7"/>
  <c r="O771" i="7" s="1"/>
  <c r="S771" i="7" s="1"/>
  <c r="I769" i="7"/>
  <c r="K769" i="7" s="1"/>
  <c r="Q768" i="7"/>
  <c r="Q767" i="7"/>
  <c r="Q766" i="7"/>
  <c r="I765" i="7"/>
  <c r="Q764" i="7"/>
  <c r="Q762" i="7"/>
  <c r="Q761" i="7"/>
  <c r="M759" i="7"/>
  <c r="I757" i="7"/>
  <c r="K757" i="7" s="1"/>
  <c r="Q756" i="7"/>
  <c r="Q755" i="7"/>
  <c r="Q754" i="7"/>
  <c r="I753" i="7"/>
  <c r="Q752" i="7"/>
  <c r="Q750" i="7"/>
  <c r="Q749" i="7"/>
  <c r="Q747" i="7"/>
  <c r="M746" i="7"/>
  <c r="O746" i="7" s="1"/>
  <c r="S746" i="7" s="1"/>
  <c r="I745" i="7"/>
  <c r="K745" i="7" s="1"/>
  <c r="Q744" i="7"/>
  <c r="Q743" i="7"/>
  <c r="Q742" i="7"/>
  <c r="I741" i="7"/>
  <c r="Q740" i="7"/>
  <c r="M739" i="7"/>
  <c r="O739" i="7" s="1"/>
  <c r="Q738" i="7"/>
  <c r="Q737" i="7"/>
  <c r="Q735" i="7"/>
  <c r="Q734" i="7"/>
  <c r="Q733" i="7"/>
  <c r="I732" i="7"/>
  <c r="K732" i="7" s="1"/>
  <c r="S732" i="7" s="1"/>
  <c r="Q731" i="7"/>
  <c r="Q729" i="7"/>
  <c r="Q728" i="7"/>
  <c r="M727" i="7"/>
  <c r="O727" i="7" s="1"/>
  <c r="Q726" i="7"/>
  <c r="Q725" i="7"/>
  <c r="Q724" i="7"/>
  <c r="I723" i="7"/>
  <c r="Q722" i="7"/>
  <c r="M721" i="7"/>
  <c r="O721" i="7" s="1"/>
  <c r="Q720" i="7"/>
  <c r="Q719" i="7"/>
  <c r="Q717" i="7"/>
  <c r="Q716" i="7"/>
  <c r="Q715" i="7"/>
  <c r="I714" i="7"/>
  <c r="Q713" i="7"/>
  <c r="Q711" i="7"/>
  <c r="Q710" i="7"/>
  <c r="M709" i="7"/>
  <c r="O709" i="7" s="1"/>
  <c r="Q708" i="7"/>
  <c r="M707" i="7"/>
  <c r="O707" i="7" s="1"/>
  <c r="S707" i="7" s="1"/>
  <c r="Q705" i="7"/>
  <c r="M704" i="7"/>
  <c r="I703" i="7"/>
  <c r="K703" i="7" s="1"/>
  <c r="Q702" i="7"/>
  <c r="Q701" i="7"/>
  <c r="Q700" i="7"/>
  <c r="Q699" i="7"/>
  <c r="I698" i="7"/>
  <c r="I697" i="7"/>
  <c r="K697" i="7" s="1"/>
  <c r="S697" i="7" s="1"/>
  <c r="Q696" i="7"/>
  <c r="Q694" i="7"/>
  <c r="Q693" i="7"/>
  <c r="Q692" i="7"/>
  <c r="Q691" i="7"/>
  <c r="Q689" i="7"/>
  <c r="Q688" i="7"/>
  <c r="I687" i="7"/>
  <c r="K687" i="7" s="1"/>
  <c r="S687" i="7" s="1"/>
  <c r="Q686" i="7"/>
  <c r="M685" i="7"/>
  <c r="Q684" i="7"/>
  <c r="Q683" i="7"/>
  <c r="Q680" i="7"/>
  <c r="Q679" i="7"/>
  <c r="M678" i="7"/>
  <c r="O678" i="7" s="1"/>
  <c r="I678" i="7"/>
  <c r="K678" i="7" s="1"/>
  <c r="Q675" i="7"/>
  <c r="M674" i="7"/>
  <c r="Q673" i="7"/>
  <c r="M672" i="7"/>
  <c r="Q671" i="7"/>
  <c r="Q670" i="7"/>
  <c r="Q669" i="7"/>
  <c r="Q668" i="7"/>
  <c r="I667" i="7"/>
  <c r="Q666" i="7"/>
  <c r="M665" i="7"/>
  <c r="O665" i="7" s="1"/>
  <c r="Q664" i="7"/>
  <c r="Q663" i="7"/>
  <c r="Q661" i="7"/>
  <c r="Q659" i="7"/>
  <c r="Q658" i="7"/>
  <c r="Q657" i="7"/>
  <c r="Q656" i="7"/>
  <c r="Q655" i="7"/>
  <c r="Q654" i="7"/>
  <c r="Q653" i="7"/>
  <c r="Q652" i="7"/>
  <c r="I651" i="7"/>
  <c r="B650" i="7"/>
  <c r="B651" i="7" s="1"/>
  <c r="B652" i="7" s="1"/>
  <c r="B653" i="7" s="1"/>
  <c r="B654" i="7" s="1"/>
  <c r="B655" i="7" s="1"/>
  <c r="B656" i="7" s="1"/>
  <c r="B657" i="7" s="1"/>
  <c r="B658" i="7" s="1"/>
  <c r="M596" i="7"/>
  <c r="Q596" i="7" s="1"/>
  <c r="Q595" i="7"/>
  <c r="I593" i="7"/>
  <c r="K593" i="7" s="1"/>
  <c r="Q592" i="7"/>
  <c r="Q591" i="7"/>
  <c r="M590" i="7"/>
  <c r="Q589" i="7"/>
  <c r="M588" i="7"/>
  <c r="M587" i="7"/>
  <c r="M586" i="7"/>
  <c r="Q585" i="7"/>
  <c r="M584" i="7"/>
  <c r="Q583" i="7"/>
  <c r="M582" i="7"/>
  <c r="Q581" i="7"/>
  <c r="M580" i="7"/>
  <c r="M579" i="7"/>
  <c r="Q578" i="7"/>
  <c r="Q577" i="7"/>
  <c r="Q576" i="7"/>
  <c r="Q575" i="7"/>
  <c r="Q574" i="7"/>
  <c r="Q573" i="7"/>
  <c r="Q572" i="7"/>
  <c r="Q571" i="7"/>
  <c r="Q570" i="7"/>
  <c r="Q569" i="7"/>
  <c r="M568" i="7"/>
  <c r="Q567" i="7"/>
  <c r="Q566" i="7"/>
  <c r="Q565" i="7"/>
  <c r="Q564" i="7"/>
  <c r="Q563" i="7"/>
  <c r="Q562" i="7"/>
  <c r="Q561" i="7"/>
  <c r="Q560" i="7"/>
  <c r="Q559" i="7"/>
  <c r="Q558" i="7"/>
  <c r="Q557" i="7"/>
  <c r="Q556" i="7"/>
  <c r="Q555" i="7"/>
  <c r="M554" i="7"/>
  <c r="O554" i="7" s="1"/>
  <c r="S554" i="7" s="1"/>
  <c r="M553" i="7"/>
  <c r="M552" i="7"/>
  <c r="M551" i="7"/>
  <c r="M550" i="7"/>
  <c r="Q549" i="7"/>
  <c r="M548" i="7"/>
  <c r="M547" i="7"/>
  <c r="Q546" i="7"/>
  <c r="M545" i="7"/>
  <c r="Q544" i="7"/>
  <c r="M543" i="7"/>
  <c r="M542" i="7"/>
  <c r="Q539" i="7"/>
  <c r="Q538" i="7"/>
  <c r="Q537" i="7"/>
  <c r="Q536" i="7"/>
  <c r="Q535" i="7"/>
  <c r="M534" i="7"/>
  <c r="Q533" i="7"/>
  <c r="Q532" i="7"/>
  <c r="Q531" i="7"/>
  <c r="Q530" i="7"/>
  <c r="Q529" i="7"/>
  <c r="Q528" i="7"/>
  <c r="Q527" i="7"/>
  <c r="Q526" i="7"/>
  <c r="Q525" i="7"/>
  <c r="Q524" i="7"/>
  <c r="Q523" i="7"/>
  <c r="Q522" i="7"/>
  <c r="Q521" i="7"/>
  <c r="Q520" i="7"/>
  <c r="Q519" i="7"/>
  <c r="Q518" i="7"/>
  <c r="Q517" i="7"/>
  <c r="Q516" i="7"/>
  <c r="Q514" i="7"/>
  <c r="Q513" i="7" s="1"/>
  <c r="M513" i="7"/>
  <c r="O513" i="7" s="1"/>
  <c r="I512" i="7"/>
  <c r="Q510" i="7"/>
  <c r="M509" i="7"/>
  <c r="I508" i="7"/>
  <c r="I507" i="7" s="1"/>
  <c r="Q506" i="7"/>
  <c r="Q505" i="7"/>
  <c r="Q504" i="7"/>
  <c r="Q503" i="7"/>
  <c r="M502" i="7"/>
  <c r="O502" i="7" s="1"/>
  <c r="I502" i="7"/>
  <c r="K502" i="7" s="1"/>
  <c r="Q501" i="7"/>
  <c r="Q500" i="7"/>
  <c r="Q498" i="7"/>
  <c r="Q497" i="7"/>
  <c r="Q496" i="7"/>
  <c r="Q495" i="7"/>
  <c r="Q494" i="7"/>
  <c r="I493" i="7"/>
  <c r="Q492" i="7"/>
  <c r="Q491" i="7"/>
  <c r="M489" i="7"/>
  <c r="O489" i="7" s="1"/>
  <c r="I487" i="7"/>
  <c r="M486" i="7"/>
  <c r="O486" i="7" s="1"/>
  <c r="B485" i="7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Q434" i="7"/>
  <c r="M433" i="7"/>
  <c r="I432" i="7"/>
  <c r="K432" i="7" s="1"/>
  <c r="Q431" i="7"/>
  <c r="M430" i="7"/>
  <c r="I429" i="7"/>
  <c r="K429" i="7" s="1"/>
  <c r="Q428" i="7"/>
  <c r="Q427" i="7"/>
  <c r="Q426" i="7"/>
  <c r="I425" i="7"/>
  <c r="I424" i="7"/>
  <c r="I423" i="7"/>
  <c r="Q422" i="7"/>
  <c r="Q421" i="7"/>
  <c r="M420" i="7"/>
  <c r="O420" i="7" s="1"/>
  <c r="Q418" i="7"/>
  <c r="I417" i="7"/>
  <c r="M416" i="7"/>
  <c r="O416" i="7" s="1"/>
  <c r="Q415" i="7"/>
  <c r="M414" i="7"/>
  <c r="M413" i="7"/>
  <c r="Q413" i="7" s="1"/>
  <c r="I411" i="7"/>
  <c r="K411" i="7" s="1"/>
  <c r="I410" i="7"/>
  <c r="M409" i="7"/>
  <c r="O409" i="7" s="1"/>
  <c r="Q407" i="7"/>
  <c r="M406" i="7"/>
  <c r="I405" i="7"/>
  <c r="K405" i="7" s="1"/>
  <c r="I403" i="7"/>
  <c r="Q402" i="7"/>
  <c r="Q401" i="7"/>
  <c r="Q400" i="7"/>
  <c r="M399" i="7"/>
  <c r="O399" i="7" s="1"/>
  <c r="Q398" i="7"/>
  <c r="Q397" i="7"/>
  <c r="M395" i="7"/>
  <c r="Q394" i="7"/>
  <c r="M393" i="7"/>
  <c r="Q392" i="7"/>
  <c r="Q391" i="7"/>
  <c r="Q390" i="7"/>
  <c r="I386" i="7"/>
  <c r="K386" i="7" s="1"/>
  <c r="Q385" i="7"/>
  <c r="I384" i="7"/>
  <c r="Q382" i="7"/>
  <c r="M381" i="7"/>
  <c r="O381" i="7" s="1"/>
  <c r="S381" i="7" s="1"/>
  <c r="I379" i="7"/>
  <c r="K379" i="7" s="1"/>
  <c r="Q378" i="7"/>
  <c r="M377" i="7"/>
  <c r="O377" i="7" s="1"/>
  <c r="I377" i="7"/>
  <c r="K377" i="7" s="1"/>
  <c r="I376" i="7"/>
  <c r="I375" i="7"/>
  <c r="K375" i="7" s="1"/>
  <c r="S375" i="7" s="1"/>
  <c r="Q374" i="7"/>
  <c r="Q373" i="7"/>
  <c r="Q372" i="7"/>
  <c r="I371" i="7"/>
  <c r="Q370" i="7"/>
  <c r="I369" i="7"/>
  <c r="M368" i="7"/>
  <c r="O368" i="7" s="1"/>
  <c r="I367" i="7"/>
  <c r="I366" i="7"/>
  <c r="B365" i="7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Q318" i="7"/>
  <c r="Q317" i="7"/>
  <c r="Q316" i="7"/>
  <c r="Q315" i="7"/>
  <c r="Q314" i="7"/>
  <c r="M313" i="7"/>
  <c r="O313" i="7" s="1"/>
  <c r="I313" i="7"/>
  <c r="Q312" i="7"/>
  <c r="Q311" i="7"/>
  <c r="Q308" i="7"/>
  <c r="Q307" i="7"/>
  <c r="Q306" i="7"/>
  <c r="Q305" i="7"/>
  <c r="M304" i="7"/>
  <c r="Q303" i="7"/>
  <c r="Q302" i="7"/>
  <c r="M301" i="7"/>
  <c r="I300" i="7"/>
  <c r="K300" i="7" s="1"/>
  <c r="Q299" i="7"/>
  <c r="I298" i="7"/>
  <c r="Q297" i="7"/>
  <c r="Q296" i="7"/>
  <c r="M295" i="7"/>
  <c r="O295" i="7" s="1"/>
  <c r="Q293" i="7"/>
  <c r="M292" i="7"/>
  <c r="O292" i="7" s="1"/>
  <c r="I292" i="7"/>
  <c r="K292" i="7" s="1"/>
  <c r="Q291" i="7"/>
  <c r="Q290" i="7"/>
  <c r="I289" i="7"/>
  <c r="I288" i="7"/>
  <c r="Q287" i="7"/>
  <c r="M286" i="7"/>
  <c r="Q285" i="7"/>
  <c r="Q284" i="7"/>
  <c r="Q281" i="7"/>
  <c r="Q280" i="7"/>
  <c r="Q279" i="7"/>
  <c r="Q278" i="7"/>
  <c r="Q277" i="7"/>
  <c r="M276" i="7"/>
  <c r="O276" i="7" s="1"/>
  <c r="I276" i="7"/>
  <c r="Q275" i="7"/>
  <c r="Q274" i="7"/>
  <c r="M272" i="7"/>
  <c r="Q271" i="7"/>
  <c r="Q270" i="7"/>
  <c r="Q269" i="7"/>
  <c r="I268" i="7"/>
  <c r="Q268" i="7" s="1"/>
  <c r="I267" i="7"/>
  <c r="Q266" i="7"/>
  <c r="M265" i="7"/>
  <c r="I264" i="7"/>
  <c r="I263" i="7"/>
  <c r="K263" i="7" s="1"/>
  <c r="S263" i="7" s="1"/>
  <c r="Q261" i="7"/>
  <c r="Q260" i="7"/>
  <c r="Q259" i="7"/>
  <c r="Q258" i="7"/>
  <c r="I257" i="7"/>
  <c r="Q256" i="7"/>
  <c r="Q255" i="7"/>
  <c r="M254" i="7"/>
  <c r="O254" i="7" s="1"/>
  <c r="I254" i="7"/>
  <c r="I253" i="7"/>
  <c r="I252" i="7"/>
  <c r="M251" i="7"/>
  <c r="O251" i="7" s="1"/>
  <c r="Q250" i="7"/>
  <c r="Q249" i="7"/>
  <c r="M248" i="7"/>
  <c r="I248" i="7"/>
  <c r="Q247" i="7"/>
  <c r="B246" i="7"/>
  <c r="B247" i="7" s="1"/>
  <c r="B248" i="7" s="1"/>
  <c r="B249" i="7" s="1"/>
  <c r="B250" i="7" s="1"/>
  <c r="B251" i="7" s="1"/>
  <c r="B252" i="7" s="1"/>
  <c r="B253" i="7" s="1"/>
  <c r="Q206" i="7"/>
  <c r="Q205" i="7"/>
  <c r="M204" i="7"/>
  <c r="I204" i="7"/>
  <c r="K204" i="7" s="1"/>
  <c r="Q202" i="7"/>
  <c r="M201" i="7"/>
  <c r="M200" i="7"/>
  <c r="I198" i="7"/>
  <c r="K198" i="7" s="1"/>
  <c r="Q197" i="7"/>
  <c r="Q196" i="7"/>
  <c r="Q195" i="7"/>
  <c r="I194" i="7"/>
  <c r="Q192" i="7"/>
  <c r="Q191" i="7"/>
  <c r="M190" i="7"/>
  <c r="I190" i="7"/>
  <c r="K190" i="7" s="1"/>
  <c r="Q188" i="7"/>
  <c r="M187" i="7"/>
  <c r="I186" i="7"/>
  <c r="K186" i="7" s="1"/>
  <c r="I185" i="7"/>
  <c r="I184" i="7"/>
  <c r="M183" i="7"/>
  <c r="O183" i="7" s="1"/>
  <c r="Q182" i="7"/>
  <c r="Q181" i="7"/>
  <c r="Q180" i="7"/>
  <c r="I179" i="7"/>
  <c r="I178" i="7"/>
  <c r="M177" i="7"/>
  <c r="O177" i="7" s="1"/>
  <c r="Q176" i="7"/>
  <c r="Q175" i="7"/>
  <c r="Q173" i="7"/>
  <c r="I172" i="7"/>
  <c r="Q171" i="7"/>
  <c r="I170" i="7"/>
  <c r="Q169" i="7"/>
  <c r="Q168" i="7"/>
  <c r="Q167" i="7"/>
  <c r="M166" i="7"/>
  <c r="O166" i="7" s="1"/>
  <c r="Q165" i="7"/>
  <c r="Q164" i="7"/>
  <c r="M162" i="7"/>
  <c r="Q161" i="7"/>
  <c r="Q159" i="7"/>
  <c r="M158" i="7"/>
  <c r="I157" i="7"/>
  <c r="K157" i="7" s="1"/>
  <c r="I156" i="7"/>
  <c r="Q155" i="7"/>
  <c r="I154" i="7"/>
  <c r="I153" i="7"/>
  <c r="M152" i="7"/>
  <c r="O152" i="7" s="1"/>
  <c r="Q150" i="7"/>
  <c r="Q149" i="7"/>
  <c r="M148" i="7"/>
  <c r="I148" i="7"/>
  <c r="K148" i="7" s="1"/>
  <c r="M146" i="7"/>
  <c r="I145" i="7"/>
  <c r="K145" i="7" s="1"/>
  <c r="Q144" i="7"/>
  <c r="Q143" i="7"/>
  <c r="M142" i="7"/>
  <c r="O142" i="7" s="1"/>
  <c r="I142" i="7"/>
  <c r="Q140" i="7"/>
  <c r="Q139" i="7"/>
  <c r="M138" i="7"/>
  <c r="O138" i="7" s="1"/>
  <c r="I138" i="7"/>
  <c r="K138" i="7" s="1"/>
  <c r="Q137" i="7"/>
  <c r="Q136" i="7"/>
  <c r="M135" i="7"/>
  <c r="I135" i="7"/>
  <c r="Q133" i="7"/>
  <c r="M132" i="7"/>
  <c r="I132" i="7"/>
  <c r="K132" i="7" s="1"/>
  <c r="I129" i="7"/>
  <c r="M128" i="7"/>
  <c r="B127" i="7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I96" i="7"/>
  <c r="Q94" i="7"/>
  <c r="M93" i="7"/>
  <c r="M92" i="7" s="1"/>
  <c r="O92" i="7" s="1"/>
  <c r="I93" i="7"/>
  <c r="I91" i="7"/>
  <c r="I90" i="7"/>
  <c r="Q89" i="7"/>
  <c r="M88" i="7"/>
  <c r="M87" i="7" s="1"/>
  <c r="O87" i="7" s="1"/>
  <c r="B87" i="7"/>
  <c r="B88" i="7" s="1"/>
  <c r="B89" i="7" s="1"/>
  <c r="B90" i="7" s="1"/>
  <c r="B91" i="7" s="1"/>
  <c r="B92" i="7" s="1"/>
  <c r="B93" i="7" s="1"/>
  <c r="B94" i="7" s="1"/>
  <c r="B95" i="7" s="1"/>
  <c r="B96" i="7" s="1"/>
  <c r="J435" i="2"/>
  <c r="J432" i="2"/>
  <c r="J425" i="2"/>
  <c r="I424" i="2"/>
  <c r="I426" i="2"/>
  <c r="I423" i="2" s="1"/>
  <c r="I422" i="2" s="1"/>
  <c r="I421" i="2" s="1"/>
  <c r="I431" i="2"/>
  <c r="I434" i="2"/>
  <c r="I433" i="2" s="1"/>
  <c r="J414" i="2"/>
  <c r="J413" i="2"/>
  <c r="J406" i="2"/>
  <c r="J401" i="2"/>
  <c r="J400" i="2"/>
  <c r="J395" i="2"/>
  <c r="J390" i="2"/>
  <c r="J389" i="2"/>
  <c r="J388" i="2"/>
  <c r="J381" i="2"/>
  <c r="J374" i="2"/>
  <c r="J360" i="2"/>
  <c r="J359" i="2"/>
  <c r="J358" i="2"/>
  <c r="J357" i="2"/>
  <c r="J356" i="2"/>
  <c r="J355" i="2"/>
  <c r="J353" i="2"/>
  <c r="J352" i="2"/>
  <c r="J350" i="2"/>
  <c r="J349" i="2"/>
  <c r="J348" i="2"/>
  <c r="J344" i="2"/>
  <c r="J340" i="2"/>
  <c r="J337" i="2"/>
  <c r="J333" i="2"/>
  <c r="J330" i="2"/>
  <c r="J327" i="2"/>
  <c r="J323" i="2"/>
  <c r="J319" i="2"/>
  <c r="J316" i="2"/>
  <c r="J313" i="2"/>
  <c r="J309" i="2"/>
  <c r="J305" i="2"/>
  <c r="J302" i="2"/>
  <c r="J299" i="2"/>
  <c r="J294" i="2"/>
  <c r="J290" i="2"/>
  <c r="J287" i="2"/>
  <c r="J284" i="2"/>
  <c r="J280" i="2"/>
  <c r="J276" i="2"/>
  <c r="J273" i="2"/>
  <c r="J270" i="2"/>
  <c r="J264" i="2"/>
  <c r="J260" i="2"/>
  <c r="J257" i="2"/>
  <c r="J254" i="2"/>
  <c r="J251" i="2"/>
  <c r="J247" i="2"/>
  <c r="J243" i="2"/>
  <c r="J239" i="2"/>
  <c r="J236" i="2"/>
  <c r="J233" i="2"/>
  <c r="J229" i="2"/>
  <c r="J225" i="2"/>
  <c r="J222" i="2"/>
  <c r="J218" i="2"/>
  <c r="J210" i="2"/>
  <c r="J206" i="2"/>
  <c r="J202" i="2"/>
  <c r="J198" i="2"/>
  <c r="J197" i="2"/>
  <c r="J194" i="2"/>
  <c r="J187" i="2"/>
  <c r="J183" i="2"/>
  <c r="J179" i="2"/>
  <c r="J178" i="2"/>
  <c r="J177" i="2"/>
  <c r="J173" i="2"/>
  <c r="J169" i="2"/>
  <c r="J165" i="2"/>
  <c r="J161" i="2"/>
  <c r="J157" i="2"/>
  <c r="J153" i="2"/>
  <c r="J149" i="2"/>
  <c r="J145" i="2"/>
  <c r="J141" i="2"/>
  <c r="J136" i="2"/>
  <c r="J132" i="2"/>
  <c r="J128" i="2"/>
  <c r="J124" i="2"/>
  <c r="J120" i="2"/>
  <c r="J116" i="2"/>
  <c r="J112" i="2"/>
  <c r="J108" i="2"/>
  <c r="J104" i="2"/>
  <c r="J101" i="2"/>
  <c r="J97" i="2"/>
  <c r="J93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0" i="2"/>
  <c r="J69" i="2"/>
  <c r="J68" i="2"/>
  <c r="J67" i="2"/>
  <c r="J66" i="2"/>
  <c r="J65" i="2"/>
  <c r="J63" i="2"/>
  <c r="J62" i="2"/>
  <c r="J61" i="2"/>
  <c r="J56" i="2"/>
  <c r="J50" i="2"/>
  <c r="J47" i="2"/>
  <c r="J44" i="2"/>
  <c r="J42" i="2"/>
  <c r="J40" i="2"/>
  <c r="J38" i="2"/>
  <c r="J34" i="2"/>
  <c r="J33" i="2"/>
  <c r="J32" i="2"/>
  <c r="J30" i="2"/>
  <c r="J28" i="2"/>
  <c r="J23" i="2"/>
  <c r="J22" i="2"/>
  <c r="J20" i="2"/>
  <c r="J17" i="2"/>
  <c r="J16" i="2"/>
  <c r="J15" i="2"/>
  <c r="I259" i="2"/>
  <c r="I258" i="2" s="1"/>
  <c r="I119" i="2"/>
  <c r="I118" i="2" s="1"/>
  <c r="I117" i="2" s="1"/>
  <c r="I11" i="2"/>
  <c r="I10" i="2" s="1"/>
  <c r="I14" i="2"/>
  <c r="I13" i="2" s="1"/>
  <c r="I19" i="2"/>
  <c r="I18" i="2" s="1"/>
  <c r="I27" i="2"/>
  <c r="I26" i="2" s="1"/>
  <c r="I36" i="2"/>
  <c r="I39" i="2"/>
  <c r="I41" i="2"/>
  <c r="I43" i="2"/>
  <c r="I46" i="2"/>
  <c r="I45" i="2" s="1"/>
  <c r="I49" i="2"/>
  <c r="I48" i="2" s="1"/>
  <c r="I55" i="2"/>
  <c r="I54" i="2" s="1"/>
  <c r="I53" i="2" s="1"/>
  <c r="I60" i="2"/>
  <c r="I64" i="2"/>
  <c r="I73" i="2"/>
  <c r="I71" i="2" s="1"/>
  <c r="I96" i="2"/>
  <c r="I95" i="2" s="1"/>
  <c r="I94" i="2" s="1"/>
  <c r="I99" i="2"/>
  <c r="I103" i="2"/>
  <c r="I102" i="2" s="1"/>
  <c r="I107" i="2"/>
  <c r="I106" i="2" s="1"/>
  <c r="I105" i="2" s="1"/>
  <c r="I111" i="2"/>
  <c r="I110" i="2" s="1"/>
  <c r="I109" i="2" s="1"/>
  <c r="I115" i="2"/>
  <c r="I114" i="2" s="1"/>
  <c r="I113" i="2" s="1"/>
  <c r="I123" i="2"/>
  <c r="I122" i="2" s="1"/>
  <c r="I121" i="2" s="1"/>
  <c r="I127" i="2"/>
  <c r="I126" i="2" s="1"/>
  <c r="I125" i="2" s="1"/>
  <c r="I131" i="2"/>
  <c r="I130" i="2" s="1"/>
  <c r="I129" i="2" s="1"/>
  <c r="I135" i="2"/>
  <c r="I134" i="2" s="1"/>
  <c r="I133" i="2" s="1"/>
  <c r="I138" i="2"/>
  <c r="I137" i="2" s="1"/>
  <c r="I144" i="2"/>
  <c r="I143" i="2" s="1"/>
  <c r="I142" i="2" s="1"/>
  <c r="I148" i="2"/>
  <c r="I147" i="2" s="1"/>
  <c r="I146" i="2" s="1"/>
  <c r="I152" i="2"/>
  <c r="I151" i="2" s="1"/>
  <c r="I150" i="2" s="1"/>
  <c r="I156" i="2"/>
  <c r="I155" i="2" s="1"/>
  <c r="I154" i="2" s="1"/>
  <c r="I160" i="2"/>
  <c r="I159" i="2" s="1"/>
  <c r="I158" i="2" s="1"/>
  <c r="I164" i="2"/>
  <c r="I163" i="2" s="1"/>
  <c r="I162" i="2" s="1"/>
  <c r="I168" i="2"/>
  <c r="I167" i="2" s="1"/>
  <c r="I166" i="2" s="1"/>
  <c r="I172" i="2"/>
  <c r="I171" i="2" s="1"/>
  <c r="I176" i="2"/>
  <c r="I175" i="2" s="1"/>
  <c r="I174" i="2" s="1"/>
  <c r="I182" i="2"/>
  <c r="I181" i="2" s="1"/>
  <c r="I180" i="2" s="1"/>
  <c r="I186" i="2"/>
  <c r="I185" i="2" s="1"/>
  <c r="I189" i="2"/>
  <c r="I188" i="2" s="1"/>
  <c r="I193" i="2"/>
  <c r="I192" i="2" s="1"/>
  <c r="I196" i="2"/>
  <c r="I195" i="2" s="1"/>
  <c r="I201" i="2"/>
  <c r="I200" i="2" s="1"/>
  <c r="I199" i="2" s="1"/>
  <c r="I205" i="2"/>
  <c r="I204" i="2" s="1"/>
  <c r="I203" i="2" s="1"/>
  <c r="I209" i="2"/>
  <c r="I208" i="2" s="1"/>
  <c r="I207" i="2" s="1"/>
  <c r="I213" i="2"/>
  <c r="I212" i="2" s="1"/>
  <c r="I211" i="2" s="1"/>
  <c r="I217" i="2"/>
  <c r="I216" i="2" s="1"/>
  <c r="I215" i="2" s="1"/>
  <c r="I221" i="2"/>
  <c r="I220" i="2" s="1"/>
  <c r="I219" i="2" s="1"/>
  <c r="I224" i="2"/>
  <c r="I223" i="2" s="1"/>
  <c r="I228" i="2"/>
  <c r="I227" i="2" s="1"/>
  <c r="I230" i="2"/>
  <c r="I235" i="2"/>
  <c r="I234" i="2" s="1"/>
  <c r="I238" i="2"/>
  <c r="I237" i="2" s="1"/>
  <c r="I242" i="2"/>
  <c r="I241" i="2" s="1"/>
  <c r="I244" i="2"/>
  <c r="I250" i="2"/>
  <c r="I249" i="2" s="1"/>
  <c r="I253" i="2"/>
  <c r="I252" i="2" s="1"/>
  <c r="I256" i="2"/>
  <c r="I255" i="2" s="1"/>
  <c r="I263" i="2"/>
  <c r="I262" i="2" s="1"/>
  <c r="I265" i="2"/>
  <c r="I272" i="2"/>
  <c r="I271" i="2" s="1"/>
  <c r="I275" i="2"/>
  <c r="I274" i="2" s="1"/>
  <c r="I279" i="2"/>
  <c r="I278" i="2" s="1"/>
  <c r="I281" i="2"/>
  <c r="I286" i="2"/>
  <c r="I285" i="2" s="1"/>
  <c r="I289" i="2"/>
  <c r="I288" i="2" s="1"/>
  <c r="I293" i="2"/>
  <c r="I292" i="2" s="1"/>
  <c r="I295" i="2"/>
  <c r="I301" i="2"/>
  <c r="I300" i="2" s="1"/>
  <c r="I304" i="2"/>
  <c r="I303" i="2" s="1"/>
  <c r="I308" i="2"/>
  <c r="I307" i="2" s="1"/>
  <c r="I310" i="2"/>
  <c r="I315" i="2"/>
  <c r="I314" i="2" s="1"/>
  <c r="I318" i="2"/>
  <c r="I317" i="2" s="1"/>
  <c r="I322" i="2"/>
  <c r="I321" i="2" s="1"/>
  <c r="I324" i="2"/>
  <c r="I329" i="2"/>
  <c r="I328" i="2" s="1"/>
  <c r="I332" i="2"/>
  <c r="I331" i="2" s="1"/>
  <c r="I336" i="2"/>
  <c r="I335" i="2" s="1"/>
  <c r="I339" i="2"/>
  <c r="I338" i="2" s="1"/>
  <c r="I346" i="2"/>
  <c r="I351" i="2"/>
  <c r="I373" i="2"/>
  <c r="I372" i="2" s="1"/>
  <c r="I371" i="2" s="1"/>
  <c r="I380" i="2"/>
  <c r="I379" i="2" s="1"/>
  <c r="I376" i="2" s="1"/>
  <c r="I375" i="2" s="1"/>
  <c r="I387" i="2"/>
  <c r="I386" i="2" s="1"/>
  <c r="I382" i="2" s="1"/>
  <c r="I394" i="2"/>
  <c r="I393" i="2" s="1"/>
  <c r="I392" i="2" s="1"/>
  <c r="I391" i="2" s="1"/>
  <c r="I399" i="2"/>
  <c r="I398" i="2" s="1"/>
  <c r="I397" i="2" s="1"/>
  <c r="I396" i="2" s="1"/>
  <c r="I405" i="2"/>
  <c r="I404" i="2" s="1"/>
  <c r="I403" i="2" s="1"/>
  <c r="I402" i="2" s="1"/>
  <c r="I412" i="2"/>
  <c r="I411" i="2" s="1"/>
  <c r="I1664" i="7" l="1"/>
  <c r="K1664" i="7" s="1"/>
  <c r="M1263" i="7"/>
  <c r="O1263" i="7" s="1"/>
  <c r="I1096" i="7"/>
  <c r="K1096" i="7" s="1"/>
  <c r="K507" i="7"/>
  <c r="S507" i="7" s="1"/>
  <c r="Q507" i="7"/>
  <c r="B659" i="7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I408" i="2"/>
  <c r="I407" i="2" s="1"/>
  <c r="B502" i="7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1896" i="7"/>
  <c r="B1897" i="7" s="1"/>
  <c r="B1898" i="7" s="1"/>
  <c r="B1899" i="7" s="1"/>
  <c r="B1900" i="7" s="1"/>
  <c r="B1901" i="7" s="1"/>
  <c r="B1902" i="7" s="1"/>
  <c r="B1903" i="7" s="1"/>
  <c r="B1904" i="7" s="1"/>
  <c r="B1905" i="7" s="1"/>
  <c r="B1906" i="7" s="1"/>
  <c r="B1907" i="7" s="1"/>
  <c r="B1908" i="7" s="1"/>
  <c r="B1909" i="7" s="1"/>
  <c r="B1910" i="7" s="1"/>
  <c r="B1911" i="7" s="1"/>
  <c r="B1912" i="7" s="1"/>
  <c r="B1913" i="7" s="1"/>
  <c r="B1914" i="7" s="1"/>
  <c r="B1915" i="7" s="1"/>
  <c r="B1916" i="7" s="1"/>
  <c r="B1917" i="7" s="1"/>
  <c r="B1918" i="7" s="1"/>
  <c r="B1919" i="7" s="1"/>
  <c r="B1920" i="7" s="1"/>
  <c r="B1921" i="7" s="1"/>
  <c r="B1922" i="7" s="1"/>
  <c r="B1923" i="7" s="1"/>
  <c r="B1924" i="7" s="1"/>
  <c r="B1925" i="7" s="1"/>
  <c r="B1926" i="7" s="1"/>
  <c r="B1927" i="7" s="1"/>
  <c r="B1928" i="7" s="1"/>
  <c r="B1929" i="7" s="1"/>
  <c r="B1930" i="7" s="1"/>
  <c r="B1931" i="7" s="1"/>
  <c r="B1932" i="7" s="1"/>
  <c r="B1933" i="7" s="1"/>
  <c r="B1934" i="7" s="1"/>
  <c r="B1935" i="7" s="1"/>
  <c r="B1936" i="7" s="1"/>
  <c r="B1937" i="7" s="1"/>
  <c r="B1938" i="7" s="1"/>
  <c r="B1939" i="7" s="1"/>
  <c r="B1940" i="7" s="1"/>
  <c r="B1941" i="7" s="1"/>
  <c r="B1942" i="7" s="1"/>
  <c r="B1943" i="7" s="1"/>
  <c r="B1944" i="7" s="1"/>
  <c r="B1650" i="7"/>
  <c r="B1651" i="7" s="1"/>
  <c r="B1652" i="7" s="1"/>
  <c r="B1653" i="7" s="1"/>
  <c r="B1654" i="7" s="1"/>
  <c r="B1655" i="7" s="1"/>
  <c r="B1656" i="7" s="1"/>
  <c r="B1657" i="7" s="1"/>
  <c r="B1658" i="7" s="1"/>
  <c r="B1659" i="7" s="1"/>
  <c r="B1660" i="7" s="1"/>
  <c r="B1661" i="7" s="1"/>
  <c r="B1662" i="7" s="1"/>
  <c r="B1663" i="7" s="1"/>
  <c r="B1664" i="7" s="1"/>
  <c r="B1665" i="7" s="1"/>
  <c r="B1666" i="7" s="1"/>
  <c r="B1667" i="7" s="1"/>
  <c r="B1668" i="7" s="1"/>
  <c r="B1669" i="7" s="1"/>
  <c r="B1670" i="7" s="1"/>
  <c r="B1671" i="7" s="1"/>
  <c r="B1672" i="7" s="1"/>
  <c r="B1673" i="7" s="1"/>
  <c r="B1674" i="7" s="1"/>
  <c r="B1675" i="7" s="1"/>
  <c r="B1676" i="7" s="1"/>
  <c r="B1677" i="7" s="1"/>
  <c r="I1234" i="7"/>
  <c r="K1234" i="7" s="1"/>
  <c r="I1192" i="7"/>
  <c r="K1192" i="7" s="1"/>
  <c r="S1192" i="7" s="1"/>
  <c r="M1096" i="7"/>
  <c r="O1096" i="7" s="1"/>
  <c r="I203" i="7"/>
  <c r="K203" i="7" s="1"/>
  <c r="I1213" i="7"/>
  <c r="K1213" i="7" s="1"/>
  <c r="S1213" i="7" s="1"/>
  <c r="S1361" i="7"/>
  <c r="Q1368" i="7"/>
  <c r="M1206" i="7"/>
  <c r="O1206" i="7" s="1"/>
  <c r="S502" i="7"/>
  <c r="M706" i="7"/>
  <c r="O706" i="7" s="1"/>
  <c r="S706" i="7" s="1"/>
  <c r="I1142" i="7"/>
  <c r="K1142" i="7" s="1"/>
  <c r="S1145" i="7"/>
  <c r="Q1213" i="7"/>
  <c r="S1216" i="7"/>
  <c r="S1266" i="7"/>
  <c r="S1546" i="7"/>
  <c r="Q995" i="7"/>
  <c r="M718" i="7"/>
  <c r="O718" i="7" s="1"/>
  <c r="Q1322" i="7"/>
  <c r="Q678" i="7"/>
  <c r="I147" i="7"/>
  <c r="K147" i="7" s="1"/>
  <c r="M380" i="7"/>
  <c r="M379" i="7" s="1"/>
  <c r="O379" i="7" s="1"/>
  <c r="S379" i="7" s="1"/>
  <c r="I677" i="7"/>
  <c r="K677" i="7" s="1"/>
  <c r="S677" i="7" s="1"/>
  <c r="S1735" i="7"/>
  <c r="M1807" i="7"/>
  <c r="O1807" i="7" s="1"/>
  <c r="Q1814" i="7"/>
  <c r="Q1822" i="7"/>
  <c r="Q1830" i="7"/>
  <c r="Q1835" i="7"/>
  <c r="S1039" i="7"/>
  <c r="S1119" i="7"/>
  <c r="S1305" i="7"/>
  <c r="S1514" i="7"/>
  <c r="B254" i="7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97" i="7"/>
  <c r="B398" i="7" s="1"/>
  <c r="S1288" i="7"/>
  <c r="I370" i="2"/>
  <c r="I240" i="2"/>
  <c r="I334" i="2"/>
  <c r="M1570" i="7"/>
  <c r="M1566" i="7" s="1"/>
  <c r="O1566" i="7" s="1"/>
  <c r="O1571" i="7"/>
  <c r="S1571" i="7" s="1"/>
  <c r="Q1571" i="7"/>
  <c r="Q96" i="7"/>
  <c r="K96" i="7"/>
  <c r="S96" i="7" s="1"/>
  <c r="M134" i="7"/>
  <c r="O134" i="7" s="1"/>
  <c r="O135" i="7"/>
  <c r="M145" i="7"/>
  <c r="O146" i="7"/>
  <c r="S146" i="7" s="1"/>
  <c r="Q153" i="7"/>
  <c r="K153" i="7"/>
  <c r="S153" i="7" s="1"/>
  <c r="Q254" i="7"/>
  <c r="K254" i="7"/>
  <c r="S254" i="7" s="1"/>
  <c r="Q276" i="7"/>
  <c r="K276" i="7"/>
  <c r="S276" i="7" s="1"/>
  <c r="Q366" i="7"/>
  <c r="K366" i="7"/>
  <c r="S366" i="7" s="1"/>
  <c r="Q384" i="7"/>
  <c r="K384" i="7"/>
  <c r="S384" i="7" s="1"/>
  <c r="Q433" i="7"/>
  <c r="O433" i="7"/>
  <c r="S433" i="7" s="1"/>
  <c r="Q584" i="7"/>
  <c r="O584" i="7"/>
  <c r="S584" i="7" s="1"/>
  <c r="Q698" i="7"/>
  <c r="K698" i="7"/>
  <c r="S698" i="7" s="1"/>
  <c r="I712" i="7"/>
  <c r="K712" i="7" s="1"/>
  <c r="S712" i="7" s="1"/>
  <c r="K714" i="7"/>
  <c r="S714" i="7" s="1"/>
  <c r="I751" i="7"/>
  <c r="K751" i="7" s="1"/>
  <c r="S751" i="7" s="1"/>
  <c r="K753" i="7"/>
  <c r="S753" i="7" s="1"/>
  <c r="I840" i="7"/>
  <c r="Q840" i="7" s="1"/>
  <c r="K842" i="7"/>
  <c r="S842" i="7" s="1"/>
  <c r="Q866" i="7"/>
  <c r="O866" i="7"/>
  <c r="S866" i="7" s="1"/>
  <c r="Q1028" i="7"/>
  <c r="K1028" i="7"/>
  <c r="S1028" i="7" s="1"/>
  <c r="Q1078" i="7"/>
  <c r="K1078" i="7"/>
  <c r="S1078" i="7" s="1"/>
  <c r="Q1122" i="7"/>
  <c r="O1122" i="7"/>
  <c r="S1122" i="7" s="1"/>
  <c r="M1142" i="7"/>
  <c r="Q1195" i="7"/>
  <c r="O1195" i="7"/>
  <c r="S1195" i="7" s="1"/>
  <c r="M1234" i="7"/>
  <c r="O1234" i="7" s="1"/>
  <c r="O1237" i="7"/>
  <c r="S1237" i="7" s="1"/>
  <c r="I1241" i="7"/>
  <c r="K1241" i="7" s="1"/>
  <c r="S1241" i="7" s="1"/>
  <c r="K1244" i="7"/>
  <c r="S1244" i="7" s="1"/>
  <c r="M1277" i="7"/>
  <c r="O1277" i="7" s="1"/>
  <c r="M1319" i="7"/>
  <c r="O1319" i="7" s="1"/>
  <c r="O1320" i="7"/>
  <c r="Q1403" i="7"/>
  <c r="K1403" i="7"/>
  <c r="S1403" i="7" s="1"/>
  <c r="Q1410" i="7"/>
  <c r="K1410" i="7"/>
  <c r="S1410" i="7" s="1"/>
  <c r="Q1555" i="7"/>
  <c r="O1555" i="7"/>
  <c r="S1555" i="7" s="1"/>
  <c r="Q1586" i="7"/>
  <c r="K1586" i="7"/>
  <c r="S1586" i="7" s="1"/>
  <c r="Q1590" i="7"/>
  <c r="K1590" i="7"/>
  <c r="S1590" i="7" s="1"/>
  <c r="Q1660" i="7"/>
  <c r="K1660" i="7"/>
  <c r="S1660" i="7" s="1"/>
  <c r="Q1743" i="7"/>
  <c r="K1743" i="7"/>
  <c r="S1743" i="7" s="1"/>
  <c r="I1751" i="7"/>
  <c r="K1751" i="7" s="1"/>
  <c r="S1751" i="7" s="1"/>
  <c r="K1753" i="7"/>
  <c r="S1753" i="7" s="1"/>
  <c r="Q1813" i="7"/>
  <c r="K1813" i="7"/>
  <c r="S1813" i="7" s="1"/>
  <c r="Q1825" i="7"/>
  <c r="K1825" i="7"/>
  <c r="S1825" i="7" s="1"/>
  <c r="Q1834" i="7"/>
  <c r="K1834" i="7"/>
  <c r="S1834" i="7" s="1"/>
  <c r="Q1837" i="7"/>
  <c r="K1837" i="7"/>
  <c r="S1837" i="7" s="1"/>
  <c r="Q1888" i="7"/>
  <c r="K1888" i="7"/>
  <c r="S1888" i="7" s="1"/>
  <c r="Q672" i="7"/>
  <c r="O672" i="7"/>
  <c r="S672" i="7" s="1"/>
  <c r="M682" i="7"/>
  <c r="O682" i="7" s="1"/>
  <c r="O685" i="7"/>
  <c r="Q723" i="7"/>
  <c r="K723" i="7"/>
  <c r="S723" i="7" s="1"/>
  <c r="I739" i="7"/>
  <c r="K739" i="7" s="1"/>
  <c r="S739" i="7" s="1"/>
  <c r="K741" i="7"/>
  <c r="S741" i="7" s="1"/>
  <c r="Q759" i="7"/>
  <c r="O759" i="7"/>
  <c r="S759" i="7" s="1"/>
  <c r="Q765" i="7"/>
  <c r="K765" i="7"/>
  <c r="S765" i="7" s="1"/>
  <c r="Q773" i="7"/>
  <c r="Q779" i="7"/>
  <c r="K779" i="7"/>
  <c r="S779" i="7" s="1"/>
  <c r="Q784" i="7"/>
  <c r="O784" i="7"/>
  <c r="S784" i="7" s="1"/>
  <c r="Q806" i="7"/>
  <c r="K806" i="7"/>
  <c r="S806" i="7" s="1"/>
  <c r="I828" i="7"/>
  <c r="K828" i="7" s="1"/>
  <c r="S828" i="7" s="1"/>
  <c r="K830" i="7"/>
  <c r="S830" i="7" s="1"/>
  <c r="I891" i="7"/>
  <c r="K891" i="7" s="1"/>
  <c r="K903" i="7"/>
  <c r="S932" i="7"/>
  <c r="S982" i="7"/>
  <c r="S1014" i="7"/>
  <c r="I1054" i="7"/>
  <c r="K1056" i="7"/>
  <c r="S1056" i="7" s="1"/>
  <c r="Q1072" i="7"/>
  <c r="K1072" i="7"/>
  <c r="S1072" i="7" s="1"/>
  <c r="I1103" i="7"/>
  <c r="K1103" i="7" s="1"/>
  <c r="K1106" i="7"/>
  <c r="S1106" i="7" s="1"/>
  <c r="I1111" i="7"/>
  <c r="K1111" i="7" s="1"/>
  <c r="K1114" i="7"/>
  <c r="O1127" i="7"/>
  <c r="I1158" i="7"/>
  <c r="K1158" i="7" s="1"/>
  <c r="S1158" i="7" s="1"/>
  <c r="K1161" i="7"/>
  <c r="S1161" i="7" s="1"/>
  <c r="I1166" i="7"/>
  <c r="K1169" i="7"/>
  <c r="S1169" i="7" s="1"/>
  <c r="Q1216" i="7"/>
  <c r="I1220" i="7"/>
  <c r="Q1223" i="7"/>
  <c r="O1223" i="7"/>
  <c r="S1223" i="7" s="1"/>
  <c r="Q1237" i="7"/>
  <c r="S1296" i="7"/>
  <c r="Q1313" i="7"/>
  <c r="O1313" i="7"/>
  <c r="S1313" i="7" s="1"/>
  <c r="Q1327" i="7"/>
  <c r="O1327" i="7"/>
  <c r="Q1335" i="7"/>
  <c r="O1335" i="7"/>
  <c r="S1335" i="7" s="1"/>
  <c r="Q1344" i="7"/>
  <c r="O1344" i="7"/>
  <c r="S1344" i="7" s="1"/>
  <c r="Q1352" i="7"/>
  <c r="K1352" i="7"/>
  <c r="S1352" i="7" s="1"/>
  <c r="Q1369" i="7"/>
  <c r="K1369" i="7"/>
  <c r="S1369" i="7" s="1"/>
  <c r="Q1380" i="7"/>
  <c r="O1380" i="7"/>
  <c r="S1380" i="7" s="1"/>
  <c r="M1399" i="7"/>
  <c r="O1399" i="7" s="1"/>
  <c r="S1399" i="7" s="1"/>
  <c r="O1400" i="7"/>
  <c r="S1400" i="7" s="1"/>
  <c r="I1419" i="7"/>
  <c r="K1419" i="7" s="1"/>
  <c r="K1420" i="7"/>
  <c r="S1420" i="7" s="1"/>
  <c r="S1422" i="7"/>
  <c r="M1436" i="7"/>
  <c r="O1436" i="7" s="1"/>
  <c r="M1517" i="7"/>
  <c r="O1517" i="7" s="1"/>
  <c r="O1518" i="7"/>
  <c r="Q1531" i="7"/>
  <c r="K1531" i="7"/>
  <c r="S1531" i="7" s="1"/>
  <c r="Q1536" i="7"/>
  <c r="K1536" i="7"/>
  <c r="S1536" i="7" s="1"/>
  <c r="Q1564" i="7"/>
  <c r="K1564" i="7"/>
  <c r="S1564" i="7" s="1"/>
  <c r="Q1569" i="7"/>
  <c r="K1569" i="7"/>
  <c r="S1569" i="7" s="1"/>
  <c r="Q1577" i="7"/>
  <c r="K1577" i="7"/>
  <c r="S1577" i="7" s="1"/>
  <c r="Q1581" i="7"/>
  <c r="K1581" i="7"/>
  <c r="S1581" i="7" s="1"/>
  <c r="Q1591" i="7"/>
  <c r="K1591" i="7"/>
  <c r="S1591" i="7" s="1"/>
  <c r="Q1597" i="7"/>
  <c r="O1597" i="7"/>
  <c r="S1597" i="7" s="1"/>
  <c r="I1674" i="7"/>
  <c r="K1674" i="7" s="1"/>
  <c r="K1675" i="7"/>
  <c r="Q1691" i="7"/>
  <c r="K1691" i="7"/>
  <c r="S1691" i="7" s="1"/>
  <c r="Q1707" i="7"/>
  <c r="K1707" i="7"/>
  <c r="S1707" i="7" s="1"/>
  <c r="Q1719" i="7"/>
  <c r="K1719" i="7"/>
  <c r="S1719" i="7" s="1"/>
  <c r="Q1723" i="7"/>
  <c r="K1723" i="7"/>
  <c r="S1723" i="7" s="1"/>
  <c r="I1741" i="7"/>
  <c r="I1740" i="7" s="1"/>
  <c r="Q1753" i="7"/>
  <c r="Q1826" i="7"/>
  <c r="K1826" i="7"/>
  <c r="S1826" i="7" s="1"/>
  <c r="Q1838" i="7"/>
  <c r="K1838" i="7"/>
  <c r="S1838" i="7" s="1"/>
  <c r="M1842" i="7"/>
  <c r="O1842" i="7" s="1"/>
  <c r="O1843" i="7"/>
  <c r="S1843" i="7" s="1"/>
  <c r="Q1849" i="7"/>
  <c r="K1849" i="7"/>
  <c r="S1849" i="7" s="1"/>
  <c r="Q1862" i="7"/>
  <c r="Q1866" i="7"/>
  <c r="K1866" i="7"/>
  <c r="S1866" i="7" s="1"/>
  <c r="Q1870" i="7"/>
  <c r="K1870" i="7"/>
  <c r="S1870" i="7" s="1"/>
  <c r="I1877" i="7"/>
  <c r="K1877" i="7" s="1"/>
  <c r="S1877" i="7" s="1"/>
  <c r="K1878" i="7"/>
  <c r="S1878" i="7" s="1"/>
  <c r="I1901" i="7"/>
  <c r="K1901" i="7" s="1"/>
  <c r="Q1907" i="7"/>
  <c r="K1907" i="7"/>
  <c r="S1907" i="7" s="1"/>
  <c r="I1915" i="7"/>
  <c r="K1915" i="7" s="1"/>
  <c r="S1919" i="7"/>
  <c r="I1985" i="7"/>
  <c r="K1985" i="7" s="1"/>
  <c r="K1986" i="7"/>
  <c r="Q91" i="7"/>
  <c r="K91" i="7"/>
  <c r="S91" i="7" s="1"/>
  <c r="Q187" i="7"/>
  <c r="O187" i="7"/>
  <c r="S187" i="7" s="1"/>
  <c r="Q201" i="7"/>
  <c r="O201" i="7"/>
  <c r="S201" i="7" s="1"/>
  <c r="Q257" i="7"/>
  <c r="K257" i="7"/>
  <c r="S257" i="7" s="1"/>
  <c r="Q313" i="7"/>
  <c r="K313" i="7"/>
  <c r="S313" i="7" s="1"/>
  <c r="Q395" i="7"/>
  <c r="O395" i="7"/>
  <c r="S395" i="7" s="1"/>
  <c r="I409" i="7"/>
  <c r="K409" i="7" s="1"/>
  <c r="S409" i="7" s="1"/>
  <c r="K410" i="7"/>
  <c r="S410" i="7" s="1"/>
  <c r="Q425" i="7"/>
  <c r="K425" i="7"/>
  <c r="S425" i="7" s="1"/>
  <c r="Q667" i="7"/>
  <c r="K667" i="7"/>
  <c r="S667" i="7" s="1"/>
  <c r="I791" i="7"/>
  <c r="K791" i="7" s="1"/>
  <c r="S791" i="7" s="1"/>
  <c r="K793" i="7"/>
  <c r="S793" i="7" s="1"/>
  <c r="Q871" i="7"/>
  <c r="K871" i="7"/>
  <c r="S871" i="7" s="1"/>
  <c r="Q894" i="7"/>
  <c r="K894" i="7"/>
  <c r="S894" i="7" s="1"/>
  <c r="Q950" i="7"/>
  <c r="K950" i="7"/>
  <c r="S950" i="7" s="1"/>
  <c r="Q1062" i="7"/>
  <c r="O1062" i="7"/>
  <c r="S1062" i="7" s="1"/>
  <c r="I1127" i="7"/>
  <c r="K1127" i="7" s="1"/>
  <c r="K1130" i="7"/>
  <c r="S1130" i="7" s="1"/>
  <c r="I1150" i="7"/>
  <c r="K1150" i="7" s="1"/>
  <c r="S1150" i="7" s="1"/>
  <c r="K1153" i="7"/>
  <c r="S1153" i="7" s="1"/>
  <c r="I1249" i="7"/>
  <c r="K1249" i="7" s="1"/>
  <c r="K1252" i="7"/>
  <c r="S1252" i="7" s="1"/>
  <c r="I1263" i="7"/>
  <c r="K1263" i="7" s="1"/>
  <c r="S1263" i="7" s="1"/>
  <c r="I1324" i="7"/>
  <c r="K1324" i="7" s="1"/>
  <c r="K1327" i="7"/>
  <c r="M1358" i="7"/>
  <c r="O1358" i="7" s="1"/>
  <c r="M1600" i="7"/>
  <c r="O1601" i="7"/>
  <c r="S1601" i="7" s="1"/>
  <c r="I1990" i="7"/>
  <c r="K1990" i="7" s="1"/>
  <c r="S1990" i="7" s="1"/>
  <c r="K1993" i="7"/>
  <c r="S1993" i="7" s="1"/>
  <c r="Q154" i="7"/>
  <c r="K154" i="7"/>
  <c r="S154" i="7" s="1"/>
  <c r="Q248" i="7"/>
  <c r="K248" i="7"/>
  <c r="M273" i="7"/>
  <c r="O273" i="7" s="1"/>
  <c r="O272" i="7"/>
  <c r="M283" i="7"/>
  <c r="O286" i="7"/>
  <c r="M310" i="7"/>
  <c r="S377" i="7"/>
  <c r="Q410" i="7"/>
  <c r="Q430" i="7"/>
  <c r="O430" i="7"/>
  <c r="S430" i="7" s="1"/>
  <c r="Q487" i="7"/>
  <c r="K487" i="7"/>
  <c r="S487" i="7" s="1"/>
  <c r="Q493" i="7"/>
  <c r="K493" i="7"/>
  <c r="S493" i="7" s="1"/>
  <c r="Q542" i="7"/>
  <c r="O542" i="7"/>
  <c r="S542" i="7" s="1"/>
  <c r="Q550" i="7"/>
  <c r="O550" i="7"/>
  <c r="S550" i="7" s="1"/>
  <c r="M127" i="7"/>
  <c r="O127" i="7" s="1"/>
  <c r="O128" i="7"/>
  <c r="Q178" i="7"/>
  <c r="K178" i="7"/>
  <c r="S178" i="7" s="1"/>
  <c r="Q185" i="7"/>
  <c r="K185" i="7"/>
  <c r="S185" i="7" s="1"/>
  <c r="Q194" i="7"/>
  <c r="K194" i="7"/>
  <c r="S194" i="7" s="1"/>
  <c r="M246" i="7"/>
  <c r="O246" i="7" s="1"/>
  <c r="O248" i="7"/>
  <c r="Q252" i="7"/>
  <c r="K252" i="7"/>
  <c r="S252" i="7" s="1"/>
  <c r="Q263" i="7"/>
  <c r="Q267" i="7"/>
  <c r="K267" i="7"/>
  <c r="S267" i="7" s="1"/>
  <c r="Q375" i="7"/>
  <c r="Q381" i="7"/>
  <c r="Q393" i="7"/>
  <c r="O393" i="7"/>
  <c r="S393" i="7" s="1"/>
  <c r="I420" i="7"/>
  <c r="K420" i="7" s="1"/>
  <c r="S420" i="7" s="1"/>
  <c r="K424" i="7"/>
  <c r="S424" i="7" s="1"/>
  <c r="I511" i="7"/>
  <c r="K511" i="7" s="1"/>
  <c r="K512" i="7"/>
  <c r="Q543" i="7"/>
  <c r="O543" i="7"/>
  <c r="S543" i="7" s="1"/>
  <c r="Q547" i="7"/>
  <c r="O547" i="7"/>
  <c r="S547" i="7" s="1"/>
  <c r="Q551" i="7"/>
  <c r="O551" i="7"/>
  <c r="S551" i="7" s="1"/>
  <c r="Q554" i="7"/>
  <c r="Q582" i="7"/>
  <c r="O582" i="7"/>
  <c r="S582" i="7" s="1"/>
  <c r="Q586" i="7"/>
  <c r="O586" i="7"/>
  <c r="S586" i="7" s="1"/>
  <c r="Q590" i="7"/>
  <c r="O590" i="7"/>
  <c r="S590" i="7" s="1"/>
  <c r="Q651" i="7"/>
  <c r="K651" i="7"/>
  <c r="S651" i="7" s="1"/>
  <c r="Q704" i="7"/>
  <c r="O704" i="7"/>
  <c r="S704" i="7" s="1"/>
  <c r="Q707" i="7"/>
  <c r="Q741" i="7"/>
  <c r="Q822" i="7"/>
  <c r="K822" i="7"/>
  <c r="S822" i="7" s="1"/>
  <c r="Q848" i="7"/>
  <c r="O848" i="7"/>
  <c r="S848" i="7" s="1"/>
  <c r="Q864" i="7"/>
  <c r="O864" i="7"/>
  <c r="S864" i="7" s="1"/>
  <c r="S880" i="7"/>
  <c r="Q903" i="7"/>
  <c r="O903" i="7"/>
  <c r="Q955" i="7"/>
  <c r="O955" i="7"/>
  <c r="S955" i="7" s="1"/>
  <c r="Q999" i="7"/>
  <c r="O999" i="7"/>
  <c r="S999" i="7" s="1"/>
  <c r="Q1004" i="7"/>
  <c r="K1004" i="7"/>
  <c r="S1004" i="7" s="1"/>
  <c r="Q1056" i="7"/>
  <c r="Q1068" i="7"/>
  <c r="K1068" i="7"/>
  <c r="S1068" i="7" s="1"/>
  <c r="I1086" i="7"/>
  <c r="K1089" i="7"/>
  <c r="S1089" i="7" s="1"/>
  <c r="M1111" i="7"/>
  <c r="O1111" i="7" s="1"/>
  <c r="O1114" i="7"/>
  <c r="S1134" i="7"/>
  <c r="S1137" i="7"/>
  <c r="I1199" i="7"/>
  <c r="K1202" i="7"/>
  <c r="S1202" i="7" s="1"/>
  <c r="Q1209" i="7"/>
  <c r="K1209" i="7"/>
  <c r="S1209" i="7" s="1"/>
  <c r="Q1304" i="7"/>
  <c r="Q1311" i="7"/>
  <c r="K1311" i="7"/>
  <c r="S1311" i="7" s="1"/>
  <c r="I1377" i="7"/>
  <c r="K1377" i="7" s="1"/>
  <c r="K1389" i="7"/>
  <c r="Q1400" i="7"/>
  <c r="S1404" i="7"/>
  <c r="S1411" i="7"/>
  <c r="Q1441" i="7"/>
  <c r="K1441" i="7"/>
  <c r="S1441" i="7" s="1"/>
  <c r="Q1519" i="7"/>
  <c r="K1519" i="7"/>
  <c r="S1519" i="7" s="1"/>
  <c r="Q1553" i="7"/>
  <c r="O1553" i="7"/>
  <c r="S1553" i="7" s="1"/>
  <c r="I1574" i="7"/>
  <c r="Q1588" i="7"/>
  <c r="Q1607" i="7"/>
  <c r="K1607" i="7"/>
  <c r="S1607" i="7" s="1"/>
  <c r="Q1634" i="7"/>
  <c r="K1634" i="7"/>
  <c r="S1634" i="7" s="1"/>
  <c r="M1674" i="7"/>
  <c r="O1674" i="7" s="1"/>
  <c r="O1675" i="7"/>
  <c r="Q1697" i="7"/>
  <c r="O1697" i="7"/>
  <c r="S1697" i="7" s="1"/>
  <c r="Q1708" i="7"/>
  <c r="K1708" i="7"/>
  <c r="S1708" i="7" s="1"/>
  <c r="Q1715" i="7"/>
  <c r="K1715" i="7"/>
  <c r="S1715" i="7" s="1"/>
  <c r="Q1745" i="7"/>
  <c r="O1745" i="7"/>
  <c r="S1745" i="7" s="1"/>
  <c r="Q1827" i="7"/>
  <c r="K1827" i="7"/>
  <c r="S1827" i="7" s="1"/>
  <c r="Q1839" i="7"/>
  <c r="K1839" i="7"/>
  <c r="S1839" i="7" s="1"/>
  <c r="Q1908" i="7"/>
  <c r="K1908" i="7"/>
  <c r="S1908" i="7" s="1"/>
  <c r="M1985" i="7"/>
  <c r="O1985" i="7" s="1"/>
  <c r="O1986" i="7"/>
  <c r="L5" i="8"/>
  <c r="F4" i="8"/>
  <c r="L4" i="8" s="1"/>
  <c r="M147" i="7"/>
  <c r="O147" i="7" s="1"/>
  <c r="O148" i="7"/>
  <c r="M160" i="7"/>
  <c r="O160" i="7" s="1"/>
  <c r="S160" i="7" s="1"/>
  <c r="O162" i="7"/>
  <c r="S162" i="7" s="1"/>
  <c r="I183" i="7"/>
  <c r="K183" i="7" s="1"/>
  <c r="S183" i="7" s="1"/>
  <c r="K184" i="7"/>
  <c r="S184" i="7" s="1"/>
  <c r="M203" i="7"/>
  <c r="O203" i="7" s="1"/>
  <c r="O204" i="7"/>
  <c r="S204" i="7" s="1"/>
  <c r="M262" i="7"/>
  <c r="O262" i="7" s="1"/>
  <c r="O265" i="7"/>
  <c r="I272" i="7"/>
  <c r="Q272" i="7" s="1"/>
  <c r="Q289" i="7"/>
  <c r="K289" i="7"/>
  <c r="S289" i="7" s="1"/>
  <c r="Q301" i="7"/>
  <c r="O301" i="7"/>
  <c r="S301" i="7" s="1"/>
  <c r="Q417" i="7"/>
  <c r="K417" i="7"/>
  <c r="S417" i="7" s="1"/>
  <c r="Q509" i="7"/>
  <c r="O509" i="7"/>
  <c r="S509" i="7" s="1"/>
  <c r="Q545" i="7"/>
  <c r="O545" i="7"/>
  <c r="S545" i="7" s="1"/>
  <c r="Q553" i="7"/>
  <c r="O553" i="7"/>
  <c r="S553" i="7" s="1"/>
  <c r="Q568" i="7"/>
  <c r="O568" i="7"/>
  <c r="S568" i="7" s="1"/>
  <c r="Q580" i="7"/>
  <c r="O580" i="7"/>
  <c r="S580" i="7" s="1"/>
  <c r="Q588" i="7"/>
  <c r="O588" i="7"/>
  <c r="S588" i="7" s="1"/>
  <c r="Q814" i="7"/>
  <c r="K814" i="7"/>
  <c r="S814" i="7" s="1"/>
  <c r="M817" i="7"/>
  <c r="O817" i="7" s="1"/>
  <c r="Q851" i="7"/>
  <c r="K851" i="7"/>
  <c r="S851" i="7" s="1"/>
  <c r="Q946" i="7"/>
  <c r="K946" i="7"/>
  <c r="S946" i="7" s="1"/>
  <c r="Q969" i="7"/>
  <c r="O969" i="7"/>
  <c r="S969" i="7" s="1"/>
  <c r="Q1521" i="7"/>
  <c r="K1521" i="7"/>
  <c r="S1521" i="7" s="1"/>
  <c r="Q1539" i="7"/>
  <c r="K1539" i="7"/>
  <c r="S1539" i="7" s="1"/>
  <c r="M1556" i="7"/>
  <c r="O1556" i="7" s="1"/>
  <c r="O1559" i="7"/>
  <c r="Q1572" i="7"/>
  <c r="O1572" i="7"/>
  <c r="S1572" i="7" s="1"/>
  <c r="Q1595" i="7"/>
  <c r="O1595" i="7"/>
  <c r="S1595" i="7" s="1"/>
  <c r="I1642" i="7"/>
  <c r="K1642" i="7" s="1"/>
  <c r="S1642" i="7" s="1"/>
  <c r="K1654" i="7"/>
  <c r="S1654" i="7" s="1"/>
  <c r="Q1821" i="7"/>
  <c r="K1821" i="7"/>
  <c r="S1821" i="7" s="1"/>
  <c r="Q1829" i="7"/>
  <c r="K1829" i="7"/>
  <c r="S1829" i="7" s="1"/>
  <c r="Q1885" i="7"/>
  <c r="K1885" i="7"/>
  <c r="S1885" i="7" s="1"/>
  <c r="Q1892" i="7"/>
  <c r="K1892" i="7"/>
  <c r="S1892" i="7" s="1"/>
  <c r="I1918" i="7"/>
  <c r="K1918" i="7" s="1"/>
  <c r="K1922" i="7"/>
  <c r="S1922" i="7" s="1"/>
  <c r="M1924" i="7"/>
  <c r="O1924" i="7" s="1"/>
  <c r="O1925" i="7"/>
  <c r="S1925" i="7" s="1"/>
  <c r="Q93" i="7"/>
  <c r="K93" i="7"/>
  <c r="S93" i="7" s="1"/>
  <c r="M131" i="7"/>
  <c r="O131" i="7" s="1"/>
  <c r="O132" i="7"/>
  <c r="S132" i="7" s="1"/>
  <c r="Q146" i="7"/>
  <c r="Q158" i="7"/>
  <c r="O158" i="7"/>
  <c r="S158" i="7" s="1"/>
  <c r="Q172" i="7"/>
  <c r="K172" i="7"/>
  <c r="S172" i="7" s="1"/>
  <c r="Q184" i="7"/>
  <c r="Q298" i="7"/>
  <c r="K298" i="7"/>
  <c r="S298" i="7" s="1"/>
  <c r="Q367" i="7"/>
  <c r="K367" i="7"/>
  <c r="S367" i="7" s="1"/>
  <c r="Q371" i="7"/>
  <c r="K371" i="7"/>
  <c r="S371" i="7" s="1"/>
  <c r="Q406" i="7"/>
  <c r="O406" i="7"/>
  <c r="S406" i="7" s="1"/>
  <c r="Q414" i="7"/>
  <c r="O414" i="7"/>
  <c r="S414" i="7" s="1"/>
  <c r="Q423" i="7"/>
  <c r="K423" i="7"/>
  <c r="S423" i="7" s="1"/>
  <c r="Q90" i="7"/>
  <c r="K90" i="7"/>
  <c r="S90" i="7" s="1"/>
  <c r="Q129" i="7"/>
  <c r="K129" i="7"/>
  <c r="S129" i="7" s="1"/>
  <c r="I134" i="7"/>
  <c r="K134" i="7" s="1"/>
  <c r="K135" i="7"/>
  <c r="S138" i="7"/>
  <c r="Q142" i="7"/>
  <c r="K142" i="7"/>
  <c r="S142" i="7" s="1"/>
  <c r="S148" i="7"/>
  <c r="Q156" i="7"/>
  <c r="K156" i="7"/>
  <c r="S156" i="7" s="1"/>
  <c r="Q170" i="7"/>
  <c r="K170" i="7"/>
  <c r="S170" i="7" s="1"/>
  <c r="Q179" i="7"/>
  <c r="K179" i="7"/>
  <c r="S179" i="7" s="1"/>
  <c r="M189" i="7"/>
  <c r="O189" i="7" s="1"/>
  <c r="O190" i="7"/>
  <c r="S190" i="7" s="1"/>
  <c r="Q200" i="7"/>
  <c r="O200" i="7"/>
  <c r="S200" i="7" s="1"/>
  <c r="Q253" i="7"/>
  <c r="K253" i="7"/>
  <c r="S253" i="7" s="1"/>
  <c r="Q264" i="7"/>
  <c r="K264" i="7"/>
  <c r="S264" i="7" s="1"/>
  <c r="I265" i="7"/>
  <c r="K265" i="7" s="1"/>
  <c r="K268" i="7"/>
  <c r="S268" i="7" s="1"/>
  <c r="Q288" i="7"/>
  <c r="K288" i="7"/>
  <c r="S288" i="7" s="1"/>
  <c r="S292" i="7"/>
  <c r="Q304" i="7"/>
  <c r="O304" i="7"/>
  <c r="S304" i="7" s="1"/>
  <c r="Q369" i="7"/>
  <c r="K369" i="7"/>
  <c r="S369" i="7" s="1"/>
  <c r="Q376" i="7"/>
  <c r="K376" i="7"/>
  <c r="S376" i="7" s="1"/>
  <c r="I399" i="7"/>
  <c r="K399" i="7" s="1"/>
  <c r="S399" i="7" s="1"/>
  <c r="K403" i="7"/>
  <c r="S403" i="7" s="1"/>
  <c r="M412" i="7"/>
  <c r="O413" i="7"/>
  <c r="S413" i="7" s="1"/>
  <c r="Q424" i="7"/>
  <c r="M485" i="7"/>
  <c r="O485" i="7" s="1"/>
  <c r="I499" i="7"/>
  <c r="K499" i="7" s="1"/>
  <c r="K508" i="7"/>
  <c r="Q534" i="7"/>
  <c r="O534" i="7"/>
  <c r="S534" i="7" s="1"/>
  <c r="Q548" i="7"/>
  <c r="O548" i="7"/>
  <c r="S548" i="7" s="1"/>
  <c r="Q552" i="7"/>
  <c r="O552" i="7"/>
  <c r="S552" i="7" s="1"/>
  <c r="Q579" i="7"/>
  <c r="O579" i="7"/>
  <c r="S579" i="7" s="1"/>
  <c r="Q587" i="7"/>
  <c r="O587" i="7"/>
  <c r="S587" i="7" s="1"/>
  <c r="M594" i="7"/>
  <c r="O594" i="7" s="1"/>
  <c r="S594" i="7" s="1"/>
  <c r="O596" i="7"/>
  <c r="S596" i="7" s="1"/>
  <c r="Q674" i="7"/>
  <c r="O674" i="7"/>
  <c r="S674" i="7" s="1"/>
  <c r="S678" i="7"/>
  <c r="M772" i="7"/>
  <c r="O772" i="7" s="1"/>
  <c r="S772" i="7" s="1"/>
  <c r="Q799" i="7"/>
  <c r="O799" i="7"/>
  <c r="S799" i="7" s="1"/>
  <c r="I820" i="7"/>
  <c r="Q820" i="7" s="1"/>
  <c r="Q861" i="7"/>
  <c r="K861" i="7"/>
  <c r="S861" i="7" s="1"/>
  <c r="Q973" i="7"/>
  <c r="K973" i="7"/>
  <c r="S973" i="7" s="1"/>
  <c r="S1096" i="7"/>
  <c r="S1099" i="7"/>
  <c r="S1188" i="7"/>
  <c r="I1227" i="7"/>
  <c r="K1230" i="7"/>
  <c r="S1230" i="7" s="1"/>
  <c r="I1256" i="7"/>
  <c r="K1256" i="7" s="1"/>
  <c r="K1259" i="7"/>
  <c r="S1259" i="7" s="1"/>
  <c r="I1270" i="7"/>
  <c r="K1270" i="7" s="1"/>
  <c r="K1273" i="7"/>
  <c r="S1273" i="7" s="1"/>
  <c r="I1277" i="7"/>
  <c r="K1277" i="7" s="1"/>
  <c r="K1280" i="7"/>
  <c r="S1280" i="7" s="1"/>
  <c r="M1302" i="7"/>
  <c r="O1302" i="7" s="1"/>
  <c r="Q1312" i="7"/>
  <c r="K1312" i="7"/>
  <c r="S1312" i="7" s="1"/>
  <c r="I1319" i="7"/>
  <c r="K1319" i="7" s="1"/>
  <c r="K1320" i="7"/>
  <c r="S1322" i="7"/>
  <c r="Q1370" i="7"/>
  <c r="O1370" i="7"/>
  <c r="S1370" i="7" s="1"/>
  <c r="Q1389" i="7"/>
  <c r="O1389" i="7"/>
  <c r="Q1397" i="7"/>
  <c r="O1397" i="7"/>
  <c r="S1397" i="7" s="1"/>
  <c r="Q1402" i="7"/>
  <c r="K1402" i="7"/>
  <c r="S1402" i="7" s="1"/>
  <c r="Q1409" i="7"/>
  <c r="K1409" i="7"/>
  <c r="S1409" i="7" s="1"/>
  <c r="I1424" i="7"/>
  <c r="K1424" i="7" s="1"/>
  <c r="Q1427" i="7"/>
  <c r="O1427" i="7"/>
  <c r="S1427" i="7" s="1"/>
  <c r="Q1430" i="7"/>
  <c r="Q1515" i="7"/>
  <c r="K1515" i="7"/>
  <c r="S1515" i="7" s="1"/>
  <c r="Q1542" i="7"/>
  <c r="O1542" i="7"/>
  <c r="S1542" i="7" s="1"/>
  <c r="Q1549" i="7"/>
  <c r="Q1554" i="7"/>
  <c r="O1554" i="7"/>
  <c r="S1554" i="7" s="1"/>
  <c r="I1559" i="7"/>
  <c r="K1559" i="7" s="1"/>
  <c r="Q1585" i="7"/>
  <c r="K1585" i="7"/>
  <c r="S1585" i="7" s="1"/>
  <c r="Q1589" i="7"/>
  <c r="K1589" i="7"/>
  <c r="S1589" i="7" s="1"/>
  <c r="Q1592" i="7"/>
  <c r="I1631" i="7"/>
  <c r="I1630" i="7" s="1"/>
  <c r="K1632" i="7"/>
  <c r="S1632" i="7" s="1"/>
  <c r="Q1659" i="7"/>
  <c r="K1659" i="7"/>
  <c r="S1659" i="7" s="1"/>
  <c r="M1664" i="7"/>
  <c r="O1664" i="7" s="1"/>
  <c r="S1664" i="7" s="1"/>
  <c r="O1665" i="7"/>
  <c r="S1665" i="7" s="1"/>
  <c r="Q1675" i="7"/>
  <c r="Q1689" i="7"/>
  <c r="K1689" i="7"/>
  <c r="S1689" i="7" s="1"/>
  <c r="Q1700" i="7"/>
  <c r="O1700" i="7"/>
  <c r="S1700" i="7" s="1"/>
  <c r="I1709" i="7"/>
  <c r="K1709" i="7" s="1"/>
  <c r="S1709" i="7" s="1"/>
  <c r="Q1712" i="7"/>
  <c r="K1712" i="7"/>
  <c r="S1712" i="7" s="1"/>
  <c r="Q1721" i="7"/>
  <c r="K1721" i="7"/>
  <c r="S1721" i="7" s="1"/>
  <c r="Q1733" i="7"/>
  <c r="K1733" i="7"/>
  <c r="S1733" i="7" s="1"/>
  <c r="Q1738" i="7"/>
  <c r="O1738" i="7"/>
  <c r="S1738" i="7" s="1"/>
  <c r="M1755" i="7"/>
  <c r="M1748" i="7" s="1"/>
  <c r="O1756" i="7"/>
  <c r="S1756" i="7" s="1"/>
  <c r="Q1768" i="7"/>
  <c r="K1768" i="7"/>
  <c r="S1768" i="7" s="1"/>
  <c r="Q1824" i="7"/>
  <c r="K1824" i="7"/>
  <c r="S1824" i="7" s="1"/>
  <c r="Q1828" i="7"/>
  <c r="K1828" i="7"/>
  <c r="S1828" i="7" s="1"/>
  <c r="M1833" i="7"/>
  <c r="O1836" i="7"/>
  <c r="Q1840" i="7"/>
  <c r="K1840" i="7"/>
  <c r="S1840" i="7" s="1"/>
  <c r="S1873" i="7"/>
  <c r="Q1891" i="7"/>
  <c r="Q1899" i="7"/>
  <c r="K1899" i="7"/>
  <c r="S1899" i="7" s="1"/>
  <c r="M1901" i="7"/>
  <c r="O1901" i="7" s="1"/>
  <c r="O1902" i="7"/>
  <c r="S1902" i="7" s="1"/>
  <c r="M1906" i="7"/>
  <c r="O1909" i="7"/>
  <c r="Q1913" i="7"/>
  <c r="K1913" i="7"/>
  <c r="S1913" i="7" s="1"/>
  <c r="Q1916" i="7"/>
  <c r="O1916" i="7"/>
  <c r="S1916" i="7" s="1"/>
  <c r="Q1928" i="7"/>
  <c r="K1928" i="7"/>
  <c r="S1928" i="7" s="1"/>
  <c r="I1934" i="7"/>
  <c r="K1934" i="7" s="1"/>
  <c r="S1934" i="7" s="1"/>
  <c r="K1937" i="7"/>
  <c r="S1937" i="7" s="1"/>
  <c r="I310" i="7"/>
  <c r="Q132" i="7"/>
  <c r="Q190" i="7"/>
  <c r="I193" i="7"/>
  <c r="K193" i="7" s="1"/>
  <c r="M1696" i="7"/>
  <c r="Q1735" i="7"/>
  <c r="M1872" i="7"/>
  <c r="O1872" i="7" s="1"/>
  <c r="M86" i="7"/>
  <c r="Q204" i="7"/>
  <c r="I416" i="7"/>
  <c r="K416" i="7" s="1"/>
  <c r="S416" i="7" s="1"/>
  <c r="I804" i="7"/>
  <c r="M863" i="7"/>
  <c r="Q863" i="7" s="1"/>
  <c r="I1001" i="7"/>
  <c r="K1001" i="7" s="1"/>
  <c r="Q1202" i="7"/>
  <c r="Q1252" i="7"/>
  <c r="Q1296" i="7"/>
  <c r="I1358" i="7"/>
  <c r="M1541" i="7"/>
  <c r="Q1601" i="7"/>
  <c r="I1720" i="7"/>
  <c r="I1810" i="7"/>
  <c r="K1810" i="7" s="1"/>
  <c r="S1810" i="7" s="1"/>
  <c r="Q1873" i="7"/>
  <c r="Q1878" i="7"/>
  <c r="Q1902" i="7"/>
  <c r="M1918" i="7"/>
  <c r="Q1922" i="7"/>
  <c r="I1587" i="7"/>
  <c r="I131" i="7"/>
  <c r="K131" i="7" s="1"/>
  <c r="Q148" i="7"/>
  <c r="I152" i="7"/>
  <c r="Q162" i="7"/>
  <c r="I189" i="7"/>
  <c r="K189" i="7" s="1"/>
  <c r="M300" i="7"/>
  <c r="O300" i="7" s="1"/>
  <c r="S300" i="7" s="1"/>
  <c r="Q403" i="7"/>
  <c r="Q714" i="7"/>
  <c r="I721" i="7"/>
  <c r="Q721" i="7" s="1"/>
  <c r="Q753" i="7"/>
  <c r="I763" i="7"/>
  <c r="Q763" i="7" s="1"/>
  <c r="M783" i="7"/>
  <c r="Q828" i="7"/>
  <c r="Q842" i="7"/>
  <c r="I859" i="7"/>
  <c r="K859" i="7" s="1"/>
  <c r="S859" i="7" s="1"/>
  <c r="Q1114" i="7"/>
  <c r="Q1259" i="7"/>
  <c r="Q1273" i="7"/>
  <c r="I1285" i="7"/>
  <c r="I1302" i="7"/>
  <c r="Q1305" i="7"/>
  <c r="Q1404" i="7"/>
  <c r="Q1411" i="7"/>
  <c r="Q1420" i="7"/>
  <c r="I1762" i="7"/>
  <c r="Q1762" i="7" s="1"/>
  <c r="I1836" i="7"/>
  <c r="I1833" i="7" s="1"/>
  <c r="K1833" i="7" s="1"/>
  <c r="M1984" i="7"/>
  <c r="M1285" i="7"/>
  <c r="O1285" i="7" s="1"/>
  <c r="I1341" i="7"/>
  <c r="K1341" i="7" s="1"/>
  <c r="Q1514" i="7"/>
  <c r="I1518" i="7"/>
  <c r="K1518" i="7" s="1"/>
  <c r="I1604" i="7"/>
  <c r="K1604" i="7" s="1"/>
  <c r="S1604" i="7" s="1"/>
  <c r="M1737" i="7"/>
  <c r="Q1925" i="7"/>
  <c r="I128" i="7"/>
  <c r="K128" i="7" s="1"/>
  <c r="Q135" i="7"/>
  <c r="Q138" i="7"/>
  <c r="I141" i="7"/>
  <c r="K141" i="7" s="1"/>
  <c r="I246" i="7"/>
  <c r="Q377" i="7"/>
  <c r="I486" i="7"/>
  <c r="K486" i="7" s="1"/>
  <c r="S486" i="7" s="1"/>
  <c r="Q502" i="7"/>
  <c r="M662" i="7"/>
  <c r="O662" i="7" s="1"/>
  <c r="M758" i="7"/>
  <c r="O758" i="7" s="1"/>
  <c r="S758" i="7" s="1"/>
  <c r="I777" i="7"/>
  <c r="K777" i="7" s="1"/>
  <c r="S777" i="7" s="1"/>
  <c r="I812" i="7"/>
  <c r="M847" i="7"/>
  <c r="O847" i="7" s="1"/>
  <c r="S847" i="7" s="1"/>
  <c r="I970" i="7"/>
  <c r="K970" i="7" s="1"/>
  <c r="M998" i="7"/>
  <c r="O998" i="7" s="1"/>
  <c r="S998" i="7" s="1"/>
  <c r="I1025" i="7"/>
  <c r="K1025" i="7" s="1"/>
  <c r="M1061" i="7"/>
  <c r="O1061" i="7" s="1"/>
  <c r="S1061" i="7" s="1"/>
  <c r="Q1137" i="7"/>
  <c r="Q1161" i="7"/>
  <c r="Q1188" i="7"/>
  <c r="I1535" i="7"/>
  <c r="K1535" i="7" s="1"/>
  <c r="S1535" i="7" s="1"/>
  <c r="I1567" i="7"/>
  <c r="K1567" i="7" s="1"/>
  <c r="S1567" i="7" s="1"/>
  <c r="I1732" i="7"/>
  <c r="K1732" i="7" s="1"/>
  <c r="S1732" i="7" s="1"/>
  <c r="I1734" i="7"/>
  <c r="K1734" i="7" s="1"/>
  <c r="Q1816" i="7"/>
  <c r="Q1843" i="7"/>
  <c r="I1864" i="7"/>
  <c r="I1893" i="7"/>
  <c r="Q1919" i="7"/>
  <c r="Q1986" i="7"/>
  <c r="M1989" i="7"/>
  <c r="I95" i="7"/>
  <c r="M186" i="7"/>
  <c r="Q292" i="7"/>
  <c r="I295" i="7"/>
  <c r="K295" i="7" s="1"/>
  <c r="S295" i="7" s="1"/>
  <c r="M429" i="7"/>
  <c r="M703" i="7"/>
  <c r="O703" i="7" s="1"/>
  <c r="S703" i="7" s="1"/>
  <c r="I825" i="7"/>
  <c r="K825" i="7" s="1"/>
  <c r="M1256" i="7"/>
  <c r="M1270" i="7"/>
  <c r="I368" i="7"/>
  <c r="I365" i="7" s="1"/>
  <c r="K365" i="7" s="1"/>
  <c r="I490" i="7"/>
  <c r="K490" i="7" s="1"/>
  <c r="S490" i="7" s="1"/>
  <c r="I665" i="7"/>
  <c r="Q786" i="7"/>
  <c r="Q932" i="7"/>
  <c r="Q1014" i="7"/>
  <c r="I1066" i="7"/>
  <c r="Q1099" i="7"/>
  <c r="Q1106" i="7"/>
  <c r="Q1119" i="7"/>
  <c r="Q1130" i="7"/>
  <c r="Q1230" i="7"/>
  <c r="Q1303" i="7"/>
  <c r="M1401" i="7"/>
  <c r="O1401" i="7" s="1"/>
  <c r="I1439" i="7"/>
  <c r="Q1654" i="7"/>
  <c r="Q1725" i="7"/>
  <c r="I1823" i="7"/>
  <c r="I1819" i="7" s="1"/>
  <c r="K1819" i="7" s="1"/>
  <c r="S1819" i="7" s="1"/>
  <c r="M1915" i="7"/>
  <c r="I1924" i="7"/>
  <c r="Q1937" i="7"/>
  <c r="I1933" i="7"/>
  <c r="K1933" i="7" s="1"/>
  <c r="S1933" i="7" s="1"/>
  <c r="I1909" i="7"/>
  <c r="K1909" i="7" s="1"/>
  <c r="I1848" i="7"/>
  <c r="K1848" i="7" s="1"/>
  <c r="S1848" i="7" s="1"/>
  <c r="M1734" i="7"/>
  <c r="O1734" i="7" s="1"/>
  <c r="M1699" i="7"/>
  <c r="O1699" i="7" s="1"/>
  <c r="S1699" i="7" s="1"/>
  <c r="M1744" i="7"/>
  <c r="Q1642" i="7"/>
  <c r="I1640" i="7"/>
  <c r="K1640" i="7" s="1"/>
  <c r="S1640" i="7" s="1"/>
  <c r="I1657" i="7"/>
  <c r="K1657" i="7" s="1"/>
  <c r="S1657" i="7" s="1"/>
  <c r="I1530" i="7"/>
  <c r="M1552" i="7"/>
  <c r="O1552" i="7" s="1"/>
  <c r="S1552" i="7" s="1"/>
  <c r="Q732" i="7"/>
  <c r="I730" i="7"/>
  <c r="K730" i="7" s="1"/>
  <c r="S730" i="7" s="1"/>
  <c r="Q697" i="7"/>
  <c r="I695" i="7"/>
  <c r="K695" i="7" s="1"/>
  <c r="S695" i="7" s="1"/>
  <c r="Q798" i="7"/>
  <c r="M788" i="7"/>
  <c r="O788" i="7" s="1"/>
  <c r="Q687" i="7"/>
  <c r="I685" i="7"/>
  <c r="K685" i="7" s="1"/>
  <c r="Q746" i="7"/>
  <c r="M745" i="7"/>
  <c r="O745" i="7" s="1"/>
  <c r="S745" i="7" s="1"/>
  <c r="Q771" i="7"/>
  <c r="M770" i="7"/>
  <c r="O770" i="7" s="1"/>
  <c r="S770" i="7" s="1"/>
  <c r="Q915" i="7"/>
  <c r="M914" i="7"/>
  <c r="O914" i="7" s="1"/>
  <c r="S914" i="7" s="1"/>
  <c r="Q835" i="7"/>
  <c r="M834" i="7"/>
  <c r="O834" i="7" s="1"/>
  <c r="S834" i="7" s="1"/>
  <c r="Q923" i="7"/>
  <c r="I920" i="7"/>
  <c r="M1324" i="7"/>
  <c r="M1341" i="7"/>
  <c r="O1341" i="7" s="1"/>
  <c r="I1401" i="7"/>
  <c r="Q830" i="7"/>
  <c r="I868" i="7"/>
  <c r="K868" i="7" s="1"/>
  <c r="I943" i="7"/>
  <c r="K943" i="7" s="1"/>
  <c r="M1103" i="7"/>
  <c r="O1103" i="7" s="1"/>
  <c r="Q1145" i="7"/>
  <c r="Q1158" i="7"/>
  <c r="I1185" i="7"/>
  <c r="I1206" i="7"/>
  <c r="K1206" i="7" s="1"/>
  <c r="Q1244" i="7"/>
  <c r="M1249" i="7"/>
  <c r="Q1266" i="7"/>
  <c r="Q1288" i="7"/>
  <c r="Q1320" i="7"/>
  <c r="M1419" i="7"/>
  <c r="O1419" i="7" s="1"/>
  <c r="Q1422" i="7"/>
  <c r="M1424" i="7"/>
  <c r="Q982" i="7"/>
  <c r="Q1039" i="7"/>
  <c r="M1025" i="7"/>
  <c r="I1178" i="7"/>
  <c r="K1178" i="7" s="1"/>
  <c r="S1178" i="7" s="1"/>
  <c r="Q880" i="7"/>
  <c r="M868" i="7"/>
  <c r="O868" i="7" s="1"/>
  <c r="M918" i="7"/>
  <c r="O918" i="7" s="1"/>
  <c r="S918" i="7" s="1"/>
  <c r="I801" i="7"/>
  <c r="M1001" i="7"/>
  <c r="Q1089" i="7"/>
  <c r="Q1096" i="7"/>
  <c r="Q1134" i="7"/>
  <c r="Q1153" i="7"/>
  <c r="Q1169" i="7"/>
  <c r="Q1241" i="7"/>
  <c r="Q1280" i="7"/>
  <c r="Q1361" i="7"/>
  <c r="M968" i="7"/>
  <c r="O968" i="7" s="1"/>
  <c r="S968" i="7" s="1"/>
  <c r="M515" i="7"/>
  <c r="M541" i="7"/>
  <c r="O541" i="7" s="1"/>
  <c r="S541" i="7" s="1"/>
  <c r="M508" i="7"/>
  <c r="M389" i="7"/>
  <c r="M405" i="7"/>
  <c r="O405" i="7" s="1"/>
  <c r="S405" i="7" s="1"/>
  <c r="M432" i="7"/>
  <c r="I286" i="7"/>
  <c r="K286" i="7" s="1"/>
  <c r="I251" i="7"/>
  <c r="I262" i="7"/>
  <c r="I166" i="7"/>
  <c r="K166" i="7" s="1"/>
  <c r="S166" i="7" s="1"/>
  <c r="I177" i="7"/>
  <c r="K177" i="7" s="1"/>
  <c r="S177" i="7" s="1"/>
  <c r="M199" i="7"/>
  <c r="O199" i="7" s="1"/>
  <c r="S199" i="7" s="1"/>
  <c r="I88" i="7"/>
  <c r="K88" i="7" s="1"/>
  <c r="S88" i="7" s="1"/>
  <c r="I430" i="2"/>
  <c r="I429" i="2" s="1"/>
  <c r="I436" i="2"/>
  <c r="I345" i="2"/>
  <c r="I343" i="2" s="1"/>
  <c r="I342" i="2" s="1"/>
  <c r="I306" i="2"/>
  <c r="I277" i="2"/>
  <c r="I248" i="2"/>
  <c r="I226" i="2"/>
  <c r="I191" i="2"/>
  <c r="I98" i="2"/>
  <c r="I59" i="2"/>
  <c r="I58" i="2" s="1"/>
  <c r="I57" i="2" s="1"/>
  <c r="I35" i="2"/>
  <c r="I25" i="2" s="1"/>
  <c r="I320" i="2"/>
  <c r="I291" i="2"/>
  <c r="I261" i="2"/>
  <c r="I184" i="2"/>
  <c r="I9" i="2"/>
  <c r="I8" i="2" s="1"/>
  <c r="Q706" i="7" l="1"/>
  <c r="H6" i="8"/>
  <c r="J6" i="8" s="1"/>
  <c r="O86" i="7"/>
  <c r="S1234" i="7"/>
  <c r="S203" i="7"/>
  <c r="Q677" i="7"/>
  <c r="O389" i="7"/>
  <c r="S389" i="7" s="1"/>
  <c r="M387" i="7"/>
  <c r="Q416" i="7"/>
  <c r="Q1192" i="7"/>
  <c r="B534" i="7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I341" i="2"/>
  <c r="B878" i="7"/>
  <c r="B879" i="7" s="1"/>
  <c r="B880" i="7" s="1"/>
  <c r="B881" i="7" s="1"/>
  <c r="B399" i="7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S131" i="7"/>
  <c r="S1206" i="7"/>
  <c r="I419" i="7"/>
  <c r="K419" i="7" s="1"/>
  <c r="I1051" i="7"/>
  <c r="K1051" i="7" s="1"/>
  <c r="S1734" i="7"/>
  <c r="Q1990" i="7"/>
  <c r="Q751" i="7"/>
  <c r="Q203" i="7"/>
  <c r="S903" i="7"/>
  <c r="Q594" i="7"/>
  <c r="Q1263" i="7"/>
  <c r="M1629" i="7"/>
  <c r="O1629" i="7" s="1"/>
  <c r="Q399" i="7"/>
  <c r="Q189" i="7"/>
  <c r="I1872" i="7"/>
  <c r="K1872" i="7" s="1"/>
  <c r="S1872" i="7" s="1"/>
  <c r="I736" i="7"/>
  <c r="K736" i="7" s="1"/>
  <c r="M1806" i="7"/>
  <c r="O1806" i="7" s="1"/>
  <c r="S1419" i="7"/>
  <c r="I748" i="7"/>
  <c r="K748" i="7" s="1"/>
  <c r="O380" i="7"/>
  <c r="S380" i="7" s="1"/>
  <c r="S1909" i="7"/>
  <c r="Q1709" i="7"/>
  <c r="Q380" i="7"/>
  <c r="M593" i="7"/>
  <c r="Q593" i="7" s="1"/>
  <c r="Q1399" i="7"/>
  <c r="S1103" i="7"/>
  <c r="I1748" i="7"/>
  <c r="K1748" i="7" s="1"/>
  <c r="Q1934" i="7"/>
  <c r="I408" i="7"/>
  <c r="K408" i="7" s="1"/>
  <c r="Q739" i="7"/>
  <c r="I1984" i="7"/>
  <c r="K1984" i="7" s="1"/>
  <c r="Q134" i="7"/>
  <c r="M294" i="7"/>
  <c r="O294" i="7" s="1"/>
  <c r="Q1877" i="7"/>
  <c r="M1396" i="7"/>
  <c r="O1396" i="7" s="1"/>
  <c r="S1396" i="7" s="1"/>
  <c r="Q1985" i="7"/>
  <c r="M157" i="7"/>
  <c r="Q157" i="7" s="1"/>
  <c r="S1901" i="7"/>
  <c r="I396" i="7"/>
  <c r="K396" i="7" s="1"/>
  <c r="Q1277" i="7"/>
  <c r="Q131" i="7"/>
  <c r="Q1111" i="7"/>
  <c r="M1841" i="7"/>
  <c r="O1841" i="7" s="1"/>
  <c r="I1806" i="7"/>
  <c r="Q160" i="7"/>
  <c r="Q409" i="7"/>
  <c r="S1341" i="7"/>
  <c r="S189" i="7"/>
  <c r="S1111" i="7"/>
  <c r="S1389" i="7"/>
  <c r="S265" i="7"/>
  <c r="S286" i="7"/>
  <c r="S1518" i="7"/>
  <c r="S1114" i="7"/>
  <c r="S135" i="7"/>
  <c r="S1559" i="7"/>
  <c r="S134" i="7"/>
  <c r="Q515" i="7"/>
  <c r="O515" i="7"/>
  <c r="S515" i="7" s="1"/>
  <c r="M1747" i="7"/>
  <c r="O1747" i="7" s="1"/>
  <c r="O1748" i="7"/>
  <c r="Q1893" i="7"/>
  <c r="K1893" i="7"/>
  <c r="S1893" i="7" s="1"/>
  <c r="Q246" i="7"/>
  <c r="K246" i="7"/>
  <c r="S246" i="7" s="1"/>
  <c r="Q1740" i="7"/>
  <c r="K1740" i="7"/>
  <c r="S1740" i="7" s="1"/>
  <c r="M1983" i="7"/>
  <c r="O1984" i="7"/>
  <c r="Q1302" i="7"/>
  <c r="K1302" i="7"/>
  <c r="S1302" i="7" s="1"/>
  <c r="Q1587" i="7"/>
  <c r="K1587" i="7"/>
  <c r="S1587" i="7" s="1"/>
  <c r="Q1541" i="7"/>
  <c r="O1541" i="7"/>
  <c r="S1541" i="7" s="1"/>
  <c r="Q310" i="7"/>
  <c r="K310" i="7"/>
  <c r="Q412" i="7"/>
  <c r="O412" i="7"/>
  <c r="S412" i="7" s="1"/>
  <c r="Q1199" i="7"/>
  <c r="K1199" i="7"/>
  <c r="S1199" i="7" s="1"/>
  <c r="S1674" i="7"/>
  <c r="S1327" i="7"/>
  <c r="Q251" i="7"/>
  <c r="K251" i="7"/>
  <c r="S251" i="7" s="1"/>
  <c r="Q432" i="7"/>
  <c r="O432" i="7"/>
  <c r="S432" i="7" s="1"/>
  <c r="Q1001" i="7"/>
  <c r="O1001" i="7"/>
  <c r="S1001" i="7" s="1"/>
  <c r="Q1150" i="7"/>
  <c r="Q1025" i="7"/>
  <c r="O1025" i="7"/>
  <c r="S1025" i="7" s="1"/>
  <c r="Q1424" i="7"/>
  <c r="O1424" i="7"/>
  <c r="S1424" i="7" s="1"/>
  <c r="S868" i="7"/>
  <c r="Q1324" i="7"/>
  <c r="O1324" i="7"/>
  <c r="S1324" i="7" s="1"/>
  <c r="Q712" i="7"/>
  <c r="I788" i="7"/>
  <c r="K788" i="7" s="1"/>
  <c r="S788" i="7" s="1"/>
  <c r="Q1530" i="7"/>
  <c r="K1530" i="7"/>
  <c r="S1530" i="7" s="1"/>
  <c r="Q1924" i="7"/>
  <c r="K1924" i="7"/>
  <c r="S1924" i="7" s="1"/>
  <c r="Q368" i="7"/>
  <c r="K368" i="7"/>
  <c r="S368" i="7" s="1"/>
  <c r="M174" i="7"/>
  <c r="O174" i="7" s="1"/>
  <c r="O186" i="7"/>
  <c r="S186" i="7" s="1"/>
  <c r="Q1989" i="7"/>
  <c r="O1989" i="7"/>
  <c r="S1989" i="7" s="1"/>
  <c r="Q1864" i="7"/>
  <c r="K1864" i="7"/>
  <c r="S1864" i="7" s="1"/>
  <c r="Q183" i="7"/>
  <c r="S128" i="7"/>
  <c r="M1890" i="7"/>
  <c r="Q1737" i="7"/>
  <c r="O1737" i="7"/>
  <c r="S1737" i="7" s="1"/>
  <c r="Q420" i="7"/>
  <c r="Q1810" i="7"/>
  <c r="Q1285" i="7"/>
  <c r="K1285" i="7"/>
  <c r="S1285" i="7" s="1"/>
  <c r="I760" i="7"/>
  <c r="K760" i="7" s="1"/>
  <c r="K763" i="7"/>
  <c r="S763" i="7" s="1"/>
  <c r="Q152" i="7"/>
  <c r="K152" i="7"/>
  <c r="S152" i="7" s="1"/>
  <c r="Q1559" i="7"/>
  <c r="Q1720" i="7"/>
  <c r="K1720" i="7"/>
  <c r="S1720" i="7" s="1"/>
  <c r="Q1358" i="7"/>
  <c r="K1358" i="7"/>
  <c r="S1358" i="7" s="1"/>
  <c r="Q1319" i="7"/>
  <c r="Q300" i="7"/>
  <c r="K820" i="7"/>
  <c r="S820" i="7" s="1"/>
  <c r="I817" i="7"/>
  <c r="K817" i="7" s="1"/>
  <c r="S817" i="7" s="1"/>
  <c r="M282" i="7"/>
  <c r="O282" i="7" s="1"/>
  <c r="O283" i="7"/>
  <c r="S248" i="7"/>
  <c r="S1127" i="7"/>
  <c r="S1320" i="7"/>
  <c r="Q262" i="7"/>
  <c r="K262" i="7"/>
  <c r="S262" i="7" s="1"/>
  <c r="I662" i="7"/>
  <c r="K662" i="7" s="1"/>
  <c r="S662" i="7" s="1"/>
  <c r="K665" i="7"/>
  <c r="S665" i="7" s="1"/>
  <c r="Q1918" i="7"/>
  <c r="O1918" i="7"/>
  <c r="S1918" i="7" s="1"/>
  <c r="M1905" i="7"/>
  <c r="O1905" i="7" s="1"/>
  <c r="O1906" i="7"/>
  <c r="Q1600" i="7"/>
  <c r="O1600" i="7"/>
  <c r="S1600" i="7" s="1"/>
  <c r="M141" i="7"/>
  <c r="O145" i="7"/>
  <c r="S145" i="7" s="1"/>
  <c r="M499" i="7"/>
  <c r="Q499" i="7" s="1"/>
  <c r="O508" i="7"/>
  <c r="S508" i="7" s="1"/>
  <c r="I1077" i="7"/>
  <c r="K1077" i="7" s="1"/>
  <c r="Q920" i="7"/>
  <c r="K920" i="7"/>
  <c r="S920" i="7" s="1"/>
  <c r="I709" i="7"/>
  <c r="Q791" i="7"/>
  <c r="Q772" i="7"/>
  <c r="I1584" i="7"/>
  <c r="K1584" i="7" s="1"/>
  <c r="S1584" i="7" s="1"/>
  <c r="Q1915" i="7"/>
  <c r="O1915" i="7"/>
  <c r="S1915" i="7" s="1"/>
  <c r="Q1630" i="7"/>
  <c r="K1630" i="7"/>
  <c r="S1630" i="7" s="1"/>
  <c r="Q1270" i="7"/>
  <c r="O1270" i="7"/>
  <c r="S1270" i="7" s="1"/>
  <c r="Q429" i="7"/>
  <c r="O429" i="7"/>
  <c r="S429" i="7" s="1"/>
  <c r="I809" i="7"/>
  <c r="K812" i="7"/>
  <c r="S812" i="7" s="1"/>
  <c r="Q1872" i="7"/>
  <c r="Q1836" i="7"/>
  <c r="K1836" i="7"/>
  <c r="S1836" i="7" s="1"/>
  <c r="Q145" i="7"/>
  <c r="M856" i="7"/>
  <c r="O863" i="7"/>
  <c r="S863" i="7" s="1"/>
  <c r="Q1234" i="7"/>
  <c r="M1832" i="7"/>
  <c r="O1832" i="7" s="1"/>
  <c r="O1833" i="7"/>
  <c r="S1833" i="7" s="1"/>
  <c r="Q1755" i="7"/>
  <c r="O1755" i="7"/>
  <c r="S1755" i="7" s="1"/>
  <c r="Q1631" i="7"/>
  <c r="K1631" i="7"/>
  <c r="S1631" i="7" s="1"/>
  <c r="I273" i="7"/>
  <c r="K272" i="7"/>
  <c r="S272" i="7" s="1"/>
  <c r="Q1086" i="7"/>
  <c r="K1086" i="7"/>
  <c r="S1086" i="7" s="1"/>
  <c r="S147" i="7"/>
  <c r="S1986" i="7"/>
  <c r="Q1741" i="7"/>
  <c r="K1741" i="7"/>
  <c r="S1741" i="7" s="1"/>
  <c r="Q1127" i="7"/>
  <c r="Q1054" i="7"/>
  <c r="K1054" i="7"/>
  <c r="S1054" i="7" s="1"/>
  <c r="S1319" i="7"/>
  <c r="Q801" i="7"/>
  <c r="K801" i="7"/>
  <c r="S801" i="7" s="1"/>
  <c r="Q95" i="7"/>
  <c r="K95" i="7"/>
  <c r="S95" i="7" s="1"/>
  <c r="Q783" i="7"/>
  <c r="O783" i="7"/>
  <c r="S783" i="7" s="1"/>
  <c r="Q804" i="7"/>
  <c r="K804" i="7"/>
  <c r="S804" i="7" s="1"/>
  <c r="Q1696" i="7"/>
  <c r="O1696" i="7"/>
  <c r="S1696" i="7" s="1"/>
  <c r="Q1220" i="7"/>
  <c r="K1220" i="7"/>
  <c r="S1220" i="7" s="1"/>
  <c r="Q1142" i="7"/>
  <c r="O1142" i="7"/>
  <c r="S1142" i="7" s="1"/>
  <c r="M411" i="7"/>
  <c r="O411" i="7" s="1"/>
  <c r="S411" i="7" s="1"/>
  <c r="Q1185" i="7"/>
  <c r="K1185" i="7"/>
  <c r="S1185" i="7" s="1"/>
  <c r="I92" i="7"/>
  <c r="K92" i="7" s="1"/>
  <c r="S92" i="7" s="1"/>
  <c r="Q1249" i="7"/>
  <c r="O1249" i="7"/>
  <c r="S1249" i="7" s="1"/>
  <c r="Q1401" i="7"/>
  <c r="K1401" i="7"/>
  <c r="S1401" i="7" s="1"/>
  <c r="M769" i="7"/>
  <c r="M1594" i="7"/>
  <c r="O1594" i="7" s="1"/>
  <c r="S1594" i="7" s="1"/>
  <c r="Q1674" i="7"/>
  <c r="Q1744" i="7"/>
  <c r="O1744" i="7"/>
  <c r="S1744" i="7" s="1"/>
  <c r="Q1751" i="7"/>
  <c r="Q1823" i="7"/>
  <c r="K1823" i="7"/>
  <c r="S1823" i="7" s="1"/>
  <c r="I1436" i="7"/>
  <c r="K1439" i="7"/>
  <c r="S1439" i="7" s="1"/>
  <c r="S1436" i="7" s="1"/>
  <c r="Q1066" i="7"/>
  <c r="K1066" i="7"/>
  <c r="S1066" i="7" s="1"/>
  <c r="Q1256" i="7"/>
  <c r="O1256" i="7"/>
  <c r="S1256" i="7" s="1"/>
  <c r="I1556" i="7"/>
  <c r="K1556" i="7" s="1"/>
  <c r="S1556" i="7" s="1"/>
  <c r="I1983" i="7"/>
  <c r="Q1901" i="7"/>
  <c r="I1759" i="7"/>
  <c r="I1758" i="7" s="1"/>
  <c r="K1762" i="7"/>
  <c r="S1762" i="7" s="1"/>
  <c r="I718" i="7"/>
  <c r="K721" i="7"/>
  <c r="S721" i="7" s="1"/>
  <c r="Q265" i="7"/>
  <c r="Q1664" i="7"/>
  <c r="Q1227" i="7"/>
  <c r="K1227" i="7"/>
  <c r="S1227" i="7" s="1"/>
  <c r="Q1574" i="7"/>
  <c r="K1574" i="7"/>
  <c r="S1574" i="7" s="1"/>
  <c r="Q147" i="7"/>
  <c r="O310" i="7"/>
  <c r="M309" i="7"/>
  <c r="S1985" i="7"/>
  <c r="S1984" i="7" s="1"/>
  <c r="S1675" i="7"/>
  <c r="Q1166" i="7"/>
  <c r="K1166" i="7"/>
  <c r="S1166" i="7" s="1"/>
  <c r="S685" i="7"/>
  <c r="S1277" i="7"/>
  <c r="I837" i="7"/>
  <c r="K837" i="7" s="1"/>
  <c r="K840" i="7"/>
  <c r="S840" i="7" s="1"/>
  <c r="Q1570" i="7"/>
  <c r="O1570" i="7"/>
  <c r="S1570" i="7" s="1"/>
  <c r="Q859" i="7"/>
  <c r="I856" i="7"/>
  <c r="K856" i="7" s="1"/>
  <c r="Q665" i="7"/>
  <c r="M774" i="7"/>
  <c r="O774" i="7" s="1"/>
  <c r="I1706" i="7"/>
  <c r="Q1706" i="7" s="1"/>
  <c r="I309" i="7"/>
  <c r="M1534" i="7"/>
  <c r="O1534" i="7" s="1"/>
  <c r="Q186" i="7"/>
  <c r="M994" i="7"/>
  <c r="O994" i="7" s="1"/>
  <c r="S994" i="7" s="1"/>
  <c r="Q998" i="7"/>
  <c r="Q777" i="7"/>
  <c r="I774" i="7"/>
  <c r="K774" i="7" s="1"/>
  <c r="M690" i="7"/>
  <c r="O690" i="7" s="1"/>
  <c r="Q703" i="7"/>
  <c r="Q295" i="7"/>
  <c r="I294" i="7"/>
  <c r="Q1567" i="7"/>
  <c r="I1566" i="7"/>
  <c r="M365" i="7"/>
  <c r="Q379" i="7"/>
  <c r="Q490" i="7"/>
  <c r="I489" i="7"/>
  <c r="K489" i="7" s="1"/>
  <c r="S489" i="7" s="1"/>
  <c r="Q1732" i="7"/>
  <c r="I1731" i="7"/>
  <c r="K1731" i="7" s="1"/>
  <c r="S1731" i="7" s="1"/>
  <c r="M1051" i="7"/>
  <c r="O1051" i="7" s="1"/>
  <c r="Q1061" i="7"/>
  <c r="M837" i="7"/>
  <c r="Q847" i="7"/>
  <c r="I485" i="7"/>
  <c r="Q486" i="7"/>
  <c r="Q141" i="7"/>
  <c r="I130" i="7"/>
  <c r="Q1604" i="7"/>
  <c r="I1593" i="7"/>
  <c r="K1593" i="7" s="1"/>
  <c r="Q1518" i="7"/>
  <c r="I1517" i="7"/>
  <c r="I1184" i="7"/>
  <c r="K1184" i="7" s="1"/>
  <c r="I1890" i="7"/>
  <c r="Q812" i="7"/>
  <c r="I1861" i="7"/>
  <c r="K1861" i="7" s="1"/>
  <c r="S1861" i="7" s="1"/>
  <c r="Q1535" i="7"/>
  <c r="I1534" i="7"/>
  <c r="K1534" i="7" s="1"/>
  <c r="M757" i="7"/>
  <c r="O757" i="7" s="1"/>
  <c r="S757" i="7" s="1"/>
  <c r="Q758" i="7"/>
  <c r="Q128" i="7"/>
  <c r="I127" i="7"/>
  <c r="M1184" i="7"/>
  <c r="M419" i="7"/>
  <c r="Q1439" i="7"/>
  <c r="Q1436" i="7" s="1"/>
  <c r="Q1341" i="7"/>
  <c r="Q1819" i="7"/>
  <c r="I1818" i="7"/>
  <c r="Q1933" i="7"/>
  <c r="Q1848" i="7"/>
  <c r="I1842" i="7"/>
  <c r="Q1909" i="7"/>
  <c r="I1906" i="7"/>
  <c r="K1906" i="7" s="1"/>
  <c r="Q1833" i="7"/>
  <c r="I1832" i="7"/>
  <c r="I1747" i="7"/>
  <c r="K1747" i="7" s="1"/>
  <c r="M1730" i="7"/>
  <c r="O1730" i="7" s="1"/>
  <c r="Q1734" i="7"/>
  <c r="Q1699" i="7"/>
  <c r="M1688" i="7"/>
  <c r="O1688" i="7" s="1"/>
  <c r="I1655" i="7"/>
  <c r="K1655" i="7" s="1"/>
  <c r="S1655" i="7" s="1"/>
  <c r="Q1657" i="7"/>
  <c r="I1639" i="7"/>
  <c r="Q1640" i="7"/>
  <c r="Q1594" i="7"/>
  <c r="M1593" i="7"/>
  <c r="O1593" i="7" s="1"/>
  <c r="Q1552" i="7"/>
  <c r="M1548" i="7"/>
  <c r="O1548" i="7" s="1"/>
  <c r="S1548" i="7" s="1"/>
  <c r="Q968" i="7"/>
  <c r="M967" i="7"/>
  <c r="O967" i="7" s="1"/>
  <c r="S967" i="7" s="1"/>
  <c r="Q918" i="7"/>
  <c r="M917" i="7"/>
  <c r="Q834" i="7"/>
  <c r="M825" i="7"/>
  <c r="Q770" i="7"/>
  <c r="M760" i="7"/>
  <c r="Q745" i="7"/>
  <c r="M736" i="7"/>
  <c r="O736" i="7" s="1"/>
  <c r="I682" i="7"/>
  <c r="K682" i="7" s="1"/>
  <c r="S682" i="7" s="1"/>
  <c r="Q685" i="7"/>
  <c r="Q1419" i="7"/>
  <c r="M1418" i="7"/>
  <c r="O1418" i="7" s="1"/>
  <c r="Q1206" i="7"/>
  <c r="Q868" i="7"/>
  <c r="M1077" i="7"/>
  <c r="Q1103" i="7"/>
  <c r="Q914" i="7"/>
  <c r="M891" i="7"/>
  <c r="I690" i="7"/>
  <c r="K690" i="7" s="1"/>
  <c r="Q695" i="7"/>
  <c r="I727" i="7"/>
  <c r="Q730" i="7"/>
  <c r="I1177" i="7"/>
  <c r="K1177" i="7" s="1"/>
  <c r="Q1178" i="7"/>
  <c r="Q508" i="7"/>
  <c r="M512" i="7"/>
  <c r="O512" i="7" s="1"/>
  <c r="S512" i="7" s="1"/>
  <c r="Q541" i="7"/>
  <c r="Q411" i="7"/>
  <c r="M408" i="7"/>
  <c r="Q389" i="7"/>
  <c r="M386" i="7"/>
  <c r="O386" i="7" s="1"/>
  <c r="S386" i="7" s="1"/>
  <c r="Q405" i="7"/>
  <c r="M396" i="7"/>
  <c r="Q286" i="7"/>
  <c r="I283" i="7"/>
  <c r="K283" i="7" s="1"/>
  <c r="Q166" i="7"/>
  <c r="I163" i="7"/>
  <c r="K163" i="7" s="1"/>
  <c r="S163" i="7" s="1"/>
  <c r="Q177" i="7"/>
  <c r="I174" i="7"/>
  <c r="K174" i="7" s="1"/>
  <c r="Q199" i="7"/>
  <c r="M198" i="7"/>
  <c r="O198" i="7" s="1"/>
  <c r="S198" i="7" s="1"/>
  <c r="Q88" i="7"/>
  <c r="I87" i="7"/>
  <c r="I443" i="2"/>
  <c r="I3" i="8" s="1"/>
  <c r="I170" i="2"/>
  <c r="I24" i="2" s="1"/>
  <c r="I383" i="7" l="1"/>
  <c r="K383" i="7" s="1"/>
  <c r="I415" i="2"/>
  <c r="I442" i="2" s="1"/>
  <c r="F3" i="8" s="1"/>
  <c r="F17" i="8" s="1"/>
  <c r="Q387" i="7"/>
  <c r="O387" i="7"/>
  <c r="S387" i="7" s="1"/>
  <c r="Q1984" i="7"/>
  <c r="B882" i="7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S310" i="7"/>
  <c r="S1906" i="7"/>
  <c r="Q1806" i="7"/>
  <c r="Q1051" i="7"/>
  <c r="S1051" i="7"/>
  <c r="S1748" i="7"/>
  <c r="H13" i="8"/>
  <c r="J13" i="8" s="1"/>
  <c r="O593" i="7"/>
  <c r="S593" i="7" s="1"/>
  <c r="Q788" i="7"/>
  <c r="K1806" i="7"/>
  <c r="S1806" i="7" s="1"/>
  <c r="I1583" i="7"/>
  <c r="K1583" i="7" s="1"/>
  <c r="S1583" i="7" s="1"/>
  <c r="S283" i="7"/>
  <c r="S736" i="7"/>
  <c r="Q1748" i="7"/>
  <c r="I1807" i="7"/>
  <c r="Q1807" i="7" s="1"/>
  <c r="Q662" i="7"/>
  <c r="O157" i="7"/>
  <c r="S157" i="7" s="1"/>
  <c r="S1747" i="7"/>
  <c r="Q1556" i="7"/>
  <c r="M151" i="7"/>
  <c r="O151" i="7" s="1"/>
  <c r="Q1584" i="7"/>
  <c r="Q92" i="7"/>
  <c r="Q1396" i="7"/>
  <c r="Q774" i="7"/>
  <c r="I1545" i="7"/>
  <c r="K1545" i="7" s="1"/>
  <c r="I364" i="7"/>
  <c r="K364" i="7" s="1"/>
  <c r="G9" i="8" s="1"/>
  <c r="M1377" i="7"/>
  <c r="O1377" i="7" s="1"/>
  <c r="S1377" i="7" s="1"/>
  <c r="Q817" i="7"/>
  <c r="S1534" i="7"/>
  <c r="S174" i="7"/>
  <c r="L3" i="8"/>
  <c r="L19" i="8" s="1"/>
  <c r="L35" i="8" s="1"/>
  <c r="I18" i="8"/>
  <c r="Q87" i="7"/>
  <c r="K87" i="7"/>
  <c r="S87" i="7" s="1"/>
  <c r="I444" i="2"/>
  <c r="Q891" i="7"/>
  <c r="O891" i="7"/>
  <c r="S891" i="7" s="1"/>
  <c r="Q760" i="7"/>
  <c r="O760" i="7"/>
  <c r="S760" i="7" s="1"/>
  <c r="Q917" i="7"/>
  <c r="O917" i="7"/>
  <c r="S917" i="7" s="1"/>
  <c r="Q1818" i="7"/>
  <c r="K1818" i="7"/>
  <c r="S1818" i="7" s="1"/>
  <c r="Q419" i="7"/>
  <c r="O419" i="7"/>
  <c r="S419" i="7" s="1"/>
  <c r="Q1890" i="7"/>
  <c r="K1890" i="7"/>
  <c r="Q485" i="7"/>
  <c r="K485" i="7"/>
  <c r="S485" i="7" s="1"/>
  <c r="S690" i="7"/>
  <c r="I1688" i="7"/>
  <c r="K1706" i="7"/>
  <c r="S1706" i="7" s="1"/>
  <c r="O309" i="7"/>
  <c r="M245" i="7"/>
  <c r="O856" i="7"/>
  <c r="S856" i="7" s="1"/>
  <c r="M855" i="7"/>
  <c r="O855" i="7" s="1"/>
  <c r="M1883" i="7"/>
  <c r="O1890" i="7"/>
  <c r="Q396" i="7"/>
  <c r="O396" i="7"/>
  <c r="S396" i="7" s="1"/>
  <c r="Q727" i="7"/>
  <c r="K727" i="7"/>
  <c r="S727" i="7" s="1"/>
  <c r="Q1832" i="7"/>
  <c r="K1832" i="7"/>
  <c r="S1832" i="7" s="1"/>
  <c r="Q1842" i="7"/>
  <c r="K1842" i="7"/>
  <c r="S1842" i="7" s="1"/>
  <c r="O1184" i="7"/>
  <c r="S1184" i="7" s="1"/>
  <c r="Q1517" i="7"/>
  <c r="K1517" i="7"/>
  <c r="S1517" i="7" s="1"/>
  <c r="K130" i="7"/>
  <c r="Q294" i="7"/>
  <c r="K294" i="7"/>
  <c r="S294" i="7" s="1"/>
  <c r="S774" i="7"/>
  <c r="K718" i="7"/>
  <c r="S718" i="7" s="1"/>
  <c r="Q718" i="7"/>
  <c r="O141" i="7"/>
  <c r="S141" i="7" s="1"/>
  <c r="M130" i="7"/>
  <c r="O130" i="7" s="1"/>
  <c r="I86" i="7"/>
  <c r="Q408" i="7"/>
  <c r="O408" i="7"/>
  <c r="S408" i="7" s="1"/>
  <c r="Q825" i="7"/>
  <c r="O825" i="7"/>
  <c r="S825" i="7" s="1"/>
  <c r="Q127" i="7"/>
  <c r="K127" i="7"/>
  <c r="S127" i="7" s="1"/>
  <c r="Q837" i="7"/>
  <c r="O837" i="7"/>
  <c r="S837" i="7" s="1"/>
  <c r="Q365" i="7"/>
  <c r="O365" i="7"/>
  <c r="S365" i="7" s="1"/>
  <c r="I1418" i="7"/>
  <c r="K1418" i="7" s="1"/>
  <c r="S1418" i="7" s="1"/>
  <c r="K1436" i="7"/>
  <c r="Q769" i="7"/>
  <c r="O769" i="7"/>
  <c r="S769" i="7" s="1"/>
  <c r="K273" i="7"/>
  <c r="S273" i="7" s="1"/>
  <c r="Q273" i="7"/>
  <c r="Q809" i="7"/>
  <c r="K809" i="7"/>
  <c r="S809" i="7" s="1"/>
  <c r="Q709" i="7"/>
  <c r="K709" i="7"/>
  <c r="S709" i="7" s="1"/>
  <c r="O1983" i="7"/>
  <c r="H16" i="8"/>
  <c r="J16" i="8" s="1"/>
  <c r="Q1077" i="7"/>
  <c r="O1077" i="7"/>
  <c r="S1077" i="7" s="1"/>
  <c r="Q1639" i="7"/>
  <c r="K1639" i="7"/>
  <c r="S1639" i="7" s="1"/>
  <c r="S1593" i="7"/>
  <c r="Q1566" i="7"/>
  <c r="K1566" i="7"/>
  <c r="S1566" i="7" s="1"/>
  <c r="Q1758" i="7"/>
  <c r="K1758" i="7"/>
  <c r="S1758" i="7" s="1"/>
  <c r="Q309" i="7"/>
  <c r="K309" i="7"/>
  <c r="Q1759" i="7"/>
  <c r="K1759" i="7"/>
  <c r="S1759" i="7" s="1"/>
  <c r="Q1983" i="7"/>
  <c r="E16" i="8"/>
  <c r="K1983" i="7"/>
  <c r="M488" i="7"/>
  <c r="O488" i="7" s="1"/>
  <c r="O499" i="7"/>
  <c r="S499" i="7" s="1"/>
  <c r="I855" i="7"/>
  <c r="K855" i="7" s="1"/>
  <c r="Q856" i="7"/>
  <c r="Q1184" i="7"/>
  <c r="I1883" i="7"/>
  <c r="Q1534" i="7"/>
  <c r="Q757" i="7"/>
  <c r="M748" i="7"/>
  <c r="M676" i="7" s="1"/>
  <c r="O676" i="7" s="1"/>
  <c r="Q994" i="7"/>
  <c r="M970" i="7"/>
  <c r="Q489" i="7"/>
  <c r="I488" i="7"/>
  <c r="K488" i="7" s="1"/>
  <c r="Q690" i="7"/>
  <c r="M1687" i="7"/>
  <c r="Q1861" i="7"/>
  <c r="I1860" i="7"/>
  <c r="K1860" i="7" s="1"/>
  <c r="S1860" i="7" s="1"/>
  <c r="Q1731" i="7"/>
  <c r="I1730" i="7"/>
  <c r="I1905" i="7"/>
  <c r="K1905" i="7" s="1"/>
  <c r="S1905" i="7" s="1"/>
  <c r="Q1906" i="7"/>
  <c r="Q1747" i="7"/>
  <c r="I1629" i="7"/>
  <c r="Q1655" i="7"/>
  <c r="Q1583" i="7"/>
  <c r="Q1593" i="7"/>
  <c r="M1545" i="7"/>
  <c r="O1545" i="7" s="1"/>
  <c r="Q1548" i="7"/>
  <c r="I676" i="7"/>
  <c r="Q682" i="7"/>
  <c r="M943" i="7"/>
  <c r="Q967" i="7"/>
  <c r="Q1418" i="7"/>
  <c r="Q736" i="7"/>
  <c r="M511" i="7"/>
  <c r="O511" i="7" s="1"/>
  <c r="S511" i="7" s="1"/>
  <c r="Q512" i="7"/>
  <c r="Q386" i="7"/>
  <c r="M383" i="7"/>
  <c r="O383" i="7" s="1"/>
  <c r="Q283" i="7"/>
  <c r="I282" i="7"/>
  <c r="K282" i="7" s="1"/>
  <c r="S282" i="7" s="1"/>
  <c r="Q198" i="7"/>
  <c r="M193" i="7"/>
  <c r="O193" i="7" s="1"/>
  <c r="S193" i="7" s="1"/>
  <c r="Q163" i="7"/>
  <c r="I151" i="7"/>
  <c r="Q174" i="7"/>
  <c r="S383" i="7" l="1"/>
  <c r="B933" i="7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S1545" i="7"/>
  <c r="E9" i="8"/>
  <c r="S309" i="7"/>
  <c r="K1807" i="7"/>
  <c r="S1807" i="7" s="1"/>
  <c r="Q1377" i="7"/>
  <c r="I1529" i="7"/>
  <c r="K1529" i="7" s="1"/>
  <c r="M1177" i="7"/>
  <c r="S1890" i="7"/>
  <c r="S130" i="7"/>
  <c r="Q943" i="7"/>
  <c r="O943" i="7"/>
  <c r="S943" i="7" s="1"/>
  <c r="Q1629" i="7"/>
  <c r="E13" i="8"/>
  <c r="K1629" i="7"/>
  <c r="Q1730" i="7"/>
  <c r="K1730" i="7"/>
  <c r="S1730" i="7" s="1"/>
  <c r="H14" i="8"/>
  <c r="J14" i="8" s="1"/>
  <c r="O1687" i="7"/>
  <c r="Q970" i="7"/>
  <c r="O970" i="7"/>
  <c r="S970" i="7" s="1"/>
  <c r="Q130" i="7"/>
  <c r="S855" i="7"/>
  <c r="Q151" i="7"/>
  <c r="K151" i="7"/>
  <c r="S151" i="7" s="1"/>
  <c r="I650" i="7"/>
  <c r="K650" i="7" s="1"/>
  <c r="K676" i="7"/>
  <c r="S676" i="7" s="1"/>
  <c r="Q1883" i="7"/>
  <c r="K1883" i="7"/>
  <c r="G16" i="8"/>
  <c r="M16" i="8" s="1"/>
  <c r="S1983" i="7"/>
  <c r="Q86" i="7"/>
  <c r="E6" i="8"/>
  <c r="K86" i="7"/>
  <c r="Q1688" i="7"/>
  <c r="K1688" i="7"/>
  <c r="S1688" i="7" s="1"/>
  <c r="S488" i="7"/>
  <c r="Q748" i="7"/>
  <c r="O748" i="7"/>
  <c r="S748" i="7" s="1"/>
  <c r="H8" i="8"/>
  <c r="J8" i="8" s="1"/>
  <c r="O245" i="7"/>
  <c r="O1883" i="7"/>
  <c r="M1805" i="7"/>
  <c r="I850" i="7"/>
  <c r="Q855" i="7"/>
  <c r="I126" i="7"/>
  <c r="I1687" i="7"/>
  <c r="M850" i="7"/>
  <c r="I484" i="7"/>
  <c r="Q488" i="7"/>
  <c r="I1841" i="7"/>
  <c r="I1805" i="7" s="1"/>
  <c r="Q1860" i="7"/>
  <c r="Q1905" i="7"/>
  <c r="Q1545" i="7"/>
  <c r="M1529" i="7"/>
  <c r="Q676" i="7"/>
  <c r="M650" i="7"/>
  <c r="M484" i="7"/>
  <c r="Q511" i="7"/>
  <c r="M364" i="7"/>
  <c r="Q383" i="7"/>
  <c r="Q282" i="7"/>
  <c r="I245" i="7"/>
  <c r="M126" i="7"/>
  <c r="Q193" i="7"/>
  <c r="M649" i="7" l="1"/>
  <c r="O649" i="7" s="1"/>
  <c r="B955" i="7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I1513" i="7"/>
  <c r="O1177" i="7"/>
  <c r="S1177" i="7" s="1"/>
  <c r="Q1177" i="7"/>
  <c r="H7" i="8"/>
  <c r="J7" i="8" s="1"/>
  <c r="O126" i="7"/>
  <c r="Q364" i="7"/>
  <c r="H9" i="8"/>
  <c r="J9" i="8" s="1"/>
  <c r="M9" i="8" s="1"/>
  <c r="O364" i="7"/>
  <c r="S364" i="7" s="1"/>
  <c r="Q650" i="7"/>
  <c r="O650" i="7"/>
  <c r="S650" i="7" s="1"/>
  <c r="Q1841" i="7"/>
  <c r="K1841" i="7"/>
  <c r="S1841" i="7" s="1"/>
  <c r="Q1687" i="7"/>
  <c r="E14" i="8"/>
  <c r="K1687" i="7"/>
  <c r="O1805" i="7"/>
  <c r="H15" i="8"/>
  <c r="J15" i="8" s="1"/>
  <c r="G6" i="8"/>
  <c r="M6" i="8" s="1"/>
  <c r="S86" i="7"/>
  <c r="E7" i="8"/>
  <c r="K126" i="7"/>
  <c r="S1883" i="7"/>
  <c r="Q245" i="7"/>
  <c r="E8" i="8"/>
  <c r="K245" i="7"/>
  <c r="Q1805" i="7"/>
  <c r="E15" i="8"/>
  <c r="K1805" i="7"/>
  <c r="Q484" i="7"/>
  <c r="H10" i="8"/>
  <c r="J10" i="8" s="1"/>
  <c r="O484" i="7"/>
  <c r="E12" i="8"/>
  <c r="K1513" i="7"/>
  <c r="E10" i="8"/>
  <c r="K484" i="7"/>
  <c r="M1513" i="7"/>
  <c r="Q1513" i="7" s="1"/>
  <c r="O1529" i="7"/>
  <c r="S1529" i="7" s="1"/>
  <c r="Q850" i="7"/>
  <c r="O850" i="7"/>
  <c r="I649" i="7"/>
  <c r="K850" i="7"/>
  <c r="G13" i="8"/>
  <c r="M13" i="8" s="1"/>
  <c r="S1629" i="7"/>
  <c r="Q126" i="7"/>
  <c r="Q1529" i="7"/>
  <c r="Q649" i="7" l="1"/>
  <c r="H11" i="8"/>
  <c r="J11" i="8" s="1"/>
  <c r="B991" i="7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S850" i="7"/>
  <c r="G12" i="8"/>
  <c r="G8" i="8"/>
  <c r="M8" i="8" s="1"/>
  <c r="S245" i="7"/>
  <c r="G14" i="8"/>
  <c r="M14" i="8" s="1"/>
  <c r="S1687" i="7"/>
  <c r="G15" i="8"/>
  <c r="M15" i="8" s="1"/>
  <c r="S1805" i="7"/>
  <c r="G7" i="8"/>
  <c r="M7" i="8" s="1"/>
  <c r="S126" i="7"/>
  <c r="E11" i="8"/>
  <c r="K649" i="7"/>
  <c r="G11" i="8" s="1"/>
  <c r="M11" i="8" s="1"/>
  <c r="O1513" i="7"/>
  <c r="S1513" i="7" s="1"/>
  <c r="H12" i="8"/>
  <c r="J12" i="8" s="1"/>
  <c r="G10" i="8"/>
  <c r="M10" i="8" s="1"/>
  <c r="S484" i="7"/>
  <c r="M60" i="7"/>
  <c r="O60" i="7" s="1"/>
  <c r="S60" i="7" s="1"/>
  <c r="M63" i="7"/>
  <c r="O63" i="7" s="1"/>
  <c r="S63" i="7" s="1"/>
  <c r="H427" i="2"/>
  <c r="J427" i="2" s="1"/>
  <c r="H12" i="2"/>
  <c r="J12" i="2" s="1"/>
  <c r="K28" i="8"/>
  <c r="M28" i="8" s="1"/>
  <c r="B1171" i="7" l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M12" i="8"/>
  <c r="S649" i="7"/>
  <c r="K27" i="8"/>
  <c r="M27" i="8" s="1"/>
  <c r="K24" i="8"/>
  <c r="M24" i="8" s="1"/>
  <c r="K23" i="8"/>
  <c r="M23" i="8" s="1"/>
  <c r="M59" i="7"/>
  <c r="O59" i="7" s="1"/>
  <c r="S59" i="7" s="1"/>
  <c r="M57" i="7"/>
  <c r="O57" i="7" s="1"/>
  <c r="S57" i="7" s="1"/>
  <c r="H52" i="2"/>
  <c r="J52" i="2" s="1"/>
  <c r="H51" i="2"/>
  <c r="J51" i="2" s="1"/>
  <c r="M61" i="7" l="1"/>
  <c r="O61" i="7" s="1"/>
  <c r="S61" i="7" s="1"/>
  <c r="M62" i="7"/>
  <c r="O62" i="7" s="1"/>
  <c r="S62" i="7" s="1"/>
  <c r="I73" i="7"/>
  <c r="K73" i="7" s="1"/>
  <c r="S73" i="7" s="1"/>
  <c r="I69" i="7"/>
  <c r="K69" i="7" s="1"/>
  <c r="S69" i="7" s="1"/>
  <c r="H354" i="2"/>
  <c r="H347" i="2"/>
  <c r="H224" i="2"/>
  <c r="H214" i="2"/>
  <c r="J214" i="2" s="1"/>
  <c r="H190" i="2"/>
  <c r="J190" i="2" s="1"/>
  <c r="H64" i="2"/>
  <c r="J64" i="2" s="1"/>
  <c r="H49" i="2"/>
  <c r="J49" i="2" s="1"/>
  <c r="H223" i="2" l="1"/>
  <c r="J223" i="2" s="1"/>
  <c r="J224" i="2"/>
  <c r="H351" i="2"/>
  <c r="J351" i="2" s="1"/>
  <c r="J354" i="2"/>
  <c r="H346" i="2"/>
  <c r="J346" i="2" s="1"/>
  <c r="J347" i="2"/>
  <c r="Q35" i="7" l="1"/>
  <c r="I36" i="7"/>
  <c r="K36" i="7" s="1"/>
  <c r="S36" i="7" s="1"/>
  <c r="I38" i="7"/>
  <c r="K38" i="7" s="1"/>
  <c r="S38" i="7" s="1"/>
  <c r="I53" i="7"/>
  <c r="K53" i="7" s="1"/>
  <c r="S53" i="7" s="1"/>
  <c r="M42" i="7" l="1"/>
  <c r="M34" i="7"/>
  <c r="O34" i="7" s="1"/>
  <c r="M29" i="7"/>
  <c r="I29" i="7"/>
  <c r="H245" i="2"/>
  <c r="H41" i="2"/>
  <c r="J41" i="2" s="1"/>
  <c r="C23" i="8"/>
  <c r="C24" i="8" s="1"/>
  <c r="K30" i="8"/>
  <c r="H426" i="2"/>
  <c r="J426" i="2" s="1"/>
  <c r="H21" i="2"/>
  <c r="H37" i="2"/>
  <c r="M44" i="7"/>
  <c r="Q46" i="7"/>
  <c r="I70" i="7"/>
  <c r="H48" i="2"/>
  <c r="J48" i="2" s="1"/>
  <c r="K26" i="8"/>
  <c r="M58" i="7"/>
  <c r="O58" i="7" s="1"/>
  <c r="S58" i="7" s="1"/>
  <c r="M56" i="7"/>
  <c r="H73" i="2"/>
  <c r="H60" i="2"/>
  <c r="J60" i="2" s="1"/>
  <c r="H31" i="2"/>
  <c r="H282" i="2"/>
  <c r="H289" i="2"/>
  <c r="H275" i="2"/>
  <c r="H259" i="2"/>
  <c r="H238" i="2"/>
  <c r="H231" i="2"/>
  <c r="H193" i="2"/>
  <c r="H196" i="2"/>
  <c r="H186" i="2"/>
  <c r="H189" i="2"/>
  <c r="H176" i="2"/>
  <c r="H172" i="2"/>
  <c r="H168" i="2"/>
  <c r="H144" i="2"/>
  <c r="H164" i="2"/>
  <c r="H156" i="2"/>
  <c r="H152" i="2"/>
  <c r="H148" i="2"/>
  <c r="H139" i="2"/>
  <c r="H135" i="2"/>
  <c r="H131" i="2"/>
  <c r="H127" i="2"/>
  <c r="H123" i="2"/>
  <c r="H119" i="2"/>
  <c r="H115" i="2"/>
  <c r="H111" i="2"/>
  <c r="H107" i="2"/>
  <c r="H103" i="2"/>
  <c r="H100" i="2"/>
  <c r="Q40" i="7"/>
  <c r="Q39" i="7"/>
  <c r="Q57" i="7"/>
  <c r="Q59" i="7"/>
  <c r="Q60" i="7"/>
  <c r="Q61" i="7"/>
  <c r="Q62" i="7"/>
  <c r="Q63" i="7"/>
  <c r="Q64" i="7"/>
  <c r="Q45" i="7"/>
  <c r="Q43" i="7"/>
  <c r="I33" i="7"/>
  <c r="M70" i="7"/>
  <c r="M49" i="7"/>
  <c r="I49" i="7"/>
  <c r="K49" i="7" s="1"/>
  <c r="Q54" i="7"/>
  <c r="M74" i="7"/>
  <c r="O74" i="7" s="1"/>
  <c r="M25" i="7"/>
  <c r="M20" i="7"/>
  <c r="M17" i="7"/>
  <c r="M10" i="7"/>
  <c r="I74" i="7"/>
  <c r="K74" i="7" s="1"/>
  <c r="I55" i="7"/>
  <c r="K55" i="7" s="1"/>
  <c r="I41" i="7"/>
  <c r="K41" i="7" s="1"/>
  <c r="I25" i="7"/>
  <c r="I20" i="7"/>
  <c r="I17" i="7"/>
  <c r="I10" i="7"/>
  <c r="B422" i="2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H256" i="2"/>
  <c r="H253" i="2"/>
  <c r="H250" i="2"/>
  <c r="H242" i="2"/>
  <c r="H235" i="2"/>
  <c r="H228" i="2"/>
  <c r="H221" i="2"/>
  <c r="H217" i="2"/>
  <c r="H213" i="2"/>
  <c r="H209" i="2"/>
  <c r="H205" i="2"/>
  <c r="H201" i="2"/>
  <c r="H182" i="2"/>
  <c r="H160" i="2"/>
  <c r="H266" i="2"/>
  <c r="H279" i="2"/>
  <c r="H286" i="2"/>
  <c r="H293" i="2"/>
  <c r="H296" i="2"/>
  <c r="H301" i="2"/>
  <c r="H304" i="2"/>
  <c r="H308" i="2"/>
  <c r="H311" i="2"/>
  <c r="H315" i="2"/>
  <c r="H322" i="2"/>
  <c r="H325" i="2"/>
  <c r="H332" i="2"/>
  <c r="H373" i="2"/>
  <c r="H394" i="2"/>
  <c r="H399" i="2"/>
  <c r="H405" i="2"/>
  <c r="H412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Q75" i="7"/>
  <c r="Q72" i="7"/>
  <c r="Q71" i="7"/>
  <c r="Q69" i="7"/>
  <c r="Q52" i="7"/>
  <c r="Q51" i="7"/>
  <c r="Q50" i="7"/>
  <c r="Q36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H434" i="2"/>
  <c r="H431" i="2"/>
  <c r="J431" i="2" s="1"/>
  <c r="H424" i="2"/>
  <c r="J424" i="2" s="1"/>
  <c r="H339" i="2"/>
  <c r="H329" i="2"/>
  <c r="H318" i="2"/>
  <c r="H272" i="2"/>
  <c r="H96" i="2"/>
  <c r="H55" i="2"/>
  <c r="H46" i="2"/>
  <c r="H43" i="2"/>
  <c r="J43" i="2" s="1"/>
  <c r="H39" i="2"/>
  <c r="J39" i="2" s="1"/>
  <c r="H11" i="2"/>
  <c r="Q76" i="7"/>
  <c r="H380" i="2"/>
  <c r="H263" i="2"/>
  <c r="H336" i="2"/>
  <c r="H387" i="2"/>
  <c r="H345" i="2"/>
  <c r="J345" i="2" s="1"/>
  <c r="Q53" i="7"/>
  <c r="I37" i="7"/>
  <c r="K37" i="7" s="1"/>
  <c r="S37" i="7" s="1"/>
  <c r="Q38" i="7"/>
  <c r="S74" i="7" l="1"/>
  <c r="I19" i="7"/>
  <c r="K19" i="7" s="1"/>
  <c r="K20" i="7"/>
  <c r="M24" i="7"/>
  <c r="O25" i="7"/>
  <c r="M48" i="7"/>
  <c r="O49" i="7"/>
  <c r="S49" i="7" s="1"/>
  <c r="Q44" i="7"/>
  <c r="O44" i="7"/>
  <c r="S44" i="7" s="1"/>
  <c r="I27" i="7"/>
  <c r="K27" i="7" s="1"/>
  <c r="K29" i="7"/>
  <c r="I24" i="7"/>
  <c r="K25" i="7"/>
  <c r="S25" i="7" s="1"/>
  <c r="M9" i="7"/>
  <c r="O9" i="7" s="1"/>
  <c r="O10" i="7"/>
  <c r="M68" i="7"/>
  <c r="Q68" i="7" s="1"/>
  <c r="O70" i="7"/>
  <c r="M27" i="7"/>
  <c r="O27" i="7" s="1"/>
  <c r="S27" i="7" s="1"/>
  <c r="O29" i="7"/>
  <c r="H433" i="2"/>
  <c r="J433" i="2" s="1"/>
  <c r="J434" i="2"/>
  <c r="I9" i="7"/>
  <c r="K9" i="7" s="1"/>
  <c r="S9" i="7" s="1"/>
  <c r="K10" i="7"/>
  <c r="M16" i="7"/>
  <c r="O16" i="7" s="1"/>
  <c r="O17" i="7"/>
  <c r="Q33" i="7"/>
  <c r="K33" i="7"/>
  <c r="S33" i="7" s="1"/>
  <c r="Q56" i="7"/>
  <c r="O56" i="7"/>
  <c r="S56" i="7" s="1"/>
  <c r="I68" i="7"/>
  <c r="K68" i="7" s="1"/>
  <c r="K70" i="7"/>
  <c r="I16" i="7"/>
  <c r="K16" i="7" s="1"/>
  <c r="K17" i="7"/>
  <c r="M19" i="7"/>
  <c r="O19" i="7" s="1"/>
  <c r="S19" i="7" s="1"/>
  <c r="O20" i="7"/>
  <c r="Q42" i="7"/>
  <c r="O42" i="7"/>
  <c r="S42" i="7" s="1"/>
  <c r="K22" i="8"/>
  <c r="M26" i="8"/>
  <c r="M22" i="8" s="1"/>
  <c r="K29" i="8"/>
  <c r="M30" i="8"/>
  <c r="M29" i="8" s="1"/>
  <c r="H110" i="2"/>
  <c r="J111" i="2"/>
  <c r="H147" i="2"/>
  <c r="J148" i="2"/>
  <c r="H188" i="2"/>
  <c r="J188" i="2" s="1"/>
  <c r="J189" i="2"/>
  <c r="H230" i="2"/>
  <c r="J230" i="2" s="1"/>
  <c r="J231" i="2"/>
  <c r="H288" i="2"/>
  <c r="J288" i="2" s="1"/>
  <c r="J289" i="2"/>
  <c r="H379" i="2"/>
  <c r="J380" i="2"/>
  <c r="H13" i="2"/>
  <c r="J13" i="2" s="1"/>
  <c r="J14" i="2"/>
  <c r="H321" i="2"/>
  <c r="J321" i="2" s="1"/>
  <c r="J322" i="2"/>
  <c r="H285" i="2"/>
  <c r="J285" i="2" s="1"/>
  <c r="J286" i="2"/>
  <c r="H212" i="2"/>
  <c r="J213" i="2"/>
  <c r="H234" i="2"/>
  <c r="J234" i="2" s="1"/>
  <c r="J235" i="2"/>
  <c r="H106" i="2"/>
  <c r="J107" i="2"/>
  <c r="H122" i="2"/>
  <c r="J123" i="2"/>
  <c r="H138" i="2"/>
  <c r="J139" i="2"/>
  <c r="H163" i="2"/>
  <c r="J164" i="2"/>
  <c r="H398" i="2"/>
  <c r="J399" i="2"/>
  <c r="H324" i="2"/>
  <c r="J324" i="2" s="1"/>
  <c r="J325" i="2"/>
  <c r="H307" i="2"/>
  <c r="J307" i="2" s="1"/>
  <c r="J308" i="2"/>
  <c r="H292" i="2"/>
  <c r="J292" i="2" s="1"/>
  <c r="J293" i="2"/>
  <c r="H159" i="2"/>
  <c r="J160" i="2"/>
  <c r="H208" i="2"/>
  <c r="J209" i="2"/>
  <c r="H227" i="2"/>
  <c r="J227" i="2" s="1"/>
  <c r="J228" i="2"/>
  <c r="H252" i="2"/>
  <c r="J252" i="2" s="1"/>
  <c r="J253" i="2"/>
  <c r="H102" i="2"/>
  <c r="J102" i="2" s="1"/>
  <c r="J103" i="2"/>
  <c r="H118" i="2"/>
  <c r="J119" i="2"/>
  <c r="H134" i="2"/>
  <c r="J135" i="2"/>
  <c r="H155" i="2"/>
  <c r="J156" i="2"/>
  <c r="H171" i="2"/>
  <c r="J171" i="2" s="1"/>
  <c r="J172" i="2"/>
  <c r="H195" i="2"/>
  <c r="J195" i="2" s="1"/>
  <c r="J196" i="2"/>
  <c r="H258" i="2"/>
  <c r="J258" i="2" s="1"/>
  <c r="J259" i="2"/>
  <c r="H29" i="2"/>
  <c r="J31" i="2"/>
  <c r="H244" i="2"/>
  <c r="J244" i="2" s="1"/>
  <c r="J245" i="2"/>
  <c r="H386" i="2"/>
  <c r="J387" i="2"/>
  <c r="H45" i="2"/>
  <c r="J45" i="2" s="1"/>
  <c r="J46" i="2"/>
  <c r="H317" i="2"/>
  <c r="J317" i="2" s="1"/>
  <c r="J318" i="2"/>
  <c r="H411" i="2"/>
  <c r="J412" i="2"/>
  <c r="H372" i="2"/>
  <c r="J373" i="2"/>
  <c r="H314" i="2"/>
  <c r="J314" i="2" s="1"/>
  <c r="J315" i="2"/>
  <c r="H300" i="2"/>
  <c r="J300" i="2" s="1"/>
  <c r="J301" i="2"/>
  <c r="H278" i="2"/>
  <c r="J278" i="2" s="1"/>
  <c r="J279" i="2"/>
  <c r="H200" i="2"/>
  <c r="J201" i="2"/>
  <c r="H216" i="2"/>
  <c r="J217" i="2"/>
  <c r="H241" i="2"/>
  <c r="J241" i="2" s="1"/>
  <c r="J242" i="2"/>
  <c r="H126" i="2"/>
  <c r="J127" i="2"/>
  <c r="H143" i="2"/>
  <c r="J144" i="2"/>
  <c r="H72" i="2"/>
  <c r="J73" i="2"/>
  <c r="H36" i="2"/>
  <c r="J36" i="2" s="1"/>
  <c r="J37" i="2"/>
  <c r="H271" i="2"/>
  <c r="J271" i="2" s="1"/>
  <c r="J272" i="2"/>
  <c r="H393" i="2"/>
  <c r="J394" i="2"/>
  <c r="H303" i="2"/>
  <c r="J303" i="2" s="1"/>
  <c r="J304" i="2"/>
  <c r="H181" i="2"/>
  <c r="J182" i="2"/>
  <c r="H255" i="2"/>
  <c r="J255" i="2" s="1"/>
  <c r="J256" i="2"/>
  <c r="H175" i="2"/>
  <c r="J176" i="2"/>
  <c r="H192" i="2"/>
  <c r="J192" i="2" s="1"/>
  <c r="J193" i="2"/>
  <c r="H274" i="2"/>
  <c r="J274" i="2" s="1"/>
  <c r="J275" i="2"/>
  <c r="H262" i="2"/>
  <c r="J262" i="2" s="1"/>
  <c r="J263" i="2"/>
  <c r="H95" i="2"/>
  <c r="J96" i="2"/>
  <c r="H338" i="2"/>
  <c r="J338" i="2" s="1"/>
  <c r="J339" i="2"/>
  <c r="H335" i="2"/>
  <c r="J335" i="2" s="1"/>
  <c r="J336" i="2"/>
  <c r="H10" i="2"/>
  <c r="J10" i="2" s="1"/>
  <c r="J11" i="2"/>
  <c r="H54" i="2"/>
  <c r="J55" i="2"/>
  <c r="H328" i="2"/>
  <c r="J328" i="2" s="1"/>
  <c r="J329" i="2"/>
  <c r="H404" i="2"/>
  <c r="J405" i="2"/>
  <c r="H331" i="2"/>
  <c r="J331" i="2" s="1"/>
  <c r="J332" i="2"/>
  <c r="H310" i="2"/>
  <c r="J310" i="2" s="1"/>
  <c r="J311" i="2"/>
  <c r="H295" i="2"/>
  <c r="J295" i="2" s="1"/>
  <c r="J296" i="2"/>
  <c r="H265" i="2"/>
  <c r="J265" i="2" s="1"/>
  <c r="J266" i="2"/>
  <c r="H204" i="2"/>
  <c r="J205" i="2"/>
  <c r="H220" i="2"/>
  <c r="J221" i="2"/>
  <c r="H249" i="2"/>
  <c r="J249" i="2" s="1"/>
  <c r="J250" i="2"/>
  <c r="H99" i="2"/>
  <c r="J99" i="2" s="1"/>
  <c r="J100" i="2"/>
  <c r="H114" i="2"/>
  <c r="J115" i="2"/>
  <c r="H130" i="2"/>
  <c r="J131" i="2"/>
  <c r="H151" i="2"/>
  <c r="J152" i="2"/>
  <c r="H167" i="2"/>
  <c r="J168" i="2"/>
  <c r="H185" i="2"/>
  <c r="J185" i="2" s="1"/>
  <c r="J186" i="2"/>
  <c r="H237" i="2"/>
  <c r="J237" i="2" s="1"/>
  <c r="J238" i="2"/>
  <c r="H281" i="2"/>
  <c r="J281" i="2" s="1"/>
  <c r="J282" i="2"/>
  <c r="H19" i="2"/>
  <c r="J21" i="2"/>
  <c r="C25" i="8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H343" i="2"/>
  <c r="B51" i="2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Q20" i="7"/>
  <c r="I47" i="7"/>
  <c r="K47" i="7" s="1"/>
  <c r="Q19" i="7"/>
  <c r="Q17" i="7"/>
  <c r="I34" i="7"/>
  <c r="H59" i="2"/>
  <c r="B50" i="7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Q25" i="7"/>
  <c r="Q73" i="7"/>
  <c r="Q29" i="7"/>
  <c r="M41" i="7"/>
  <c r="Q9" i="7"/>
  <c r="Q74" i="7"/>
  <c r="Q49" i="7"/>
  <c r="Q70" i="7"/>
  <c r="Q37" i="7"/>
  <c r="Q27" i="7"/>
  <c r="Q58" i="7"/>
  <c r="M55" i="7"/>
  <c r="H423" i="2"/>
  <c r="Q10" i="7"/>
  <c r="H430" i="2" l="1"/>
  <c r="H429" i="2" s="1"/>
  <c r="S20" i="7"/>
  <c r="Q16" i="7"/>
  <c r="Q24" i="7"/>
  <c r="H226" i="2"/>
  <c r="H306" i="2"/>
  <c r="J306" i="2" s="1"/>
  <c r="H291" i="2"/>
  <c r="H261" i="2"/>
  <c r="J261" i="2" s="1"/>
  <c r="H240" i="2"/>
  <c r="H191" i="2"/>
  <c r="J191" i="2" s="1"/>
  <c r="H184" i="2"/>
  <c r="J184" i="2" s="1"/>
  <c r="S16" i="7"/>
  <c r="S70" i="7"/>
  <c r="Q41" i="7"/>
  <c r="O41" i="7"/>
  <c r="S41" i="7" s="1"/>
  <c r="M67" i="7"/>
  <c r="O68" i="7"/>
  <c r="S68" i="7" s="1"/>
  <c r="I23" i="7"/>
  <c r="K24" i="7"/>
  <c r="M23" i="7"/>
  <c r="O24" i="7"/>
  <c r="J430" i="2"/>
  <c r="S10" i="7"/>
  <c r="S29" i="7"/>
  <c r="Q55" i="7"/>
  <c r="O55" i="7"/>
  <c r="S55" i="7" s="1"/>
  <c r="H422" i="2"/>
  <c r="J423" i="2"/>
  <c r="Q34" i="7"/>
  <c r="K34" i="7"/>
  <c r="S34" i="7" s="1"/>
  <c r="S17" i="7"/>
  <c r="Q48" i="7"/>
  <c r="O48" i="7"/>
  <c r="S48" i="7" s="1"/>
  <c r="J240" i="2"/>
  <c r="H342" i="2"/>
  <c r="J343" i="2"/>
  <c r="H18" i="2"/>
  <c r="J19" i="2"/>
  <c r="H166" i="2"/>
  <c r="J166" i="2" s="1"/>
  <c r="J167" i="2"/>
  <c r="H129" i="2"/>
  <c r="J129" i="2" s="1"/>
  <c r="J130" i="2"/>
  <c r="H219" i="2"/>
  <c r="J219" i="2" s="1"/>
  <c r="J220" i="2"/>
  <c r="H403" i="2"/>
  <c r="J404" i="2"/>
  <c r="H53" i="2"/>
  <c r="J54" i="2"/>
  <c r="H94" i="2"/>
  <c r="J95" i="2"/>
  <c r="H174" i="2"/>
  <c r="J174" i="2" s="1"/>
  <c r="J175" i="2"/>
  <c r="H180" i="2"/>
  <c r="J180" i="2" s="1"/>
  <c r="J181" i="2"/>
  <c r="H392" i="2"/>
  <c r="J393" i="2"/>
  <c r="H142" i="2"/>
  <c r="J142" i="2" s="1"/>
  <c r="J143" i="2"/>
  <c r="H199" i="2"/>
  <c r="J199" i="2" s="1"/>
  <c r="J200" i="2"/>
  <c r="H371" i="2"/>
  <c r="J372" i="2"/>
  <c r="H383" i="2"/>
  <c r="J386" i="2"/>
  <c r="H27" i="2"/>
  <c r="J29" i="2"/>
  <c r="H154" i="2"/>
  <c r="J154" i="2" s="1"/>
  <c r="J155" i="2"/>
  <c r="H117" i="2"/>
  <c r="J117" i="2" s="1"/>
  <c r="J118" i="2"/>
  <c r="H207" i="2"/>
  <c r="J207" i="2" s="1"/>
  <c r="J208" i="2"/>
  <c r="H162" i="2"/>
  <c r="J162" i="2" s="1"/>
  <c r="J163" i="2"/>
  <c r="H121" i="2"/>
  <c r="J121" i="2" s="1"/>
  <c r="J122" i="2"/>
  <c r="H109" i="2"/>
  <c r="J109" i="2" s="1"/>
  <c r="J110" i="2"/>
  <c r="H248" i="2"/>
  <c r="H35" i="2"/>
  <c r="J226" i="2"/>
  <c r="J291" i="2"/>
  <c r="H150" i="2"/>
  <c r="J150" i="2" s="1"/>
  <c r="J151" i="2"/>
  <c r="H113" i="2"/>
  <c r="J113" i="2" s="1"/>
  <c r="J114" i="2"/>
  <c r="H203" i="2"/>
  <c r="J203" i="2" s="1"/>
  <c r="J204" i="2"/>
  <c r="H71" i="2"/>
  <c r="J71" i="2" s="1"/>
  <c r="J72" i="2"/>
  <c r="H125" i="2"/>
  <c r="J125" i="2" s="1"/>
  <c r="J126" i="2"/>
  <c r="H215" i="2"/>
  <c r="J215" i="2" s="1"/>
  <c r="J216" i="2"/>
  <c r="H408" i="2"/>
  <c r="J411" i="2"/>
  <c r="H133" i="2"/>
  <c r="J133" i="2" s="1"/>
  <c r="J134" i="2"/>
  <c r="H158" i="2"/>
  <c r="J158" i="2" s="1"/>
  <c r="J159" i="2"/>
  <c r="H397" i="2"/>
  <c r="J398" i="2"/>
  <c r="H137" i="2"/>
  <c r="J137" i="2" s="1"/>
  <c r="J138" i="2"/>
  <c r="H105" i="2"/>
  <c r="J105" i="2" s="1"/>
  <c r="J106" i="2"/>
  <c r="H211" i="2"/>
  <c r="J211" i="2" s="1"/>
  <c r="J212" i="2"/>
  <c r="H376" i="2"/>
  <c r="J379" i="2"/>
  <c r="H146" i="2"/>
  <c r="J146" i="2" s="1"/>
  <c r="J147" i="2"/>
  <c r="H58" i="2"/>
  <c r="J59" i="2"/>
  <c r="H320" i="2"/>
  <c r="H277" i="2"/>
  <c r="H334" i="2"/>
  <c r="I32" i="7"/>
  <c r="M47" i="7"/>
  <c r="M32" i="7"/>
  <c r="O32" i="7" s="1"/>
  <c r="S24" i="7" l="1"/>
  <c r="K32" i="7"/>
  <c r="S32" i="7" s="1"/>
  <c r="H98" i="2"/>
  <c r="J98" i="2" s="1"/>
  <c r="H428" i="2"/>
  <c r="J429" i="2"/>
  <c r="I22" i="7"/>
  <c r="K23" i="7"/>
  <c r="Q47" i="7"/>
  <c r="O47" i="7"/>
  <c r="S47" i="7" s="1"/>
  <c r="H421" i="2"/>
  <c r="J421" i="2" s="1"/>
  <c r="J422" i="2"/>
  <c r="M22" i="7"/>
  <c r="O23" i="7"/>
  <c r="Q23" i="7"/>
  <c r="O67" i="7"/>
  <c r="S67" i="7" s="1"/>
  <c r="Q67" i="7"/>
  <c r="M66" i="7"/>
  <c r="Q32" i="7"/>
  <c r="J248" i="2"/>
  <c r="J53" i="2"/>
  <c r="J320" i="2"/>
  <c r="H407" i="2"/>
  <c r="J407" i="2" s="1"/>
  <c r="J408" i="2"/>
  <c r="J277" i="2"/>
  <c r="J35" i="2"/>
  <c r="H26" i="2"/>
  <c r="J26" i="2" s="1"/>
  <c r="J27" i="2"/>
  <c r="H370" i="2"/>
  <c r="J370" i="2" s="1"/>
  <c r="J371" i="2"/>
  <c r="J94" i="2"/>
  <c r="H402" i="2"/>
  <c r="J402" i="2" s="1"/>
  <c r="J403" i="2"/>
  <c r="J18" i="2"/>
  <c r="H9" i="2"/>
  <c r="H382" i="2"/>
  <c r="J382" i="2" s="1"/>
  <c r="J383" i="2"/>
  <c r="H391" i="2"/>
  <c r="J391" i="2" s="1"/>
  <c r="J392" i="2"/>
  <c r="J342" i="2"/>
  <c r="J334" i="2"/>
  <c r="H57" i="2"/>
  <c r="J58" i="2"/>
  <c r="H375" i="2"/>
  <c r="J375" i="2" s="1"/>
  <c r="J376" i="2"/>
  <c r="H396" i="2"/>
  <c r="J396" i="2" s="1"/>
  <c r="J397" i="2"/>
  <c r="H170" i="2"/>
  <c r="J170" i="2" s="1"/>
  <c r="B98" i="2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K16" i="8"/>
  <c r="B222" i="2" l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J365" i="2"/>
  <c r="K22" i="7"/>
  <c r="I8" i="7"/>
  <c r="O66" i="7"/>
  <c r="S66" i="7" s="1"/>
  <c r="M65" i="7"/>
  <c r="Q66" i="7"/>
  <c r="S23" i="7"/>
  <c r="O22" i="7"/>
  <c r="M8" i="7"/>
  <c r="Q22" i="7"/>
  <c r="J428" i="2"/>
  <c r="H436" i="2"/>
  <c r="H8" i="2"/>
  <c r="J8" i="2" s="1"/>
  <c r="J9" i="2"/>
  <c r="J57" i="2"/>
  <c r="H25" i="2"/>
  <c r="H341" i="2"/>
  <c r="J341" i="2" s="1"/>
  <c r="K13" i="8"/>
  <c r="B235" i="2" l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S22" i="7"/>
  <c r="O8" i="7"/>
  <c r="Q8" i="7"/>
  <c r="M7" i="7"/>
  <c r="Q65" i="7"/>
  <c r="O65" i="7"/>
  <c r="S65" i="7" s="1"/>
  <c r="J436" i="2"/>
  <c r="H443" i="2"/>
  <c r="J443" i="2" s="1"/>
  <c r="H3" i="8"/>
  <c r="J3" i="8" s="1"/>
  <c r="K8" i="7"/>
  <c r="I7" i="7"/>
  <c r="J25" i="2"/>
  <c r="H24" i="2"/>
  <c r="K6" i="8"/>
  <c r="K8" i="8"/>
  <c r="K14" i="8"/>
  <c r="B256" i="2" l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H5" i="8"/>
  <c r="O7" i="7"/>
  <c r="Q7" i="7"/>
  <c r="E5" i="8"/>
  <c r="K7" i="7"/>
  <c r="S8" i="7"/>
  <c r="H415" i="2"/>
  <c r="J24" i="2"/>
  <c r="K15" i="8"/>
  <c r="K9" i="8"/>
  <c r="K10" i="8"/>
  <c r="K7" i="8"/>
  <c r="K11" i="8"/>
  <c r="B282" i="2" l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S7" i="7"/>
  <c r="G5" i="8"/>
  <c r="G4" i="8" s="1"/>
  <c r="J5" i="8"/>
  <c r="K5" i="8"/>
  <c r="H4" i="8"/>
  <c r="J4" i="8" s="1"/>
  <c r="H444" i="2"/>
  <c r="J444" i="2" s="1"/>
  <c r="J415" i="2"/>
  <c r="H442" i="2"/>
  <c r="K12" i="8"/>
  <c r="E4" i="8"/>
  <c r="B303" i="2" l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M5" i="8"/>
  <c r="H18" i="8"/>
  <c r="J18" i="8" s="1"/>
  <c r="K4" i="8"/>
  <c r="M4" i="8"/>
  <c r="E3" i="8"/>
  <c r="K3" i="8" s="1"/>
  <c r="J442" i="2"/>
  <c r="B376" i="2" l="1"/>
  <c r="B377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13" i="2" s="1"/>
  <c r="B414" i="2" s="1"/>
  <c r="B415" i="2" s="1"/>
  <c r="K19" i="8"/>
  <c r="K35" i="8" s="1"/>
  <c r="E17" i="8"/>
  <c r="G3" i="8"/>
  <c r="G17" i="8" s="1"/>
  <c r="M3" i="8" l="1"/>
  <c r="M19" i="8" s="1"/>
  <c r="M35" i="8" s="1"/>
</calcChain>
</file>

<file path=xl/sharedStrings.xml><?xml version="1.0" encoding="utf-8"?>
<sst xmlns="http://schemas.openxmlformats.org/spreadsheetml/2006/main" count="3490" uniqueCount="681">
  <si>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</si>
  <si>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</si>
  <si>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</si>
  <si>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</si>
  <si>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</si>
  <si>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</si>
  <si>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</si>
  <si>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</si>
  <si>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</si>
  <si>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</si>
  <si>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</si>
  <si>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</si>
  <si>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</si>
  <si>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</si>
  <si>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</si>
  <si>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</si>
  <si>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</si>
  <si>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</si>
  <si>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</si>
  <si>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</si>
  <si>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</si>
  <si>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</si>
  <si>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</si>
  <si>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</si>
  <si>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</si>
  <si>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</si>
  <si>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</si>
  <si>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</si>
  <si>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</si>
  <si>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</si>
  <si>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</si>
  <si>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</si>
  <si>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</si>
  <si>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</si>
  <si>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</si>
  <si>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</si>
  <si>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</si>
  <si>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</si>
  <si>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</si>
  <si>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</si>
  <si>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</si>
  <si>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</si>
  <si>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</si>
  <si>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</si>
  <si>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</si>
  <si>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</si>
  <si>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</si>
  <si>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</si>
  <si>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</si>
  <si>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</si>
  <si>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</si>
  <si>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</si>
  <si>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</si>
  <si>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</si>
  <si>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</si>
  <si>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</si>
  <si>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</si>
  <si>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</si>
  <si>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</si>
  <si>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</si>
  <si>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Z rozpočtu obce</t>
  </si>
  <si>
    <t>Tuzemské kapitálové granty a transfery</t>
  </si>
  <si>
    <t>Zo štátneho rozpočtu</t>
  </si>
  <si>
    <t>Trenčianske historické slávnosti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</si>
  <si>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</si>
  <si>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</si>
  <si>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</si>
  <si>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</si>
  <si>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</si>
  <si>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</si>
  <si>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</si>
  <si>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</si>
  <si>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</si>
  <si>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</si>
  <si>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</si>
  <si>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</si>
  <si>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</si>
  <si>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</si>
  <si>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</si>
  <si>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</si>
  <si>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</si>
  <si>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</si>
  <si>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</si>
  <si>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</si>
  <si>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</si>
  <si>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</si>
  <si>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</si>
  <si>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</si>
  <si>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</si>
  <si>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</si>
  <si>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</si>
  <si>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</si>
  <si>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</si>
  <si>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</si>
  <si>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</si>
  <si>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</si>
  <si>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</si>
  <si>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</si>
  <si>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</si>
  <si>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</si>
  <si>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</si>
  <si>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</si>
  <si>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</si>
  <si>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</si>
  <si>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</si>
  <si>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</si>
  <si>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</si>
  <si>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</si>
  <si>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</si>
  <si>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</si>
  <si>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</si>
  <si>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</si>
  <si>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</si>
  <si>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</si>
  <si>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</si>
  <si>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</si>
  <si>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</si>
  <si>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</si>
  <si>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</si>
  <si>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</si>
  <si>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</si>
  <si>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</si>
  <si>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</si>
  <si>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</si>
  <si>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</si>
  <si>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</si>
  <si>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</si>
  <si>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</si>
  <si>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</si>
  <si>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</si>
  <si>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</si>
  <si>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</si>
  <si>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</si>
  <si>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</si>
  <si>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</si>
  <si>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</si>
  <si>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</si>
  <si>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</si>
  <si>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</si>
  <si>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</si>
  <si>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</si>
  <si>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</si>
  <si>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</si>
  <si>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</si>
  <si>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</si>
  <si>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</si>
  <si>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</si>
  <si>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</si>
  <si>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</si>
  <si>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</si>
  <si>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</si>
  <si>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</si>
  <si>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</si>
  <si>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</si>
  <si>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</si>
  <si>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</si>
  <si>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</si>
  <si>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</si>
  <si>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</si>
  <si>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</si>
  <si>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</si>
  <si>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</si>
  <si>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</si>
  <si>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</si>
  <si>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</si>
  <si>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</si>
  <si>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</si>
  <si>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</si>
  <si>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</si>
  <si>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</si>
  <si>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</si>
  <si>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</si>
  <si>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</si>
  <si>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</si>
  <si>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</si>
  <si>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</si>
  <si>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</si>
  <si>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</si>
  <si>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</si>
  <si>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</si>
  <si>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</si>
  <si>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</si>
  <si>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</si>
  <si>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</si>
  <si>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</si>
  <si>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</si>
  <si>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</si>
  <si>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</si>
  <si>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</si>
  <si>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</si>
  <si>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</si>
  <si>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</si>
  <si>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</si>
  <si>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</si>
  <si>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</si>
  <si>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</si>
  <si>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</si>
  <si>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</si>
  <si>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</si>
  <si>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</si>
  <si>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</si>
  <si>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</si>
  <si>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</si>
  <si>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</si>
  <si>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</si>
  <si>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</si>
  <si>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</si>
  <si>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</si>
  <si>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</si>
  <si>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</si>
  <si>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</si>
  <si>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</si>
  <si>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</si>
  <si>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</si>
  <si>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</si>
  <si>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</si>
  <si>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</si>
  <si>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</si>
  <si>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</si>
  <si>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</si>
  <si>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</si>
  <si>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</si>
  <si>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</si>
  <si>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</si>
  <si>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</si>
  <si>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</si>
  <si>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</si>
  <si>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</si>
  <si>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</si>
  <si>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</si>
  <si>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</si>
  <si>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</si>
  <si>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</si>
  <si>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</si>
  <si>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</si>
  <si>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</si>
  <si>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</si>
  <si>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</si>
  <si>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</si>
  <si>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</si>
  <si>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</si>
  <si>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</si>
  <si>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</si>
  <si>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</si>
  <si>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</si>
  <si>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</si>
  <si>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</si>
  <si>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</si>
  <si>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</si>
  <si>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</si>
  <si>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</si>
  <si>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</si>
  <si>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</si>
  <si>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</si>
  <si>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</si>
  <si>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</si>
  <si>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</si>
  <si>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</si>
  <si>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</si>
  <si>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</si>
  <si>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</si>
  <si>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</si>
  <si>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</si>
  <si>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</si>
  <si>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</si>
  <si>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</si>
  <si>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</si>
  <si>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</si>
  <si>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60 1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</si>
  <si>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</si>
  <si>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</si>
  <si>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</si>
  <si>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</si>
  <si>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</si>
  <si>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</si>
  <si>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</si>
  <si>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réžia-zamestnanci</t>
  </si>
  <si>
    <t>réžia-cudzí stravníci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</si>
  <si>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</si>
  <si>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</si>
  <si>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</si>
  <si>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</si>
  <si>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</si>
  <si>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</si>
  <si>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</si>
  <si>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</si>
  <si>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</si>
  <si>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</si>
  <si>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</si>
  <si>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</si>
  <si>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</si>
  <si>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</si>
  <si>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</si>
  <si>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</si>
  <si>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</si>
  <si>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</si>
  <si>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</si>
  <si>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</si>
  <si>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</si>
  <si>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</si>
  <si>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</si>
  <si>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</si>
  <si>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</si>
  <si>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</si>
  <si>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</si>
  <si>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</si>
  <si>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</si>
  <si>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</si>
  <si>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</si>
  <si>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</si>
  <si>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</si>
  <si>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</si>
  <si>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</si>
  <si>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</si>
  <si>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</si>
  <si>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</si>
  <si>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</si>
  <si>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</si>
  <si>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60 8</t>
  </si>
  <si>
    <t>Príjem réžie - cudzí stravníci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</si>
  <si>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</si>
  <si>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</si>
  <si>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</si>
  <si>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</si>
  <si>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</si>
  <si>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</si>
  <si>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</si>
  <si>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</si>
  <si>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</si>
  <si>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</si>
  <si>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</si>
  <si>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</si>
  <si>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</si>
  <si>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</si>
  <si>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</si>
  <si>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</si>
  <si>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</si>
  <si>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</si>
  <si>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</si>
  <si>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</si>
  <si>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Sever</t>
  </si>
  <si>
    <t>MČ Stred</t>
  </si>
  <si>
    <t>MČ Západ</t>
  </si>
  <si>
    <t>MČ Juh</t>
  </si>
  <si>
    <t>Realizácia mestských zásahov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</si>
  <si>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</si>
  <si>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</si>
  <si>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</si>
  <si>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</si>
  <si>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</si>
  <si>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</si>
  <si>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</si>
  <si>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</si>
  <si>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</si>
  <si>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</si>
  <si>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</si>
  <si>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</si>
  <si>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</si>
  <si>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</si>
  <si>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</si>
  <si>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</si>
  <si>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</si>
  <si>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</si>
  <si>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</si>
  <si>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</si>
  <si>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</si>
  <si>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</si>
  <si>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</si>
  <si>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</si>
  <si>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</si>
  <si>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</si>
  <si>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</si>
  <si>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</si>
  <si>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</si>
  <si>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</si>
  <si>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</si>
  <si>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</si>
  <si>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</si>
  <si>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</si>
  <si>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</si>
  <si>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</si>
  <si>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</si>
  <si>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</si>
  <si>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</si>
  <si>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</si>
  <si>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</si>
  <si>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</si>
  <si>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</si>
  <si>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</si>
  <si>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</si>
  <si>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</si>
  <si>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</si>
  <si>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</si>
  <si>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</si>
  <si>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</si>
  <si>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</si>
  <si>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</si>
  <si>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</si>
  <si>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</si>
  <si>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</si>
  <si>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</si>
  <si>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</si>
  <si>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</si>
  <si>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</si>
  <si>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</si>
  <si>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</si>
  <si>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</si>
  <si>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</si>
  <si>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</si>
  <si>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</si>
  <si>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</si>
  <si>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</si>
  <si>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</si>
  <si>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</si>
  <si>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</si>
  <si>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</si>
  <si>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</si>
  <si>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</si>
  <si>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</si>
  <si>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</si>
  <si>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Plot za budovou ZOS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</si>
  <si>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</si>
  <si>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</si>
  <si>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</si>
  <si>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</si>
  <si>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</si>
  <si>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</si>
  <si>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</si>
  <si>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</si>
  <si>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</si>
  <si>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</si>
  <si>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</si>
  <si>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</si>
  <si>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</si>
  <si>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</si>
  <si>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</si>
  <si>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</si>
  <si>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</si>
  <si>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</si>
  <si>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</si>
  <si>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</si>
  <si>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</si>
  <si>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</si>
  <si>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Trenčianska parkovacia spoločnosť</t>
  </si>
  <si>
    <t>MK J.Zemana</t>
  </si>
  <si>
    <t>Prechod pre chodcov Horné Orechové</t>
  </si>
  <si>
    <t>Chodník Psotného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</si>
  <si>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</si>
  <si>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</si>
  <si>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</si>
  <si>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</si>
  <si>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</si>
  <si>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</si>
  <si>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</si>
  <si>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</si>
  <si>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</si>
  <si>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</si>
  <si>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Strecha + múr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</si>
  <si>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</si>
  <si>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</si>
  <si>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</si>
  <si>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</si>
  <si>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</si>
  <si>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</si>
  <si>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</si>
  <si>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</si>
  <si>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</si>
  <si>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</si>
  <si>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</si>
  <si>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</si>
  <si>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</si>
  <si>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</si>
  <si>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</si>
  <si>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</si>
  <si>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</si>
  <si>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</si>
  <si>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</si>
  <si>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</si>
  <si>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</si>
  <si>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</si>
  <si>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</si>
  <si>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Podchod pre peších pod Chynoranskou traťou - IA z r.2015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</si>
  <si>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</si>
  <si>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</si>
  <si>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</si>
  <si>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</si>
  <si>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</si>
  <si>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</si>
  <si>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</si>
  <si>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</si>
  <si>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</si>
  <si>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</si>
  <si>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</si>
  <si>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</si>
  <si>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Stavebná údržba</t>
  </si>
  <si>
    <t>Bežná údržba</t>
  </si>
  <si>
    <t>Zimná údržba</t>
  </si>
  <si>
    <t>Služby propagačné</t>
  </si>
  <si>
    <t>Služby - prezentácia mesta v médiach</t>
  </si>
  <si>
    <t>Kúpa azylového domu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</si>
  <si>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</si>
  <si>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</si>
  <si>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</si>
  <si>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</si>
  <si>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</si>
  <si>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rozšírenie, osvetlenie, úprava komunikácii cintorína Kubra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</si>
  <si>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</si>
  <si>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</si>
  <si>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</si>
  <si>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</si>
  <si>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</si>
  <si>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</si>
  <si>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Rekonštrukcia okien, 1 pavilón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</si>
  <si>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</si>
  <si>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</si>
  <si>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</si>
  <si>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</si>
  <si>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</si>
  <si>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</si>
  <si>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</si>
  <si>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</si>
  <si>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</si>
  <si>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</si>
  <si>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</si>
  <si>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</si>
  <si>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</si>
  <si>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</si>
  <si>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</si>
  <si>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</si>
  <si>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</si>
  <si>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</si>
  <si>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</si>
  <si>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</si>
  <si>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</si>
  <si>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</si>
  <si>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</si>
  <si>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</si>
  <si>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</si>
  <si>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</si>
  <si>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</si>
  <si>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</si>
  <si>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</si>
  <si>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</si>
  <si>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</si>
  <si>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</si>
  <si>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</si>
  <si>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</si>
  <si>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</si>
  <si>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</si>
  <si>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</si>
  <si>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</si>
  <si>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</si>
  <si>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</si>
  <si>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</si>
  <si>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</si>
  <si>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</si>
  <si>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Príjmy z refundácie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</si>
  <si>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</si>
  <si>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</si>
  <si>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</si>
  <si>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</si>
  <si>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</si>
  <si>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</si>
  <si>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</si>
  <si>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</si>
  <si>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Rezerva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</si>
  <si>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</si>
  <si>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</si>
  <si>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</si>
  <si>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</si>
  <si>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</si>
  <si>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</si>
  <si>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</si>
  <si>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</si>
  <si>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</si>
  <si>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</si>
  <si>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</si>
  <si>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</si>
  <si>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</si>
  <si>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</si>
  <si>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</si>
  <si>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</si>
  <si>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</si>
  <si>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</si>
  <si>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</si>
  <si>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</si>
  <si>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</si>
  <si>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</si>
  <si>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Opatová</t>
  </si>
  <si>
    <t>MČ Sever - Úprava verejného priestranstva v časti Pred Poľom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</si>
  <si>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</si>
  <si>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</si>
  <si>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</si>
  <si>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</si>
  <si>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</si>
  <si>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</si>
  <si>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</si>
  <si>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</si>
  <si>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</si>
  <si>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bežný rozpočet na rok 2016</t>
  </si>
  <si>
    <t>Upravený kapitálový rozpočet na rok 2016</t>
  </si>
  <si>
    <t>Upravený rozpočet na rok 2016</t>
  </si>
  <si>
    <t>Upravený rozpočet na rok 2016 spolu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</si>
  <si>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</si>
  <si>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</si>
  <si>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</si>
  <si>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</si>
  <si>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</si>
  <si>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</si>
  <si>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Budova vedľa Hviezdy - búracie práce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</si>
  <si>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</si>
  <si>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</si>
  <si>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</si>
  <si>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</si>
  <si>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</si>
  <si>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</si>
  <si>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</si>
  <si>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</si>
  <si>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</si>
  <si>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</si>
  <si>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</si>
  <si>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</si>
  <si>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Ul.M.Hricku - rekonštrukcia</t>
  </si>
  <si>
    <t>Napojenie ul.Opatovská na ul.Armádna pri VÚO</t>
  </si>
  <si>
    <t>Nevyčerpaná dotácia za rok 2015</t>
  </si>
  <si>
    <t>Nevyčerpaná dotácia za rok 2015 - nové moduly</t>
  </si>
  <si>
    <t>Zimný štadión - opláštenie + okná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</si>
  <si>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</si>
  <si>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</si>
  <si>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</si>
  <si>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</si>
  <si>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</si>
  <si>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</si>
  <si>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</si>
  <si>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</si>
  <si>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</si>
  <si>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</si>
  <si>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</si>
  <si>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</si>
  <si>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</si>
  <si>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</si>
  <si>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</si>
  <si>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</si>
  <si>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</si>
  <si>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</si>
  <si>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</si>
  <si>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</si>
  <si>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</si>
  <si>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</si>
  <si>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Sever - komunikácie</t>
  </si>
  <si>
    <t>MČ Juh - PD Jednosmerka Gen.Svobodu č.3-13</t>
  </si>
  <si>
    <t>PD - MK Šoltésovej</t>
  </si>
  <si>
    <t>MŠ Bl.Tarzícia  - dotácia na činnosť</t>
  </si>
  <si>
    <t xml:space="preserve">Podchod pre peších pod Chynoranskou traťou </t>
  </si>
  <si>
    <t>MČ Sever - MŠ Považská - 3 ks vchodových dverí</t>
  </si>
  <si>
    <t>Zimný štadión - rekonštrukcia</t>
  </si>
  <si>
    <t xml:space="preserve">Návrh na Zmenu  Programového rozpočtu Mesta Trenčín na rok 2016                     </t>
  </si>
  <si>
    <t>Návrh na zmenu +/-</t>
  </si>
  <si>
    <t>Upravený rozpočet 2016</t>
  </si>
  <si>
    <t>Upravený bežný rozpočet 2016</t>
  </si>
  <si>
    <t>Upravený kapitálový rozpočet 2016</t>
  </si>
  <si>
    <t>Bežný rozpočet na rok 2016</t>
  </si>
  <si>
    <t>Upravený  bežný rozpočet na rok 2016</t>
  </si>
  <si>
    <t>Kapitálový rozpočet na rok 2016</t>
  </si>
  <si>
    <t>Rozpočet na rok 2016</t>
  </si>
  <si>
    <t>PD - KS Hviezda - výmena silnoprúdových rozvodov a osvetlenia</t>
  </si>
  <si>
    <t>Revitalizácia plochy za budovou ZOS</t>
  </si>
  <si>
    <t>Poplatky cudzí stravníci</t>
  </si>
  <si>
    <t>Réžia-cudzí stravníci</t>
  </si>
  <si>
    <t>Réžia-zamestnanci</t>
  </si>
  <si>
    <t>MŠ sv.Andreja - Svorada a Benedikta - dotácia na činnosť</t>
  </si>
  <si>
    <t>MŠ 2M</t>
  </si>
  <si>
    <t>Hmotná núdza</t>
  </si>
  <si>
    <t>Sponzorské finančné dary</t>
  </si>
  <si>
    <t>Cudzí stravníci</t>
  </si>
  <si>
    <t>Súťaže zo ŠR</t>
  </si>
  <si>
    <t>Podpora opatrovateľskej služby</t>
  </si>
  <si>
    <t>PD - rekonštrukcia el.vedenia v telocvični</t>
  </si>
  <si>
    <t>PD - Križovatka pod starým mostom a CSS - rekonštrukcia</t>
  </si>
  <si>
    <t>PD - Križovatka pri Bille - CSS</t>
  </si>
  <si>
    <t>MŠ Oriešok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</si>
</sst>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8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6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9" fillId="0" borderId="0"/>
    <xf numFmtId="0" fontId="39" fillId="0" borderId="0"/>
  </cellStyleXfs>
  <cellXfs count="261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0" fillId="4" borderId="2" xfId="0" applyFont="1" applyFill="1" applyBorder="1"/>
    <xf numFmtId="0" fontId="3" fillId="0" borderId="0" xfId="0" applyFont="1"/>
    <xf numFmtId="0" fontId="21" fillId="0" borderId="2" xfId="0" applyFont="1" applyBorder="1" applyAlignment="1"/>
    <xf numFmtId="0" fontId="22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3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8" fillId="6" borderId="5" xfId="0" applyFont="1" applyFill="1" applyBorder="1" applyAlignment="1"/>
    <xf numFmtId="0" fontId="28" fillId="7" borderId="2" xfId="0" applyFont="1" applyFill="1" applyBorder="1"/>
    <xf numFmtId="0" fontId="0" fillId="0" borderId="0" xfId="0" applyAlignment="1">
      <alignment horizontal="center"/>
    </xf>
    <xf numFmtId="0" fontId="40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8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3" fillId="6" borderId="3" xfId="0" applyNumberFormat="1" applyFont="1" applyFill="1" applyBorder="1"/>
    <xf numFmtId="49" fontId="29" fillId="0" borderId="2" xfId="0" applyNumberFormat="1" applyFont="1" applyBorder="1"/>
    <xf numFmtId="0" fontId="29" fillId="0" borderId="2" xfId="0" applyFont="1" applyFill="1" applyBorder="1"/>
    <xf numFmtId="0" fontId="29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/>
    </xf>
    <xf numFmtId="0" fontId="28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29" fillId="0" borderId="7" xfId="0" applyFont="1" applyFill="1" applyBorder="1" applyAlignment="1">
      <alignment horizontal="center"/>
    </xf>
    <xf numFmtId="0" fontId="30" fillId="0" borderId="2" xfId="0" applyFont="1" applyBorder="1" applyAlignment="1"/>
    <xf numFmtId="0" fontId="31" fillId="4" borderId="2" xfId="0" applyFont="1" applyFill="1" applyBorder="1"/>
    <xf numFmtId="3" fontId="16" fillId="8" borderId="2" xfId="0" applyNumberFormat="1" applyFont="1" applyFill="1" applyBorder="1" applyAlignment="1"/>
    <xf numFmtId="3" fontId="26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8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8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8" xfId="0" applyFont="1" applyBorder="1"/>
    <xf numFmtId="0" fontId="29" fillId="0" borderId="4" xfId="0" applyFont="1" applyBorder="1"/>
    <xf numFmtId="49" fontId="29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3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0" fillId="0" borderId="9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5" fillId="2" borderId="3" xfId="0" applyNumberFormat="1" applyFont="1" applyFill="1" applyBorder="1" applyAlignment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0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0" fontId="22" fillId="0" borderId="0" xfId="0" applyFont="1" applyFill="1"/>
    <xf numFmtId="0" fontId="3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3" fillId="14" borderId="11" xfId="0" applyFont="1" applyFill="1" applyBorder="1" applyAlignment="1">
      <alignment wrapText="1"/>
    </xf>
    <xf numFmtId="0" fontId="41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7" fillId="16" borderId="2" xfId="0" applyFont="1" applyFill="1" applyBorder="1"/>
    <xf numFmtId="0" fontId="37" fillId="0" borderId="2" xfId="0" applyFont="1" applyBorder="1"/>
    <xf numFmtId="0" fontId="37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28" fillId="19" borderId="2" xfId="0" applyFont="1" applyFill="1" applyBorder="1"/>
    <xf numFmtId="0" fontId="7" fillId="0" borderId="2" xfId="0" applyFont="1" applyBorder="1" applyAlignment="1">
      <alignment wrapText="1"/>
    </xf>
    <xf numFmtId="0" fontId="40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0" fontId="29" fillId="20" borderId="4" xfId="0" applyFont="1" applyFill="1" applyBorder="1"/>
    <xf numFmtId="3" fontId="7" fillId="20" borderId="2" xfId="0" applyNumberFormat="1" applyFont="1" applyFill="1" applyBorder="1"/>
    <xf numFmtId="0" fontId="7" fillId="20" borderId="2" xfId="0" applyFont="1" applyFill="1" applyBorder="1"/>
    <xf numFmtId="0" fontId="33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11" fillId="20" borderId="2" xfId="0" applyFont="1" applyFill="1" applyBorder="1"/>
    <xf numFmtId="3" fontId="11" fillId="20" borderId="2" xfId="0" applyNumberFormat="1" applyFont="1" applyFill="1" applyBorder="1"/>
    <xf numFmtId="0" fontId="7" fillId="20" borderId="2" xfId="0" applyFont="1" applyFill="1" applyBorder="1" applyAlignment="1">
      <alignment vertical="center" wrapText="1"/>
    </xf>
    <xf numFmtId="0" fontId="11" fillId="14" borderId="4" xfId="0" applyFont="1" applyFill="1" applyBorder="1"/>
    <xf numFmtId="0" fontId="29" fillId="21" borderId="4" xfId="0" applyFont="1" applyFill="1" applyBorder="1"/>
    <xf numFmtId="3" fontId="7" fillId="21" borderId="2" xfId="0" applyNumberFormat="1" applyFont="1" applyFill="1" applyBorder="1"/>
    <xf numFmtId="0" fontId="29" fillId="22" borderId="4" xfId="0" applyFont="1" applyFill="1" applyBorder="1"/>
    <xf numFmtId="3" fontId="7" fillId="22" borderId="2" xfId="0" applyNumberFormat="1" applyFont="1" applyFill="1" applyBorder="1"/>
    <xf numFmtId="0" fontId="33" fillId="22" borderId="2" xfId="0" applyFont="1" applyFill="1" applyBorder="1"/>
    <xf numFmtId="0" fontId="7" fillId="22" borderId="4" xfId="0" applyFont="1" applyFill="1" applyBorder="1" applyAlignment="1">
      <alignment vertical="center" wrapText="1"/>
    </xf>
    <xf numFmtId="3" fontId="7" fillId="22" borderId="2" xfId="0" applyNumberFormat="1" applyFont="1" applyFill="1" applyBorder="1" applyAlignment="1">
      <alignment vertical="center"/>
    </xf>
    <xf numFmtId="0" fontId="29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3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3" fillId="21" borderId="2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7" fillId="21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3" fillId="22" borderId="2" xfId="0" applyFont="1" applyFill="1" applyBorder="1" applyAlignment="1">
      <alignment vertical="center" wrapText="1"/>
    </xf>
    <xf numFmtId="0" fontId="7" fillId="21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vertical="center"/>
    </xf>
    <xf numFmtId="0" fontId="28" fillId="7" borderId="2" xfId="0" applyFont="1" applyFill="1" applyBorder="1" applyAlignment="1">
      <alignment horizontal="center" vertical="center"/>
    </xf>
    <xf numFmtId="3" fontId="28" fillId="7" borderId="2" xfId="0" applyNumberFormat="1" applyFont="1" applyFill="1" applyBorder="1" applyAlignment="1">
      <alignment vertical="center"/>
    </xf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0" fontId="33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6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3" fontId="14" fillId="14" borderId="1" xfId="0" applyNumberFormat="1" applyFont="1" applyFill="1" applyBorder="1" applyAlignment="1">
      <alignment horizontal="center" vertical="center" wrapText="1"/>
    </xf>
    <xf numFmtId="3" fontId="14" fillId="14" borderId="18" xfId="0" applyNumberFormat="1" applyFont="1" applyFill="1" applyBorder="1" applyAlignment="1">
      <alignment horizontal="center" vertical="center" wrapText="1"/>
    </xf>
    <xf numFmtId="3" fontId="14" fillId="14" borderId="17" xfId="0" applyNumberFormat="1" applyFont="1" applyFill="1" applyBorder="1" applyAlignment="1">
      <alignment horizontal="center" vertical="center" wrapText="1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3" fontId="28" fillId="14" borderId="2" xfId="0" applyNumberFormat="1" applyFont="1" applyFill="1" applyBorder="1"/>
    <xf numFmtId="3" fontId="0" fillId="14" borderId="0" xfId="0" applyNumberFormat="1" applyFill="1"/>
    <xf numFmtId="0" fontId="0" fillId="14" borderId="0" xfId="0" applyFill="1"/>
    <xf numFmtId="3" fontId="11" fillId="14" borderId="0" xfId="0" applyNumberFormat="1" applyFont="1" applyFill="1" applyBorder="1"/>
    <xf numFmtId="0" fontId="0" fillId="14" borderId="0" xfId="0" applyFill="1" applyAlignment="1">
      <alignment vertical="center"/>
    </xf>
    <xf numFmtId="3" fontId="28" fillId="14" borderId="2" xfId="0" applyNumberFormat="1" applyFont="1" applyFill="1" applyBorder="1" applyAlignment="1">
      <alignment vertical="center"/>
    </xf>
    <xf numFmtId="3" fontId="11" fillId="14" borderId="2" xfId="0" applyNumberFormat="1" applyFont="1" applyFill="1" applyBorder="1" applyAlignment="1">
      <alignment vertical="center"/>
    </xf>
    <xf numFmtId="0" fontId="22" fillId="14" borderId="0" xfId="0" applyFont="1" applyFill="1" applyAlignment="1">
      <alignment vertical="center"/>
    </xf>
    <xf numFmtId="49" fontId="12" fillId="12" borderId="14" xfId="0" applyNumberFormat="1" applyFont="1" applyFill="1" applyBorder="1" applyAlignment="1">
      <alignment horizontal="center"/>
    </xf>
    <xf numFmtId="49" fontId="12" fillId="14" borderId="14" xfId="0" applyNumberFormat="1" applyFont="1" applyFill="1" applyBorder="1" applyAlignment="1">
      <alignment horizontal="center"/>
    </xf>
    <xf numFmtId="3" fontId="31" fillId="18" borderId="2" xfId="0" applyNumberFormat="1" applyFont="1" applyFill="1" applyBorder="1"/>
    <xf numFmtId="3" fontId="30" fillId="18" borderId="2" xfId="0" applyNumberFormat="1" applyFont="1" applyFill="1" applyBorder="1" applyAlignment="1"/>
    <xf numFmtId="3" fontId="31" fillId="23" borderId="2" xfId="0" applyNumberFormat="1" applyFont="1" applyFill="1" applyBorder="1"/>
    <xf numFmtId="3" fontId="30" fillId="23" borderId="2" xfId="0" applyNumberFormat="1" applyFont="1" applyFill="1" applyBorder="1" applyAlignment="1"/>
    <xf numFmtId="3" fontId="31" fillId="23" borderId="4" xfId="0" applyNumberFormat="1" applyFont="1" applyFill="1" applyBorder="1"/>
    <xf numFmtId="3" fontId="31" fillId="24" borderId="2" xfId="0" applyNumberFormat="1" applyFont="1" applyFill="1" applyBorder="1"/>
    <xf numFmtId="3" fontId="30" fillId="24" borderId="2" xfId="0" applyNumberFormat="1" applyFont="1" applyFill="1" applyBorder="1" applyAlignment="1"/>
    <xf numFmtId="3" fontId="31" fillId="24" borderId="4" xfId="0" applyNumberFormat="1" applyFont="1" applyFill="1" applyBorder="1"/>
    <xf numFmtId="3" fontId="3" fillId="18" borderId="20" xfId="0" applyNumberFormat="1" applyFont="1" applyFill="1" applyBorder="1" applyAlignment="1">
      <alignment horizontal="center" vertical="center" wrapText="1"/>
    </xf>
    <xf numFmtId="3" fontId="3" fillId="23" borderId="20" xfId="0" applyNumberFormat="1" applyFont="1" applyFill="1" applyBorder="1" applyAlignment="1">
      <alignment horizontal="center" vertical="center" wrapText="1"/>
    </xf>
    <xf numFmtId="3" fontId="3" fillId="24" borderId="20" xfId="0" applyNumberFormat="1" applyFont="1" applyFill="1" applyBorder="1" applyAlignment="1">
      <alignment horizontal="center" vertical="center" wrapText="1"/>
    </xf>
    <xf numFmtId="0" fontId="28" fillId="6" borderId="24" xfId="0" applyFont="1" applyFill="1" applyBorder="1" applyAlignment="1"/>
    <xf numFmtId="3" fontId="28" fillId="6" borderId="24" xfId="0" applyNumberFormat="1" applyFont="1" applyFill="1" applyBorder="1" applyAlignment="1"/>
    <xf numFmtId="0" fontId="7" fillId="0" borderId="25" xfId="0" applyFont="1" applyBorder="1"/>
    <xf numFmtId="3" fontId="7" fillId="0" borderId="25" xfId="0" applyNumberFormat="1" applyFont="1" applyBorder="1"/>
    <xf numFmtId="0" fontId="40" fillId="0" borderId="0" xfId="0" applyFont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3" fontId="24" fillId="13" borderId="1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>
      <alignment horizontal="center" vertical="center" wrapText="1"/>
    </xf>
    <xf numFmtId="3" fontId="24" fillId="13" borderId="17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wrapText="1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3" fontId="14" fillId="13" borderId="17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0" xfId="0" applyFont="1" applyFill="1" applyBorder="1" applyAlignment="1">
      <alignment horizontal="center" vertical="center" textRotation="180" wrapText="1"/>
    </xf>
    <xf numFmtId="0" fontId="17" fillId="3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8" fillId="4" borderId="8" xfId="0" applyFont="1" applyFill="1" applyBorder="1" applyAlignment="1"/>
    <xf numFmtId="0" fontId="13" fillId="11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0" fillId="0" borderId="0" xfId="0" applyAlignment="1"/>
    <xf numFmtId="49" fontId="12" fillId="12" borderId="8" xfId="0" applyNumberFormat="1" applyFont="1" applyFill="1" applyBorder="1" applyAlignment="1">
      <alignment horizontal="center"/>
    </xf>
    <xf numFmtId="49" fontId="12" fillId="12" borderId="10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42" fillId="14" borderId="0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1" xfId="0" applyNumberFormat="1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0" fontId="25" fillId="6" borderId="8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0" fontId="25" fillId="6" borderId="4" xfId="0" applyFont="1" applyFill="1" applyBorder="1" applyAlignment="1">
      <alignment horizontal="center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J444"/>
  <sheetViews>
    <sheetView zoomScale="90" zoomScaleNormal="90" workbookViewId="0">
      <selection activeCell="G6" sqref="B1:J7"/>
    </sheetView>
  </sheetViews>
  <sheetFormatPr defaultRowHeight="12.75" x14ac:dyDescent="0.2"/>
  <cols>
    <col min="1" max="1" width="6.140625" style="20" customWidth="1"/>
    <col min="2" max="2" width="4" style="19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3.42578125" customWidth="1"/>
    <col min="8" max="8" width="13" style="21" customWidth="1"/>
    <col min="9" max="9" width="12.140625" customWidth="1"/>
    <col min="10" max="10" width="13.28515625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17" t="s">
        <v>656</v>
      </c>
      <c r="C3" s="217"/>
      <c r="D3" s="217"/>
      <c r="E3" s="217"/>
      <c r="F3" s="217"/>
      <c r="G3" s="217"/>
      <c r="H3" s="217"/>
      <c r="I3" s="217"/>
      <c r="J3" s="217"/>
    </row>
    <row r="4" spans="1:10" ht="20.25" customHeight="1" x14ac:dyDescent="0.2">
      <c r="B4" s="200" t="s">
        <v>289</v>
      </c>
      <c r="C4" s="201"/>
      <c r="D4" s="201"/>
      <c r="E4" s="201"/>
      <c r="F4" s="201"/>
      <c r="G4" s="202"/>
      <c r="H4" s="218" t="s">
        <v>601</v>
      </c>
      <c r="I4" s="218" t="s">
        <v>657</v>
      </c>
      <c r="J4" s="218" t="s">
        <v>658</v>
      </c>
    </row>
    <row r="5" spans="1:10" ht="15" customHeight="1" x14ac:dyDescent="0.2">
      <c r="B5" s="203"/>
      <c r="C5" s="204"/>
      <c r="D5" s="204"/>
      <c r="E5" s="204"/>
      <c r="F5" s="204"/>
      <c r="G5" s="205"/>
      <c r="H5" s="219"/>
      <c r="I5" s="219"/>
      <c r="J5" s="219"/>
    </row>
    <row r="6" spans="1:10" ht="12.75" customHeight="1" x14ac:dyDescent="0.2">
      <c r="B6" s="206" t="s">
        <v>113</v>
      </c>
      <c r="C6" s="208" t="s">
        <v>115</v>
      </c>
      <c r="D6" s="210" t="s">
        <v>116</v>
      </c>
      <c r="E6" s="210" t="s">
        <v>118</v>
      </c>
      <c r="F6" s="210" t="s">
        <v>119</v>
      </c>
      <c r="G6" s="215" t="s">
        <v>117</v>
      </c>
      <c r="H6" s="219"/>
      <c r="I6" s="219"/>
      <c r="J6" s="219"/>
    </row>
    <row r="7" spans="1:10" ht="13.5" customHeight="1" thickBot="1" x14ac:dyDescent="0.25">
      <c r="A7" s="199"/>
      <c r="B7" s="207"/>
      <c r="C7" s="209"/>
      <c r="D7" s="211"/>
      <c r="E7" s="211"/>
      <c r="F7" s="211"/>
      <c r="G7" s="216"/>
      <c r="H7" s="220"/>
      <c r="I7" s="220"/>
      <c r="J7" s="220"/>
    </row>
    <row r="8" spans="1:10" ht="17.25" thickTop="1" thickBot="1" x14ac:dyDescent="0.3">
      <c r="A8" s="199"/>
      <c r="B8" s="39">
        <v>1</v>
      </c>
      <c r="C8" s="16">
        <v>100</v>
      </c>
      <c r="D8" s="16"/>
      <c r="E8" s="16"/>
      <c r="F8" s="16"/>
      <c r="G8" s="16" t="s">
        <v>43</v>
      </c>
      <c r="H8" s="22">
        <f>H9</f>
        <v>23369634</v>
      </c>
      <c r="I8" s="22">
        <f t="shared" ref="I8" si="0">I9</f>
        <v>0</v>
      </c>
      <c r="J8" s="22">
        <f>H8+I8</f>
        <v>23369634</v>
      </c>
    </row>
    <row r="9" spans="1:10" ht="15.75" thickBot="1" x14ac:dyDescent="0.3">
      <c r="A9" s="199"/>
      <c r="B9" s="32">
        <f>B8+1</f>
        <v>2</v>
      </c>
      <c r="C9" s="35"/>
      <c r="D9" s="17"/>
      <c r="E9" s="17"/>
      <c r="F9" s="17"/>
      <c r="G9" s="17" t="s">
        <v>286</v>
      </c>
      <c r="H9" s="23">
        <f>H18+H13+H10</f>
        <v>23369634</v>
      </c>
      <c r="I9" s="23">
        <f t="shared" ref="I9" si="1">I18+I13+I10</f>
        <v>0</v>
      </c>
      <c r="J9" s="23">
        <f t="shared" ref="J9:J70" si="2">H9+I9</f>
        <v>23369634</v>
      </c>
    </row>
    <row r="10" spans="1:10" x14ac:dyDescent="0.2">
      <c r="A10" s="199"/>
      <c r="B10" s="32">
        <f>B9+1</f>
        <v>3</v>
      </c>
      <c r="C10" s="36">
        <v>110</v>
      </c>
      <c r="D10" s="10"/>
      <c r="E10" s="10"/>
      <c r="F10" s="10"/>
      <c r="G10" s="10" t="s">
        <v>44</v>
      </c>
      <c r="H10" s="24">
        <f>H11</f>
        <v>15333634</v>
      </c>
      <c r="I10" s="24">
        <f t="shared" ref="I10:I11" si="3">I11</f>
        <v>0</v>
      </c>
      <c r="J10" s="24">
        <f t="shared" si="2"/>
        <v>15333634</v>
      </c>
    </row>
    <row r="11" spans="1:10" x14ac:dyDescent="0.2">
      <c r="A11" s="199"/>
      <c r="B11" s="32">
        <f t="shared" ref="B11:B93" si="4">B10+1</f>
        <v>4</v>
      </c>
      <c r="C11" s="37"/>
      <c r="D11" s="3">
        <v>111</v>
      </c>
      <c r="E11" s="3"/>
      <c r="F11" s="3"/>
      <c r="G11" s="3" t="s">
        <v>45</v>
      </c>
      <c r="H11" s="25">
        <f>H12</f>
        <v>15333634</v>
      </c>
      <c r="I11" s="25">
        <f t="shared" si="3"/>
        <v>0</v>
      </c>
      <c r="J11" s="25">
        <f t="shared" si="2"/>
        <v>15333634</v>
      </c>
    </row>
    <row r="12" spans="1:10" x14ac:dyDescent="0.2">
      <c r="A12" s="199"/>
      <c r="B12" s="32">
        <f t="shared" si="4"/>
        <v>5</v>
      </c>
      <c r="C12" s="38"/>
      <c r="D12" s="4"/>
      <c r="E12" s="4">
        <v>111003</v>
      </c>
      <c r="F12" s="4"/>
      <c r="G12" s="4" t="s">
        <v>42</v>
      </c>
      <c r="H12" s="26">
        <f>15150000+102328+55306+26000</f>
        <v>15333634</v>
      </c>
      <c r="I12" s="26"/>
      <c r="J12" s="26">
        <f t="shared" si="2"/>
        <v>15333634</v>
      </c>
    </row>
    <row r="13" spans="1:10" x14ac:dyDescent="0.2">
      <c r="A13" s="199"/>
      <c r="B13" s="32">
        <f t="shared" si="4"/>
        <v>6</v>
      </c>
      <c r="C13" s="10">
        <v>120</v>
      </c>
      <c r="D13" s="10"/>
      <c r="E13" s="10"/>
      <c r="F13" s="10"/>
      <c r="G13" s="10" t="s">
        <v>47</v>
      </c>
      <c r="H13" s="24">
        <f>H14</f>
        <v>5450000</v>
      </c>
      <c r="I13" s="24">
        <f t="shared" ref="I13" si="5">I14</f>
        <v>0</v>
      </c>
      <c r="J13" s="24">
        <f t="shared" si="2"/>
        <v>5450000</v>
      </c>
    </row>
    <row r="14" spans="1:10" x14ac:dyDescent="0.2">
      <c r="A14" s="199"/>
      <c r="B14" s="32">
        <f t="shared" si="4"/>
        <v>7</v>
      </c>
      <c r="C14" s="3"/>
      <c r="D14" s="3">
        <v>121</v>
      </c>
      <c r="E14" s="3"/>
      <c r="F14" s="3"/>
      <c r="G14" s="3" t="s">
        <v>48</v>
      </c>
      <c r="H14" s="25">
        <f>H17+H16+H15</f>
        <v>5450000</v>
      </c>
      <c r="I14" s="25">
        <f t="shared" ref="I14" si="6">I17+I16+I15</f>
        <v>0</v>
      </c>
      <c r="J14" s="25">
        <f t="shared" si="2"/>
        <v>5450000</v>
      </c>
    </row>
    <row r="15" spans="1:10" x14ac:dyDescent="0.2">
      <c r="A15" s="199"/>
      <c r="B15" s="32">
        <f t="shared" si="4"/>
        <v>8</v>
      </c>
      <c r="C15" s="4"/>
      <c r="D15" s="4"/>
      <c r="E15" s="4">
        <v>121001</v>
      </c>
      <c r="F15" s="4"/>
      <c r="G15" s="4" t="s">
        <v>46</v>
      </c>
      <c r="H15" s="26">
        <v>565000</v>
      </c>
      <c r="I15" s="26"/>
      <c r="J15" s="26">
        <f t="shared" si="2"/>
        <v>565000</v>
      </c>
    </row>
    <row r="16" spans="1:10" x14ac:dyDescent="0.2">
      <c r="B16" s="32">
        <f t="shared" si="4"/>
        <v>9</v>
      </c>
      <c r="C16" s="4"/>
      <c r="D16" s="4"/>
      <c r="E16" s="4">
        <v>121002</v>
      </c>
      <c r="F16" s="4"/>
      <c r="G16" s="4" t="s">
        <v>49</v>
      </c>
      <c r="H16" s="58">
        <v>4500000</v>
      </c>
      <c r="I16" s="58"/>
      <c r="J16" s="58">
        <f t="shared" si="2"/>
        <v>4500000</v>
      </c>
    </row>
    <row r="17" spans="2:10" x14ac:dyDescent="0.2">
      <c r="B17" s="32">
        <f t="shared" si="4"/>
        <v>10</v>
      </c>
      <c r="C17" s="4"/>
      <c r="D17" s="4"/>
      <c r="E17" s="4">
        <v>121003</v>
      </c>
      <c r="F17" s="4"/>
      <c r="G17" s="4" t="s">
        <v>50</v>
      </c>
      <c r="H17" s="58">
        <v>385000</v>
      </c>
      <c r="I17" s="58"/>
      <c r="J17" s="58">
        <f t="shared" si="2"/>
        <v>385000</v>
      </c>
    </row>
    <row r="18" spans="2:10" x14ac:dyDescent="0.2">
      <c r="B18" s="32">
        <f t="shared" si="4"/>
        <v>11</v>
      </c>
      <c r="C18" s="10">
        <v>130</v>
      </c>
      <c r="D18" s="10"/>
      <c r="E18" s="10"/>
      <c r="F18" s="10"/>
      <c r="G18" s="10" t="s">
        <v>52</v>
      </c>
      <c r="H18" s="24">
        <f>H19</f>
        <v>2586000</v>
      </c>
      <c r="I18" s="24">
        <f t="shared" ref="I18" si="7">I19</f>
        <v>0</v>
      </c>
      <c r="J18" s="24">
        <f t="shared" si="2"/>
        <v>2586000</v>
      </c>
    </row>
    <row r="19" spans="2:10" x14ac:dyDescent="0.2">
      <c r="B19" s="32">
        <f t="shared" si="4"/>
        <v>12</v>
      </c>
      <c r="C19" s="3"/>
      <c r="D19" s="3">
        <v>133</v>
      </c>
      <c r="E19" s="3"/>
      <c r="F19" s="3"/>
      <c r="G19" s="3" t="s">
        <v>53</v>
      </c>
      <c r="H19" s="25">
        <f>H23+H22+H21+H20</f>
        <v>2586000</v>
      </c>
      <c r="I19" s="25">
        <f t="shared" ref="I19" si="8">I23+I22+I21+I20</f>
        <v>0</v>
      </c>
      <c r="J19" s="25">
        <f t="shared" si="2"/>
        <v>2586000</v>
      </c>
    </row>
    <row r="20" spans="2:10" x14ac:dyDescent="0.2">
      <c r="B20" s="32">
        <f t="shared" si="4"/>
        <v>13</v>
      </c>
      <c r="C20" s="4"/>
      <c r="D20" s="4"/>
      <c r="E20" s="4">
        <v>133001</v>
      </c>
      <c r="F20" s="4"/>
      <c r="G20" s="4" t="s">
        <v>51</v>
      </c>
      <c r="H20" s="26">
        <v>53000</v>
      </c>
      <c r="I20" s="26"/>
      <c r="J20" s="26">
        <f t="shared" si="2"/>
        <v>53000</v>
      </c>
    </row>
    <row r="21" spans="2:10" x14ac:dyDescent="0.2">
      <c r="B21" s="32">
        <f t="shared" si="4"/>
        <v>14</v>
      </c>
      <c r="C21" s="4"/>
      <c r="D21" s="4"/>
      <c r="E21" s="4">
        <v>133006</v>
      </c>
      <c r="F21" s="4"/>
      <c r="G21" s="4" t="s">
        <v>54</v>
      </c>
      <c r="H21" s="26">
        <f>38000+30000</f>
        <v>68000</v>
      </c>
      <c r="I21" s="26"/>
      <c r="J21" s="26">
        <f t="shared" si="2"/>
        <v>68000</v>
      </c>
    </row>
    <row r="22" spans="2:10" x14ac:dyDescent="0.2">
      <c r="B22" s="32">
        <f t="shared" si="4"/>
        <v>15</v>
      </c>
      <c r="C22" s="4"/>
      <c r="D22" s="4"/>
      <c r="E22" s="4">
        <v>133012</v>
      </c>
      <c r="F22" s="4"/>
      <c r="G22" s="4" t="s">
        <v>55</v>
      </c>
      <c r="H22" s="26">
        <v>65000</v>
      </c>
      <c r="I22" s="26"/>
      <c r="J22" s="26">
        <f t="shared" si="2"/>
        <v>65000</v>
      </c>
    </row>
    <row r="23" spans="2:10" x14ac:dyDescent="0.2">
      <c r="B23" s="32">
        <f>B22+1</f>
        <v>16</v>
      </c>
      <c r="C23" s="4"/>
      <c r="D23" s="4"/>
      <c r="E23" s="4">
        <v>133013</v>
      </c>
      <c r="F23" s="4"/>
      <c r="G23" s="4" t="s">
        <v>56</v>
      </c>
      <c r="H23" s="26">
        <v>2400000</v>
      </c>
      <c r="I23" s="26"/>
      <c r="J23" s="26">
        <f t="shared" si="2"/>
        <v>2400000</v>
      </c>
    </row>
    <row r="24" spans="2:10" ht="16.5" thickBot="1" x14ac:dyDescent="0.3">
      <c r="B24" s="32">
        <f t="shared" si="4"/>
        <v>17</v>
      </c>
      <c r="C24" s="16">
        <v>200</v>
      </c>
      <c r="D24" s="16"/>
      <c r="E24" s="16"/>
      <c r="F24" s="16"/>
      <c r="G24" s="16" t="s">
        <v>170</v>
      </c>
      <c r="H24" s="22">
        <f>H334+H320+H306+H291+H277+H261+H248+H240+H226+H170+H98+H94+H57+H53+H25</f>
        <v>3415471</v>
      </c>
      <c r="I24" s="22">
        <f>I334+I320+I306+I291+I277+I261+I248+I240+I226+I170+I98+I94+I57+I53+I25</f>
        <v>-212932</v>
      </c>
      <c r="J24" s="22">
        <f t="shared" si="2"/>
        <v>3202539</v>
      </c>
    </row>
    <row r="25" spans="2:10" ht="15.75" thickBot="1" x14ac:dyDescent="0.3">
      <c r="B25" s="32">
        <f t="shared" si="4"/>
        <v>18</v>
      </c>
      <c r="C25" s="17"/>
      <c r="D25" s="17"/>
      <c r="E25" s="17"/>
      <c r="F25" s="17"/>
      <c r="G25" s="17" t="s">
        <v>286</v>
      </c>
      <c r="H25" s="23">
        <f>H48+H45+H35+H26</f>
        <v>1465801</v>
      </c>
      <c r="I25" s="23">
        <f t="shared" ref="I25" si="9">I48+I45+I35+I26</f>
        <v>0</v>
      </c>
      <c r="J25" s="23">
        <f t="shared" si="2"/>
        <v>1465801</v>
      </c>
    </row>
    <row r="26" spans="2:10" x14ac:dyDescent="0.2">
      <c r="B26" s="32">
        <f t="shared" si="4"/>
        <v>19</v>
      </c>
      <c r="C26" s="10">
        <v>210</v>
      </c>
      <c r="D26" s="10"/>
      <c r="E26" s="10"/>
      <c r="F26" s="10"/>
      <c r="G26" s="10" t="s">
        <v>21</v>
      </c>
      <c r="H26" s="24">
        <f>H27</f>
        <v>463020</v>
      </c>
      <c r="I26" s="24">
        <f t="shared" ref="I26" si="10">I27</f>
        <v>0</v>
      </c>
      <c r="J26" s="24">
        <f t="shared" si="2"/>
        <v>463020</v>
      </c>
    </row>
    <row r="27" spans="2:10" x14ac:dyDescent="0.2">
      <c r="B27" s="32">
        <f t="shared" si="4"/>
        <v>20</v>
      </c>
      <c r="C27" s="3"/>
      <c r="D27" s="3">
        <v>212</v>
      </c>
      <c r="E27" s="3"/>
      <c r="F27" s="3"/>
      <c r="G27" s="3" t="s">
        <v>22</v>
      </c>
      <c r="H27" s="25">
        <f>H29+H28</f>
        <v>463020</v>
      </c>
      <c r="I27" s="25">
        <f t="shared" ref="I27" si="11">I29+I28</f>
        <v>0</v>
      </c>
      <c r="J27" s="25">
        <f t="shared" si="2"/>
        <v>463020</v>
      </c>
    </row>
    <row r="28" spans="2:10" x14ac:dyDescent="0.2">
      <c r="B28" s="32">
        <f t="shared" si="4"/>
        <v>21</v>
      </c>
      <c r="C28" s="4"/>
      <c r="D28" s="4"/>
      <c r="E28" s="4">
        <v>212002</v>
      </c>
      <c r="F28" s="4"/>
      <c r="G28" s="4" t="s">
        <v>57</v>
      </c>
      <c r="H28" s="26">
        <v>89090</v>
      </c>
      <c r="I28" s="26"/>
      <c r="J28" s="26">
        <f t="shared" si="2"/>
        <v>89090</v>
      </c>
    </row>
    <row r="29" spans="2:10" x14ac:dyDescent="0.2">
      <c r="B29" s="32">
        <f t="shared" si="4"/>
        <v>22</v>
      </c>
      <c r="C29" s="4"/>
      <c r="D29" s="4"/>
      <c r="E29" s="4">
        <v>212003</v>
      </c>
      <c r="F29" s="4"/>
      <c r="G29" s="4" t="s">
        <v>23</v>
      </c>
      <c r="H29" s="26">
        <f>SUM(H30:H34)</f>
        <v>373930</v>
      </c>
      <c r="I29" s="26"/>
      <c r="J29" s="26">
        <f t="shared" si="2"/>
        <v>373930</v>
      </c>
    </row>
    <row r="30" spans="2:10" x14ac:dyDescent="0.2">
      <c r="B30" s="32">
        <f t="shared" si="4"/>
        <v>23</v>
      </c>
      <c r="C30" s="4"/>
      <c r="D30" s="4"/>
      <c r="E30" s="4"/>
      <c r="F30" s="4"/>
      <c r="G30" s="30" t="s">
        <v>329</v>
      </c>
      <c r="H30" s="76">
        <v>30230</v>
      </c>
      <c r="I30" s="76"/>
      <c r="J30" s="76">
        <f t="shared" si="2"/>
        <v>30230</v>
      </c>
    </row>
    <row r="31" spans="2:10" x14ac:dyDescent="0.2">
      <c r="B31" s="32">
        <f t="shared" si="4"/>
        <v>24</v>
      </c>
      <c r="C31" s="4"/>
      <c r="D31" s="4"/>
      <c r="E31" s="4"/>
      <c r="F31" s="4"/>
      <c r="G31" s="30" t="s">
        <v>330</v>
      </c>
      <c r="H31" s="76">
        <f>235450+1500-13850</f>
        <v>223100</v>
      </c>
      <c r="I31" s="76"/>
      <c r="J31" s="76">
        <f t="shared" si="2"/>
        <v>223100</v>
      </c>
    </row>
    <row r="32" spans="2:10" x14ac:dyDescent="0.2">
      <c r="B32" s="32">
        <f t="shared" si="4"/>
        <v>25</v>
      </c>
      <c r="C32" s="4"/>
      <c r="D32" s="4"/>
      <c r="E32" s="4"/>
      <c r="F32" s="4"/>
      <c r="G32" s="30" t="s">
        <v>331</v>
      </c>
      <c r="H32" s="76">
        <v>29200</v>
      </c>
      <c r="I32" s="76"/>
      <c r="J32" s="76">
        <f t="shared" si="2"/>
        <v>29200</v>
      </c>
    </row>
    <row r="33" spans="1:10" x14ac:dyDescent="0.2">
      <c r="B33" s="32">
        <f t="shared" si="4"/>
        <v>26</v>
      </c>
      <c r="C33" s="4"/>
      <c r="D33" s="4"/>
      <c r="E33" s="4"/>
      <c r="F33" s="4"/>
      <c r="G33" s="30" t="s">
        <v>332</v>
      </c>
      <c r="H33" s="76">
        <v>81400</v>
      </c>
      <c r="I33" s="76"/>
      <c r="J33" s="76">
        <f t="shared" si="2"/>
        <v>81400</v>
      </c>
    </row>
    <row r="34" spans="1:10" x14ac:dyDescent="0.2">
      <c r="B34" s="32">
        <f t="shared" si="4"/>
        <v>27</v>
      </c>
      <c r="C34" s="4"/>
      <c r="D34" s="4"/>
      <c r="E34" s="4"/>
      <c r="F34" s="4"/>
      <c r="G34" s="30" t="s">
        <v>333</v>
      </c>
      <c r="H34" s="76">
        <v>10000</v>
      </c>
      <c r="I34" s="76"/>
      <c r="J34" s="76">
        <f t="shared" si="2"/>
        <v>10000</v>
      </c>
    </row>
    <row r="35" spans="1:10" x14ac:dyDescent="0.2">
      <c r="B35" s="32">
        <f t="shared" si="4"/>
        <v>28</v>
      </c>
      <c r="C35" s="10">
        <v>220</v>
      </c>
      <c r="D35" s="10"/>
      <c r="E35" s="10"/>
      <c r="F35" s="10"/>
      <c r="G35" s="10" t="s">
        <v>225</v>
      </c>
      <c r="H35" s="24">
        <f>H43+H41+H39+H36</f>
        <v>460600</v>
      </c>
      <c r="I35" s="24">
        <f t="shared" ref="I35" si="12">I43+I41+I39+I36</f>
        <v>0</v>
      </c>
      <c r="J35" s="24">
        <f t="shared" si="2"/>
        <v>460600</v>
      </c>
    </row>
    <row r="36" spans="1:10" x14ac:dyDescent="0.2">
      <c r="B36" s="32">
        <f t="shared" si="4"/>
        <v>29</v>
      </c>
      <c r="C36" s="3"/>
      <c r="D36" s="3">
        <v>221</v>
      </c>
      <c r="E36" s="3"/>
      <c r="F36" s="3"/>
      <c r="G36" s="3" t="s">
        <v>226</v>
      </c>
      <c r="H36" s="25">
        <f>H38+H37</f>
        <v>289000</v>
      </c>
      <c r="I36" s="25">
        <f t="shared" ref="I36" si="13">I38+I37</f>
        <v>0</v>
      </c>
      <c r="J36" s="25">
        <f t="shared" si="2"/>
        <v>289000</v>
      </c>
    </row>
    <row r="37" spans="1:10" x14ac:dyDescent="0.2">
      <c r="B37" s="32">
        <f t="shared" si="4"/>
        <v>30</v>
      </c>
      <c r="C37" s="4"/>
      <c r="D37" s="4"/>
      <c r="E37" s="4">
        <v>221004</v>
      </c>
      <c r="F37" s="4"/>
      <c r="G37" s="4" t="s">
        <v>227</v>
      </c>
      <c r="H37" s="26">
        <f>180000-25000+8500+10000</f>
        <v>173500</v>
      </c>
      <c r="I37" s="26"/>
      <c r="J37" s="26">
        <f t="shared" si="2"/>
        <v>173500</v>
      </c>
    </row>
    <row r="38" spans="1:10" x14ac:dyDescent="0.2">
      <c r="B38" s="32">
        <f t="shared" si="4"/>
        <v>31</v>
      </c>
      <c r="C38" s="4"/>
      <c r="D38" s="4"/>
      <c r="E38" s="4">
        <v>221005</v>
      </c>
      <c r="F38" s="4"/>
      <c r="G38" s="31" t="s">
        <v>242</v>
      </c>
      <c r="H38" s="76">
        <v>115500</v>
      </c>
      <c r="I38" s="76"/>
      <c r="J38" s="76">
        <f t="shared" si="2"/>
        <v>115500</v>
      </c>
    </row>
    <row r="39" spans="1:10" x14ac:dyDescent="0.2">
      <c r="B39" s="32">
        <f t="shared" si="4"/>
        <v>32</v>
      </c>
      <c r="C39" s="3"/>
      <c r="D39" s="3">
        <v>222</v>
      </c>
      <c r="E39" s="3"/>
      <c r="F39" s="3"/>
      <c r="G39" s="3" t="s">
        <v>241</v>
      </c>
      <c r="H39" s="25">
        <f>H40</f>
        <v>90000</v>
      </c>
      <c r="I39" s="25">
        <f t="shared" ref="I39" si="14">I40</f>
        <v>0</v>
      </c>
      <c r="J39" s="25">
        <f t="shared" si="2"/>
        <v>90000</v>
      </c>
    </row>
    <row r="40" spans="1:10" x14ac:dyDescent="0.2">
      <c r="B40" s="32">
        <f t="shared" si="4"/>
        <v>33</v>
      </c>
      <c r="C40" s="4"/>
      <c r="D40" s="4"/>
      <c r="E40" s="4">
        <v>222003</v>
      </c>
      <c r="F40" s="4"/>
      <c r="G40" s="4" t="s">
        <v>240</v>
      </c>
      <c r="H40" s="26">
        <v>90000</v>
      </c>
      <c r="I40" s="26"/>
      <c r="J40" s="26">
        <f t="shared" si="2"/>
        <v>90000</v>
      </c>
    </row>
    <row r="41" spans="1:10" x14ac:dyDescent="0.2">
      <c r="B41" s="32">
        <f t="shared" si="4"/>
        <v>34</v>
      </c>
      <c r="C41" s="3"/>
      <c r="D41" s="3">
        <v>223</v>
      </c>
      <c r="E41" s="3"/>
      <c r="F41" s="3"/>
      <c r="G41" s="3" t="s">
        <v>25</v>
      </c>
      <c r="H41" s="25">
        <f>H42</f>
        <v>80000</v>
      </c>
      <c r="I41" s="25">
        <f t="shared" ref="I41" si="15">I42</f>
        <v>0</v>
      </c>
      <c r="J41" s="25">
        <f t="shared" si="2"/>
        <v>80000</v>
      </c>
    </row>
    <row r="42" spans="1:10" x14ac:dyDescent="0.2">
      <c r="B42" s="32">
        <f t="shared" si="4"/>
        <v>35</v>
      </c>
      <c r="C42" s="4"/>
      <c r="D42" s="4"/>
      <c r="E42" s="4">
        <v>223001</v>
      </c>
      <c r="F42" s="4"/>
      <c r="G42" s="4" t="s">
        <v>26</v>
      </c>
      <c r="H42" s="26">
        <v>80000</v>
      </c>
      <c r="I42" s="26"/>
      <c r="J42" s="26">
        <f t="shared" si="2"/>
        <v>80000</v>
      </c>
    </row>
    <row r="43" spans="1:10" x14ac:dyDescent="0.2">
      <c r="B43" s="32">
        <f t="shared" si="4"/>
        <v>36</v>
      </c>
      <c r="C43" s="3"/>
      <c r="D43" s="3">
        <v>229</v>
      </c>
      <c r="E43" s="3"/>
      <c r="F43" s="3"/>
      <c r="G43" s="3" t="s">
        <v>39</v>
      </c>
      <c r="H43" s="25">
        <f>H44</f>
        <v>1600</v>
      </c>
      <c r="I43" s="25">
        <f t="shared" ref="I43" si="16">I44</f>
        <v>0</v>
      </c>
      <c r="J43" s="25">
        <f t="shared" si="2"/>
        <v>1600</v>
      </c>
    </row>
    <row r="44" spans="1:10" x14ac:dyDescent="0.2">
      <c r="B44" s="32">
        <f t="shared" si="4"/>
        <v>37</v>
      </c>
      <c r="C44" s="4"/>
      <c r="D44" s="4"/>
      <c r="E44" s="4">
        <v>229005</v>
      </c>
      <c r="F44" s="4"/>
      <c r="G44" s="4" t="s">
        <v>40</v>
      </c>
      <c r="H44" s="26">
        <v>1600</v>
      </c>
      <c r="I44" s="26"/>
      <c r="J44" s="26">
        <f t="shared" si="2"/>
        <v>1600</v>
      </c>
    </row>
    <row r="45" spans="1:10" x14ac:dyDescent="0.2">
      <c r="B45" s="32">
        <f t="shared" si="4"/>
        <v>38</v>
      </c>
      <c r="C45" s="10">
        <v>240</v>
      </c>
      <c r="D45" s="10"/>
      <c r="E45" s="10"/>
      <c r="F45" s="10"/>
      <c r="G45" s="10" t="s">
        <v>175</v>
      </c>
      <c r="H45" s="24">
        <f>H46</f>
        <v>2000</v>
      </c>
      <c r="I45" s="24">
        <f t="shared" ref="I45:I46" si="17">I46</f>
        <v>0</v>
      </c>
      <c r="J45" s="24">
        <f t="shared" si="2"/>
        <v>2000</v>
      </c>
    </row>
    <row r="46" spans="1:10" x14ac:dyDescent="0.2">
      <c r="A46" s="221"/>
      <c r="B46" s="32">
        <f t="shared" si="4"/>
        <v>39</v>
      </c>
      <c r="C46" s="3"/>
      <c r="D46" s="3">
        <v>242</v>
      </c>
      <c r="E46" s="3"/>
      <c r="F46" s="3"/>
      <c r="G46" s="3" t="s">
        <v>174</v>
      </c>
      <c r="H46" s="25">
        <f>H47</f>
        <v>2000</v>
      </c>
      <c r="I46" s="25">
        <f t="shared" si="17"/>
        <v>0</v>
      </c>
      <c r="J46" s="25">
        <f t="shared" si="2"/>
        <v>2000</v>
      </c>
    </row>
    <row r="47" spans="1:10" x14ac:dyDescent="0.2">
      <c r="A47" s="221"/>
      <c r="B47" s="32">
        <f t="shared" si="4"/>
        <v>40</v>
      </c>
      <c r="C47" s="4"/>
      <c r="D47" s="4"/>
      <c r="E47" s="4">
        <v>242</v>
      </c>
      <c r="F47" s="4"/>
      <c r="G47" s="4" t="s">
        <v>174</v>
      </c>
      <c r="H47" s="26">
        <v>2000</v>
      </c>
      <c r="I47" s="26"/>
      <c r="J47" s="26">
        <f t="shared" si="2"/>
        <v>2000</v>
      </c>
    </row>
    <row r="48" spans="1:10" x14ac:dyDescent="0.2">
      <c r="B48" s="32">
        <f t="shared" si="4"/>
        <v>41</v>
      </c>
      <c r="C48" s="10">
        <v>290</v>
      </c>
      <c r="D48" s="10"/>
      <c r="E48" s="10"/>
      <c r="F48" s="10"/>
      <c r="G48" s="10" t="s">
        <v>176</v>
      </c>
      <c r="H48" s="24">
        <f>H49</f>
        <v>540181</v>
      </c>
      <c r="I48" s="24">
        <f t="shared" ref="I48" si="18">I49</f>
        <v>0</v>
      </c>
      <c r="J48" s="24">
        <f t="shared" si="2"/>
        <v>540181</v>
      </c>
    </row>
    <row r="49" spans="1:10" x14ac:dyDescent="0.2">
      <c r="A49" s="82"/>
      <c r="B49" s="32">
        <f t="shared" si="4"/>
        <v>42</v>
      </c>
      <c r="C49" s="3"/>
      <c r="D49" s="3">
        <v>292</v>
      </c>
      <c r="E49" s="3"/>
      <c r="F49" s="3"/>
      <c r="G49" s="3" t="s">
        <v>177</v>
      </c>
      <c r="H49" s="25">
        <f>H50+H52+H51</f>
        <v>540181</v>
      </c>
      <c r="I49" s="25">
        <f t="shared" ref="I49" si="19">I50+I52+I51</f>
        <v>0</v>
      </c>
      <c r="J49" s="25">
        <f t="shared" si="2"/>
        <v>540181</v>
      </c>
    </row>
    <row r="50" spans="1:10" x14ac:dyDescent="0.2">
      <c r="A50" s="82"/>
      <c r="B50" s="32">
        <f t="shared" si="4"/>
        <v>43</v>
      </c>
      <c r="C50" s="4"/>
      <c r="D50" s="4"/>
      <c r="E50" s="4">
        <v>292008</v>
      </c>
      <c r="F50" s="4"/>
      <c r="G50" s="4" t="s">
        <v>178</v>
      </c>
      <c r="H50" s="58">
        <v>300000</v>
      </c>
      <c r="I50" s="58"/>
      <c r="J50" s="58">
        <f t="shared" si="2"/>
        <v>300000</v>
      </c>
    </row>
    <row r="51" spans="1:10" x14ac:dyDescent="0.2">
      <c r="A51" s="82"/>
      <c r="B51" s="32">
        <f t="shared" si="4"/>
        <v>44</v>
      </c>
      <c r="C51" s="4"/>
      <c r="D51" s="4"/>
      <c r="E51" s="4">
        <v>292017</v>
      </c>
      <c r="F51" s="4"/>
      <c r="G51" s="4" t="s">
        <v>555</v>
      </c>
      <c r="H51" s="58">
        <f>102786+19268</f>
        <v>122054</v>
      </c>
      <c r="I51" s="58"/>
      <c r="J51" s="58">
        <f t="shared" si="2"/>
        <v>122054</v>
      </c>
    </row>
    <row r="52" spans="1:10" ht="13.5" thickBot="1" x14ac:dyDescent="0.25">
      <c r="A52" s="82"/>
      <c r="B52" s="32">
        <f t="shared" si="4"/>
        <v>45</v>
      </c>
      <c r="C52" s="4"/>
      <c r="D52" s="4"/>
      <c r="E52" s="4">
        <v>292027</v>
      </c>
      <c r="F52" s="4"/>
      <c r="G52" s="4" t="s">
        <v>38</v>
      </c>
      <c r="H52" s="58">
        <f>100000-7173+25300</f>
        <v>118127</v>
      </c>
      <c r="I52" s="58"/>
      <c r="J52" s="58">
        <f t="shared" si="2"/>
        <v>118127</v>
      </c>
    </row>
    <row r="53" spans="1:10" ht="15.75" thickBot="1" x14ac:dyDescent="0.3">
      <c r="B53" s="32">
        <f t="shared" si="4"/>
        <v>46</v>
      </c>
      <c r="C53" s="17">
        <v>1</v>
      </c>
      <c r="D53" s="17"/>
      <c r="E53" s="17"/>
      <c r="F53" s="17"/>
      <c r="G53" s="17" t="s">
        <v>321</v>
      </c>
      <c r="H53" s="23">
        <f>H54</f>
        <v>2370</v>
      </c>
      <c r="I53" s="23">
        <f t="shared" ref="I53:I55" si="20">I54</f>
        <v>0</v>
      </c>
      <c r="J53" s="23">
        <f t="shared" si="2"/>
        <v>2370</v>
      </c>
    </row>
    <row r="54" spans="1:10" x14ac:dyDescent="0.2">
      <c r="B54" s="32">
        <f t="shared" si="4"/>
        <v>47</v>
      </c>
      <c r="C54" s="10">
        <v>220</v>
      </c>
      <c r="D54" s="10"/>
      <c r="E54" s="10"/>
      <c r="F54" s="10"/>
      <c r="G54" s="10" t="s">
        <v>225</v>
      </c>
      <c r="H54" s="24">
        <f>H55</f>
        <v>2370</v>
      </c>
      <c r="I54" s="24">
        <f t="shared" si="20"/>
        <v>0</v>
      </c>
      <c r="J54" s="24">
        <f t="shared" si="2"/>
        <v>2370</v>
      </c>
    </row>
    <row r="55" spans="1:10" x14ac:dyDescent="0.2">
      <c r="B55" s="32">
        <f t="shared" si="4"/>
        <v>48</v>
      </c>
      <c r="C55" s="3"/>
      <c r="D55" s="3">
        <v>223</v>
      </c>
      <c r="E55" s="3"/>
      <c r="F55" s="3"/>
      <c r="G55" s="3" t="s">
        <v>25</v>
      </c>
      <c r="H55" s="25">
        <f>H56</f>
        <v>2370</v>
      </c>
      <c r="I55" s="25">
        <f t="shared" si="20"/>
        <v>0</v>
      </c>
      <c r="J55" s="25">
        <f t="shared" si="2"/>
        <v>2370</v>
      </c>
    </row>
    <row r="56" spans="1:10" ht="13.5" thickBot="1" x14ac:dyDescent="0.25">
      <c r="B56" s="32">
        <f t="shared" si="4"/>
        <v>49</v>
      </c>
      <c r="C56" s="4"/>
      <c r="D56" s="4"/>
      <c r="E56" s="4">
        <v>223002</v>
      </c>
      <c r="F56" s="4"/>
      <c r="G56" s="4" t="s">
        <v>69</v>
      </c>
      <c r="H56" s="26">
        <v>2370</v>
      </c>
      <c r="I56" s="26"/>
      <c r="J56" s="26">
        <f t="shared" si="2"/>
        <v>2370</v>
      </c>
    </row>
    <row r="57" spans="1:10" ht="15.75" thickBot="1" x14ac:dyDescent="0.3">
      <c r="B57" s="32">
        <f t="shared" si="4"/>
        <v>50</v>
      </c>
      <c r="C57" s="17">
        <v>2</v>
      </c>
      <c r="D57" s="17"/>
      <c r="E57" s="17"/>
      <c r="F57" s="17"/>
      <c r="G57" s="17" t="s">
        <v>258</v>
      </c>
      <c r="H57" s="23">
        <f>H58+H71</f>
        <v>564040</v>
      </c>
      <c r="I57" s="23">
        <f>I58+I71</f>
        <v>0</v>
      </c>
      <c r="J57" s="23">
        <f t="shared" si="2"/>
        <v>564040</v>
      </c>
    </row>
    <row r="58" spans="1:10" x14ac:dyDescent="0.2">
      <c r="B58" s="32">
        <f t="shared" si="4"/>
        <v>51</v>
      </c>
      <c r="C58" s="3">
        <v>210</v>
      </c>
      <c r="D58" s="3"/>
      <c r="E58" s="3"/>
      <c r="F58" s="3"/>
      <c r="G58" s="3" t="s">
        <v>21</v>
      </c>
      <c r="H58" s="25">
        <f>H59</f>
        <v>94140</v>
      </c>
      <c r="I58" s="25">
        <f t="shared" ref="I58" si="21">I59</f>
        <v>0</v>
      </c>
      <c r="J58" s="25">
        <f t="shared" si="2"/>
        <v>94140</v>
      </c>
    </row>
    <row r="59" spans="1:10" x14ac:dyDescent="0.2">
      <c r="B59" s="32">
        <f t="shared" si="4"/>
        <v>52</v>
      </c>
      <c r="C59" s="4"/>
      <c r="D59" s="4">
        <v>212</v>
      </c>
      <c r="E59" s="4"/>
      <c r="F59" s="4"/>
      <c r="G59" s="4" t="s">
        <v>22</v>
      </c>
      <c r="H59" s="26">
        <f>H60+H64</f>
        <v>94140</v>
      </c>
      <c r="I59" s="26">
        <f t="shared" ref="I59" si="22">I60+I64</f>
        <v>0</v>
      </c>
      <c r="J59" s="26">
        <f t="shared" si="2"/>
        <v>94140</v>
      </c>
    </row>
    <row r="60" spans="1:10" x14ac:dyDescent="0.2">
      <c r="B60" s="32">
        <f t="shared" si="4"/>
        <v>53</v>
      </c>
      <c r="C60" s="5"/>
      <c r="D60" s="5"/>
      <c r="E60" s="91">
        <v>212002</v>
      </c>
      <c r="F60" s="91"/>
      <c r="G60" s="104" t="s">
        <v>57</v>
      </c>
      <c r="H60" s="92">
        <f>SUM(H61:H63)</f>
        <v>1000</v>
      </c>
      <c r="I60" s="92">
        <f t="shared" ref="I60" si="23">SUM(I61:I63)</f>
        <v>0</v>
      </c>
      <c r="J60" s="92">
        <f t="shared" si="2"/>
        <v>1000</v>
      </c>
    </row>
    <row r="61" spans="1:10" x14ac:dyDescent="0.2">
      <c r="B61" s="32">
        <f t="shared" si="4"/>
        <v>54</v>
      </c>
      <c r="C61" s="5"/>
      <c r="D61" s="5"/>
      <c r="E61" s="5"/>
      <c r="F61" s="5"/>
      <c r="G61" s="105" t="s">
        <v>320</v>
      </c>
      <c r="H61" s="27">
        <v>500</v>
      </c>
      <c r="I61" s="27"/>
      <c r="J61" s="27">
        <f t="shared" si="2"/>
        <v>500</v>
      </c>
    </row>
    <row r="62" spans="1:10" x14ac:dyDescent="0.2">
      <c r="B62" s="32">
        <f t="shared" si="4"/>
        <v>55</v>
      </c>
      <c r="C62" s="5"/>
      <c r="D62" s="5"/>
      <c r="E62" s="5"/>
      <c r="F62" s="5"/>
      <c r="G62" s="105" t="s">
        <v>261</v>
      </c>
      <c r="H62" s="27">
        <v>200</v>
      </c>
      <c r="I62" s="27"/>
      <c r="J62" s="27">
        <f t="shared" si="2"/>
        <v>200</v>
      </c>
    </row>
    <row r="63" spans="1:10" x14ac:dyDescent="0.2">
      <c r="B63" s="32">
        <f t="shared" si="4"/>
        <v>56</v>
      </c>
      <c r="C63" s="5"/>
      <c r="D63" s="5"/>
      <c r="E63" s="5"/>
      <c r="F63" s="5"/>
      <c r="G63" s="105" t="s">
        <v>265</v>
      </c>
      <c r="H63" s="27">
        <v>300</v>
      </c>
      <c r="I63" s="27"/>
      <c r="J63" s="27">
        <f t="shared" si="2"/>
        <v>300</v>
      </c>
    </row>
    <row r="64" spans="1:10" x14ac:dyDescent="0.2">
      <c r="B64" s="32">
        <f t="shared" si="4"/>
        <v>57</v>
      </c>
      <c r="C64" s="5"/>
      <c r="D64" s="5"/>
      <c r="E64" s="91">
        <v>212003</v>
      </c>
      <c r="F64" s="91"/>
      <c r="G64" s="104" t="s">
        <v>23</v>
      </c>
      <c r="H64" s="92">
        <f>SUM(H65:H70)</f>
        <v>93140</v>
      </c>
      <c r="I64" s="92">
        <f>SUM(I65:I70)</f>
        <v>0</v>
      </c>
      <c r="J64" s="92">
        <f t="shared" si="2"/>
        <v>93140</v>
      </c>
    </row>
    <row r="65" spans="2:10" x14ac:dyDescent="0.2">
      <c r="B65" s="32">
        <f t="shared" si="4"/>
        <v>58</v>
      </c>
      <c r="C65" s="5"/>
      <c r="D65" s="5"/>
      <c r="E65" s="5"/>
      <c r="F65" s="5"/>
      <c r="G65" s="105" t="s">
        <v>393</v>
      </c>
      <c r="H65" s="27">
        <v>20500</v>
      </c>
      <c r="I65" s="27"/>
      <c r="J65" s="27">
        <f t="shared" si="2"/>
        <v>20500</v>
      </c>
    </row>
    <row r="66" spans="2:10" x14ac:dyDescent="0.2">
      <c r="B66" s="32">
        <f t="shared" si="4"/>
        <v>59</v>
      </c>
      <c r="C66" s="5"/>
      <c r="D66" s="5"/>
      <c r="E66" s="5"/>
      <c r="F66" s="5"/>
      <c r="G66" s="105" t="s">
        <v>262</v>
      </c>
      <c r="H66" s="27">
        <v>15500</v>
      </c>
      <c r="I66" s="27"/>
      <c r="J66" s="27">
        <f t="shared" si="2"/>
        <v>15500</v>
      </c>
    </row>
    <row r="67" spans="2:10" x14ac:dyDescent="0.2">
      <c r="B67" s="32">
        <f t="shared" si="4"/>
        <v>60</v>
      </c>
      <c r="C67" s="5"/>
      <c r="D67" s="5"/>
      <c r="E67" s="5"/>
      <c r="F67" s="5"/>
      <c r="G67" s="105" t="s">
        <v>320</v>
      </c>
      <c r="H67" s="27">
        <v>2000</v>
      </c>
      <c r="I67" s="27"/>
      <c r="J67" s="27">
        <f t="shared" si="2"/>
        <v>2000</v>
      </c>
    </row>
    <row r="68" spans="2:10" x14ac:dyDescent="0.2">
      <c r="B68" s="32">
        <f t="shared" si="4"/>
        <v>61</v>
      </c>
      <c r="C68" s="5"/>
      <c r="D68" s="5"/>
      <c r="E68" s="5"/>
      <c r="F68" s="5"/>
      <c r="G68" s="105" t="s">
        <v>214</v>
      </c>
      <c r="H68" s="27">
        <v>50000</v>
      </c>
      <c r="I68" s="27"/>
      <c r="J68" s="27">
        <f t="shared" si="2"/>
        <v>50000</v>
      </c>
    </row>
    <row r="69" spans="2:10" x14ac:dyDescent="0.2">
      <c r="B69" s="32">
        <f t="shared" si="4"/>
        <v>62</v>
      </c>
      <c r="C69" s="5"/>
      <c r="D69" s="5"/>
      <c r="E69" s="5"/>
      <c r="F69" s="5"/>
      <c r="G69" s="105" t="s">
        <v>260</v>
      </c>
      <c r="H69" s="27">
        <v>40</v>
      </c>
      <c r="I69" s="27"/>
      <c r="J69" s="27">
        <f t="shared" si="2"/>
        <v>40</v>
      </c>
    </row>
    <row r="70" spans="2:10" x14ac:dyDescent="0.2">
      <c r="B70" s="32">
        <f t="shared" si="4"/>
        <v>63</v>
      </c>
      <c r="C70" s="5"/>
      <c r="D70" s="5"/>
      <c r="E70" s="5"/>
      <c r="F70" s="5"/>
      <c r="G70" s="105" t="s">
        <v>397</v>
      </c>
      <c r="H70" s="27">
        <v>5100</v>
      </c>
      <c r="I70" s="27"/>
      <c r="J70" s="27">
        <f t="shared" si="2"/>
        <v>5100</v>
      </c>
    </row>
    <row r="71" spans="2:10" x14ac:dyDescent="0.2">
      <c r="B71" s="32">
        <f t="shared" si="4"/>
        <v>64</v>
      </c>
      <c r="C71" s="3">
        <v>220</v>
      </c>
      <c r="D71" s="3"/>
      <c r="E71" s="3"/>
      <c r="F71" s="3"/>
      <c r="G71" s="3" t="s">
        <v>225</v>
      </c>
      <c r="H71" s="25">
        <f>H72</f>
        <v>469900</v>
      </c>
      <c r="I71" s="25">
        <f t="shared" ref="I71" si="24">I72</f>
        <v>0</v>
      </c>
      <c r="J71" s="25">
        <f t="shared" ref="J71:J128" si="25">H71+I71</f>
        <v>469900</v>
      </c>
    </row>
    <row r="72" spans="2:10" x14ac:dyDescent="0.2">
      <c r="B72" s="32">
        <f t="shared" si="4"/>
        <v>65</v>
      </c>
      <c r="C72" s="4"/>
      <c r="D72" s="4">
        <v>223</v>
      </c>
      <c r="E72" s="4"/>
      <c r="F72" s="4"/>
      <c r="G72" s="4" t="s">
        <v>25</v>
      </c>
      <c r="H72" s="26">
        <f>H73</f>
        <v>469900</v>
      </c>
      <c r="I72" s="26"/>
      <c r="J72" s="26">
        <f t="shared" si="25"/>
        <v>469900</v>
      </c>
    </row>
    <row r="73" spans="2:10" x14ac:dyDescent="0.2">
      <c r="B73" s="32">
        <f t="shared" si="4"/>
        <v>66</v>
      </c>
      <c r="C73" s="5"/>
      <c r="D73" s="5"/>
      <c r="E73" s="91">
        <v>223001</v>
      </c>
      <c r="F73" s="91"/>
      <c r="G73" s="104" t="s">
        <v>26</v>
      </c>
      <c r="H73" s="92">
        <f>SUM(H74:H93)</f>
        <v>469900</v>
      </c>
      <c r="I73" s="92">
        <f>SUM(I74:I93)</f>
        <v>0</v>
      </c>
      <c r="J73" s="92">
        <f t="shared" si="25"/>
        <v>469900</v>
      </c>
    </row>
    <row r="74" spans="2:10" ht="12.75" customHeight="1" x14ac:dyDescent="0.2">
      <c r="B74" s="32">
        <f t="shared" si="4"/>
        <v>67</v>
      </c>
      <c r="C74" s="5"/>
      <c r="D74" s="5"/>
      <c r="E74" s="5"/>
      <c r="F74" s="212" t="s">
        <v>423</v>
      </c>
      <c r="G74" s="105" t="s">
        <v>394</v>
      </c>
      <c r="H74" s="27">
        <v>3000</v>
      </c>
      <c r="I74" s="27"/>
      <c r="J74" s="27">
        <f t="shared" si="25"/>
        <v>3000</v>
      </c>
    </row>
    <row r="75" spans="2:10" x14ac:dyDescent="0.2">
      <c r="B75" s="32">
        <f t="shared" si="4"/>
        <v>68</v>
      </c>
      <c r="C75" s="5"/>
      <c r="D75" s="5"/>
      <c r="E75" s="5"/>
      <c r="F75" s="213"/>
      <c r="G75" s="105" t="s">
        <v>395</v>
      </c>
      <c r="H75" s="27">
        <v>500</v>
      </c>
      <c r="I75" s="27"/>
      <c r="J75" s="27">
        <f t="shared" si="25"/>
        <v>500</v>
      </c>
    </row>
    <row r="76" spans="2:10" x14ac:dyDescent="0.2">
      <c r="B76" s="32">
        <f t="shared" si="4"/>
        <v>69</v>
      </c>
      <c r="C76" s="5"/>
      <c r="D76" s="5"/>
      <c r="E76" s="5"/>
      <c r="F76" s="213"/>
      <c r="G76" s="105" t="s">
        <v>396</v>
      </c>
      <c r="H76" s="27">
        <v>8000</v>
      </c>
      <c r="I76" s="27"/>
      <c r="J76" s="27">
        <f t="shared" si="25"/>
        <v>8000</v>
      </c>
    </row>
    <row r="77" spans="2:10" x14ac:dyDescent="0.2">
      <c r="B77" s="32">
        <f t="shared" si="4"/>
        <v>70</v>
      </c>
      <c r="C77" s="5"/>
      <c r="D77" s="5"/>
      <c r="E77" s="5"/>
      <c r="F77" s="213"/>
      <c r="G77" s="105" t="s">
        <v>397</v>
      </c>
      <c r="H77" s="27">
        <v>1350</v>
      </c>
      <c r="I77" s="27"/>
      <c r="J77" s="27">
        <f t="shared" si="25"/>
        <v>1350</v>
      </c>
    </row>
    <row r="78" spans="2:10" x14ac:dyDescent="0.2">
      <c r="B78" s="32">
        <f t="shared" si="4"/>
        <v>71</v>
      </c>
      <c r="C78" s="5"/>
      <c r="D78" s="5"/>
      <c r="E78" s="5"/>
      <c r="F78" s="213"/>
      <c r="G78" s="105" t="s">
        <v>204</v>
      </c>
      <c r="H78" s="27">
        <v>1000</v>
      </c>
      <c r="I78" s="27"/>
      <c r="J78" s="27">
        <f t="shared" si="25"/>
        <v>1000</v>
      </c>
    </row>
    <row r="79" spans="2:10" x14ac:dyDescent="0.2">
      <c r="B79" s="32">
        <f t="shared" si="4"/>
        <v>72</v>
      </c>
      <c r="C79" s="5"/>
      <c r="D79" s="5"/>
      <c r="E79" s="5"/>
      <c r="F79" s="213"/>
      <c r="G79" s="105" t="s">
        <v>263</v>
      </c>
      <c r="H79" s="27">
        <v>55200</v>
      </c>
      <c r="I79" s="27"/>
      <c r="J79" s="27">
        <f t="shared" si="25"/>
        <v>55200</v>
      </c>
    </row>
    <row r="80" spans="2:10" x14ac:dyDescent="0.2">
      <c r="B80" s="32">
        <f t="shared" si="4"/>
        <v>73</v>
      </c>
      <c r="C80" s="5"/>
      <c r="D80" s="5"/>
      <c r="E80" s="5"/>
      <c r="F80" s="213"/>
      <c r="G80" s="105" t="s">
        <v>393</v>
      </c>
      <c r="H80" s="27">
        <v>1000</v>
      </c>
      <c r="I80" s="27"/>
      <c r="J80" s="27">
        <f t="shared" si="25"/>
        <v>1000</v>
      </c>
    </row>
    <row r="81" spans="2:10" x14ac:dyDescent="0.2">
      <c r="B81" s="32">
        <f t="shared" si="4"/>
        <v>74</v>
      </c>
      <c r="C81" s="5"/>
      <c r="D81" s="5"/>
      <c r="E81" s="5"/>
      <c r="F81" s="213"/>
      <c r="G81" s="105" t="s">
        <v>264</v>
      </c>
      <c r="H81" s="27">
        <v>3000</v>
      </c>
      <c r="I81" s="27"/>
      <c r="J81" s="27">
        <f t="shared" si="25"/>
        <v>3000</v>
      </c>
    </row>
    <row r="82" spans="2:10" x14ac:dyDescent="0.2">
      <c r="B82" s="32">
        <f t="shared" si="4"/>
        <v>75</v>
      </c>
      <c r="C82" s="5"/>
      <c r="D82" s="5"/>
      <c r="E82" s="5"/>
      <c r="F82" s="213"/>
      <c r="G82" s="105" t="s">
        <v>421</v>
      </c>
      <c r="H82" s="27">
        <v>1000</v>
      </c>
      <c r="I82" s="27"/>
      <c r="J82" s="27">
        <f t="shared" si="25"/>
        <v>1000</v>
      </c>
    </row>
    <row r="83" spans="2:10" x14ac:dyDescent="0.2">
      <c r="B83" s="32">
        <f t="shared" si="4"/>
        <v>76</v>
      </c>
      <c r="C83" s="5"/>
      <c r="D83" s="5"/>
      <c r="E83" s="5"/>
      <c r="F83" s="213"/>
      <c r="G83" s="105" t="s">
        <v>214</v>
      </c>
      <c r="H83" s="27">
        <v>5000</v>
      </c>
      <c r="I83" s="27"/>
      <c r="J83" s="27">
        <f t="shared" si="25"/>
        <v>5000</v>
      </c>
    </row>
    <row r="84" spans="2:10" x14ac:dyDescent="0.2">
      <c r="B84" s="32">
        <f t="shared" si="4"/>
        <v>77</v>
      </c>
      <c r="C84" s="5"/>
      <c r="D84" s="5"/>
      <c r="E84" s="5"/>
      <c r="F84" s="214"/>
      <c r="G84" s="105" t="s">
        <v>422</v>
      </c>
      <c r="H84" s="27">
        <v>10300</v>
      </c>
      <c r="I84" s="27"/>
      <c r="J84" s="27">
        <f t="shared" si="25"/>
        <v>10300</v>
      </c>
    </row>
    <row r="85" spans="2:10" x14ac:dyDescent="0.2">
      <c r="B85" s="32">
        <f t="shared" si="4"/>
        <v>78</v>
      </c>
      <c r="C85" s="5"/>
      <c r="D85" s="5"/>
      <c r="E85" s="5"/>
      <c r="F85" s="5"/>
      <c r="G85" s="105" t="s">
        <v>262</v>
      </c>
      <c r="H85" s="27">
        <v>144000</v>
      </c>
      <c r="I85" s="27"/>
      <c r="J85" s="27">
        <f t="shared" si="25"/>
        <v>144000</v>
      </c>
    </row>
    <row r="86" spans="2:10" x14ac:dyDescent="0.2">
      <c r="B86" s="32">
        <f t="shared" si="4"/>
        <v>79</v>
      </c>
      <c r="C86" s="5"/>
      <c r="D86" s="5"/>
      <c r="E86" s="5"/>
      <c r="F86" s="5"/>
      <c r="G86" s="105" t="s">
        <v>320</v>
      </c>
      <c r="H86" s="27">
        <v>95000</v>
      </c>
      <c r="I86" s="27"/>
      <c r="J86" s="27">
        <f t="shared" si="25"/>
        <v>95000</v>
      </c>
    </row>
    <row r="87" spans="2:10" x14ac:dyDescent="0.2">
      <c r="B87" s="32">
        <f t="shared" si="4"/>
        <v>80</v>
      </c>
      <c r="C87" s="5"/>
      <c r="D87" s="5"/>
      <c r="E87" s="5"/>
      <c r="F87" s="5"/>
      <c r="G87" s="105" t="s">
        <v>214</v>
      </c>
      <c r="H87" s="27">
        <v>17000</v>
      </c>
      <c r="I87" s="27"/>
      <c r="J87" s="27">
        <f t="shared" si="25"/>
        <v>17000</v>
      </c>
    </row>
    <row r="88" spans="2:10" x14ac:dyDescent="0.2">
      <c r="B88" s="32">
        <f t="shared" si="4"/>
        <v>81</v>
      </c>
      <c r="C88" s="5"/>
      <c r="D88" s="5"/>
      <c r="E88" s="5"/>
      <c r="F88" s="5"/>
      <c r="G88" s="105" t="s">
        <v>1</v>
      </c>
      <c r="H88" s="27">
        <v>65000</v>
      </c>
      <c r="I88" s="27"/>
      <c r="J88" s="27">
        <f t="shared" si="25"/>
        <v>65000</v>
      </c>
    </row>
    <row r="89" spans="2:10" x14ac:dyDescent="0.2">
      <c r="B89" s="32">
        <f t="shared" si="4"/>
        <v>82</v>
      </c>
      <c r="C89" s="5"/>
      <c r="D89" s="5"/>
      <c r="E89" s="5"/>
      <c r="F89" s="5"/>
      <c r="G89" s="105" t="s">
        <v>260</v>
      </c>
      <c r="H89" s="27">
        <v>12500</v>
      </c>
      <c r="I89" s="27"/>
      <c r="J89" s="27">
        <f t="shared" si="25"/>
        <v>12500</v>
      </c>
    </row>
    <row r="90" spans="2:10" x14ac:dyDescent="0.2">
      <c r="B90" s="32">
        <f t="shared" si="4"/>
        <v>83</v>
      </c>
      <c r="C90" s="5"/>
      <c r="D90" s="5"/>
      <c r="E90" s="5"/>
      <c r="F90" s="5"/>
      <c r="G90" s="105" t="s">
        <v>261</v>
      </c>
      <c r="H90" s="27">
        <v>40000</v>
      </c>
      <c r="I90" s="27"/>
      <c r="J90" s="27">
        <f t="shared" si="25"/>
        <v>40000</v>
      </c>
    </row>
    <row r="91" spans="2:10" x14ac:dyDescent="0.2">
      <c r="B91" s="32">
        <f t="shared" si="4"/>
        <v>84</v>
      </c>
      <c r="C91" s="5"/>
      <c r="D91" s="5"/>
      <c r="E91" s="5"/>
      <c r="F91" s="5"/>
      <c r="G91" s="105" t="s">
        <v>265</v>
      </c>
      <c r="H91" s="27">
        <v>5000</v>
      </c>
      <c r="I91" s="27"/>
      <c r="J91" s="27">
        <f t="shared" si="25"/>
        <v>5000</v>
      </c>
    </row>
    <row r="92" spans="2:10" x14ac:dyDescent="0.2">
      <c r="B92" s="32">
        <f t="shared" si="4"/>
        <v>85</v>
      </c>
      <c r="C92" s="5"/>
      <c r="D92" s="5"/>
      <c r="E92" s="5"/>
      <c r="F92" s="5"/>
      <c r="G92" s="106"/>
      <c r="H92" s="27"/>
      <c r="I92" s="27"/>
      <c r="J92" s="27"/>
    </row>
    <row r="93" spans="2:10" ht="13.5" thickBot="1" x14ac:dyDescent="0.25">
      <c r="B93" s="32">
        <f t="shared" si="4"/>
        <v>86</v>
      </c>
      <c r="C93" s="5"/>
      <c r="D93" s="5"/>
      <c r="E93" s="5"/>
      <c r="F93" s="5"/>
      <c r="G93" s="106" t="s">
        <v>334</v>
      </c>
      <c r="H93" s="27">
        <v>2050</v>
      </c>
      <c r="I93" s="27"/>
      <c r="J93" s="27">
        <f t="shared" si="25"/>
        <v>2050</v>
      </c>
    </row>
    <row r="94" spans="2:10" ht="15.75" thickBot="1" x14ac:dyDescent="0.3">
      <c r="B94" s="32">
        <f t="shared" ref="B94:B97" si="26">B93+1</f>
        <v>87</v>
      </c>
      <c r="C94" s="17">
        <v>3</v>
      </c>
      <c r="D94" s="17"/>
      <c r="E94" s="17"/>
      <c r="F94" s="17"/>
      <c r="G94" s="17" t="s">
        <v>271</v>
      </c>
      <c r="H94" s="23">
        <f>H95</f>
        <v>20500</v>
      </c>
      <c r="I94" s="23">
        <f t="shared" ref="I94:I96" si="27">I95</f>
        <v>0</v>
      </c>
      <c r="J94" s="23">
        <f t="shared" si="25"/>
        <v>20500</v>
      </c>
    </row>
    <row r="95" spans="2:10" x14ac:dyDescent="0.2">
      <c r="B95" s="32">
        <f t="shared" si="26"/>
        <v>88</v>
      </c>
      <c r="C95" s="10">
        <v>220</v>
      </c>
      <c r="D95" s="10"/>
      <c r="E95" s="10"/>
      <c r="F95" s="10"/>
      <c r="G95" s="10" t="s">
        <v>225</v>
      </c>
      <c r="H95" s="24">
        <f>H96</f>
        <v>20500</v>
      </c>
      <c r="I95" s="24">
        <f t="shared" si="27"/>
        <v>0</v>
      </c>
      <c r="J95" s="24">
        <f t="shared" si="25"/>
        <v>20500</v>
      </c>
    </row>
    <row r="96" spans="2:10" x14ac:dyDescent="0.2">
      <c r="B96" s="32">
        <f t="shared" si="26"/>
        <v>89</v>
      </c>
      <c r="C96" s="3"/>
      <c r="D96" s="3">
        <v>223</v>
      </c>
      <c r="E96" s="3"/>
      <c r="F96" s="3"/>
      <c r="G96" s="3" t="s">
        <v>25</v>
      </c>
      <c r="H96" s="25">
        <f>H97</f>
        <v>20500</v>
      </c>
      <c r="I96" s="25">
        <f t="shared" si="27"/>
        <v>0</v>
      </c>
      <c r="J96" s="25">
        <f t="shared" si="25"/>
        <v>20500</v>
      </c>
    </row>
    <row r="97" spans="2:10" ht="13.5" thickBot="1" x14ac:dyDescent="0.25">
      <c r="B97" s="32">
        <f t="shared" si="26"/>
        <v>90</v>
      </c>
      <c r="C97" s="4"/>
      <c r="D97" s="4"/>
      <c r="E97" s="4">
        <v>223002</v>
      </c>
      <c r="F97" s="4"/>
      <c r="G97" s="4" t="s">
        <v>69</v>
      </c>
      <c r="H97" s="26">
        <v>20500</v>
      </c>
      <c r="I97" s="26"/>
      <c r="J97" s="26">
        <f t="shared" si="25"/>
        <v>20500</v>
      </c>
    </row>
    <row r="98" spans="2:10" ht="15.75" thickBot="1" x14ac:dyDescent="0.3">
      <c r="B98" s="32">
        <f t="shared" ref="B98:B112" si="28">B97+1</f>
        <v>91</v>
      </c>
      <c r="C98" s="17">
        <v>4</v>
      </c>
      <c r="D98" s="17"/>
      <c r="E98" s="17"/>
      <c r="F98" s="17"/>
      <c r="G98" s="17" t="s">
        <v>86</v>
      </c>
      <c r="H98" s="23">
        <f>H99+H102+H105+H109+H113+H117+H121+H125+H129+H133+H137+H142+H146+H150+H154+H158+H162+H166</f>
        <v>134650</v>
      </c>
      <c r="I98" s="23">
        <f t="shared" ref="I98" si="29">I99+I102+I105+I109+I113+I117+I121+I125+I129+I133+I137+I142+I146+I150+I154+I158+I162+I166</f>
        <v>350</v>
      </c>
      <c r="J98" s="23">
        <f t="shared" si="25"/>
        <v>135000</v>
      </c>
    </row>
    <row r="99" spans="2:10" x14ac:dyDescent="0.2">
      <c r="B99" s="32">
        <f t="shared" si="28"/>
        <v>92</v>
      </c>
      <c r="C99" s="3">
        <v>210</v>
      </c>
      <c r="D99" s="3"/>
      <c r="E99" s="3"/>
      <c r="F99" s="3"/>
      <c r="G99" s="3" t="s">
        <v>21</v>
      </c>
      <c r="H99" s="25">
        <f>H100</f>
        <v>8000</v>
      </c>
      <c r="I99" s="25">
        <f t="shared" ref="I99" si="30">I100</f>
        <v>0</v>
      </c>
      <c r="J99" s="25">
        <f t="shared" si="25"/>
        <v>8000</v>
      </c>
    </row>
    <row r="100" spans="2:10" x14ac:dyDescent="0.2">
      <c r="B100" s="32">
        <f t="shared" si="28"/>
        <v>93</v>
      </c>
      <c r="C100" s="4"/>
      <c r="D100" s="4">
        <v>212</v>
      </c>
      <c r="E100" s="4"/>
      <c r="F100" s="4"/>
      <c r="G100" s="4" t="s">
        <v>22</v>
      </c>
      <c r="H100" s="26">
        <f>H101</f>
        <v>8000</v>
      </c>
      <c r="I100" s="26"/>
      <c r="J100" s="26">
        <f t="shared" si="25"/>
        <v>8000</v>
      </c>
    </row>
    <row r="101" spans="2:10" x14ac:dyDescent="0.2">
      <c r="B101" s="32">
        <f t="shared" si="28"/>
        <v>94</v>
      </c>
      <c r="C101" s="5"/>
      <c r="D101" s="5"/>
      <c r="E101" s="5">
        <v>212003</v>
      </c>
      <c r="F101" s="5"/>
      <c r="G101" s="5" t="s">
        <v>23</v>
      </c>
      <c r="H101" s="27">
        <v>8000</v>
      </c>
      <c r="I101" s="27"/>
      <c r="J101" s="27">
        <f t="shared" si="25"/>
        <v>8000</v>
      </c>
    </row>
    <row r="102" spans="2:10" x14ac:dyDescent="0.2">
      <c r="B102" s="32">
        <f t="shared" si="28"/>
        <v>95</v>
      </c>
      <c r="C102" s="3">
        <v>240</v>
      </c>
      <c r="D102" s="3"/>
      <c r="E102" s="3"/>
      <c r="F102" s="3"/>
      <c r="G102" s="3" t="s">
        <v>175</v>
      </c>
      <c r="H102" s="25">
        <f>H103</f>
        <v>15</v>
      </c>
      <c r="I102" s="25">
        <f t="shared" ref="I102:I103" si="31">I103</f>
        <v>0</v>
      </c>
      <c r="J102" s="25">
        <f t="shared" si="25"/>
        <v>15</v>
      </c>
    </row>
    <row r="103" spans="2:10" x14ac:dyDescent="0.2">
      <c r="B103" s="32">
        <f t="shared" si="28"/>
        <v>96</v>
      </c>
      <c r="C103" s="4"/>
      <c r="D103" s="4">
        <v>242</v>
      </c>
      <c r="E103" s="4"/>
      <c r="F103" s="4"/>
      <c r="G103" s="4" t="s">
        <v>174</v>
      </c>
      <c r="H103" s="26">
        <f>H104</f>
        <v>15</v>
      </c>
      <c r="I103" s="26">
        <f t="shared" si="31"/>
        <v>0</v>
      </c>
      <c r="J103" s="26">
        <f t="shared" si="25"/>
        <v>15</v>
      </c>
    </row>
    <row r="104" spans="2:10" x14ac:dyDescent="0.2">
      <c r="B104" s="32">
        <f t="shared" si="28"/>
        <v>97</v>
      </c>
      <c r="C104" s="5"/>
      <c r="D104" s="5"/>
      <c r="E104" s="5">
        <v>242</v>
      </c>
      <c r="F104" s="5"/>
      <c r="G104" s="5" t="s">
        <v>174</v>
      </c>
      <c r="H104" s="27">
        <v>15</v>
      </c>
      <c r="I104" s="27"/>
      <c r="J104" s="27">
        <f t="shared" si="25"/>
        <v>15</v>
      </c>
    </row>
    <row r="105" spans="2:10" x14ac:dyDescent="0.2">
      <c r="B105" s="32">
        <f t="shared" si="28"/>
        <v>98</v>
      </c>
      <c r="C105" s="10"/>
      <c r="D105" s="10"/>
      <c r="E105" s="10"/>
      <c r="F105" s="10"/>
      <c r="G105" s="10" t="s">
        <v>65</v>
      </c>
      <c r="H105" s="24">
        <f>H106</f>
        <v>6690</v>
      </c>
      <c r="I105" s="24">
        <f t="shared" ref="I105:I107" si="32">I106</f>
        <v>0</v>
      </c>
      <c r="J105" s="24">
        <f t="shared" si="25"/>
        <v>6690</v>
      </c>
    </row>
    <row r="106" spans="2:10" x14ac:dyDescent="0.2">
      <c r="B106" s="32">
        <f t="shared" si="28"/>
        <v>99</v>
      </c>
      <c r="C106" s="3">
        <v>220</v>
      </c>
      <c r="D106" s="3"/>
      <c r="E106" s="3"/>
      <c r="F106" s="3"/>
      <c r="G106" s="3" t="s">
        <v>225</v>
      </c>
      <c r="H106" s="25">
        <f>H107</f>
        <v>6690</v>
      </c>
      <c r="I106" s="25">
        <f t="shared" si="32"/>
        <v>0</v>
      </c>
      <c r="J106" s="25">
        <f t="shared" si="25"/>
        <v>6690</v>
      </c>
    </row>
    <row r="107" spans="2:10" x14ac:dyDescent="0.2">
      <c r="B107" s="32">
        <f t="shared" si="28"/>
        <v>100</v>
      </c>
      <c r="C107" s="4"/>
      <c r="D107" s="4">
        <v>223</v>
      </c>
      <c r="E107" s="4"/>
      <c r="F107" s="4"/>
      <c r="G107" s="4" t="s">
        <v>25</v>
      </c>
      <c r="H107" s="26">
        <f>H108</f>
        <v>6690</v>
      </c>
      <c r="I107" s="26">
        <f t="shared" si="32"/>
        <v>0</v>
      </c>
      <c r="J107" s="26">
        <f t="shared" si="25"/>
        <v>6690</v>
      </c>
    </row>
    <row r="108" spans="2:10" x14ac:dyDescent="0.2">
      <c r="B108" s="32">
        <f t="shared" si="28"/>
        <v>101</v>
      </c>
      <c r="C108" s="5"/>
      <c r="D108" s="5"/>
      <c r="E108" s="5">
        <v>223002</v>
      </c>
      <c r="F108" s="5"/>
      <c r="G108" s="5" t="s">
        <v>69</v>
      </c>
      <c r="H108" s="27">
        <v>6690</v>
      </c>
      <c r="I108" s="27"/>
      <c r="J108" s="27">
        <f t="shared" si="25"/>
        <v>6690</v>
      </c>
    </row>
    <row r="109" spans="2:10" x14ac:dyDescent="0.2">
      <c r="B109" s="32">
        <f t="shared" si="28"/>
        <v>102</v>
      </c>
      <c r="C109" s="10"/>
      <c r="D109" s="10"/>
      <c r="E109" s="10"/>
      <c r="F109" s="10"/>
      <c r="G109" s="10" t="s">
        <v>11</v>
      </c>
      <c r="H109" s="24">
        <f>H110</f>
        <v>8400</v>
      </c>
      <c r="I109" s="24">
        <f t="shared" ref="I109:I111" si="33">I110</f>
        <v>0</v>
      </c>
      <c r="J109" s="24">
        <f t="shared" si="25"/>
        <v>8400</v>
      </c>
    </row>
    <row r="110" spans="2:10" x14ac:dyDescent="0.2">
      <c r="B110" s="32">
        <f t="shared" si="28"/>
        <v>103</v>
      </c>
      <c r="C110" s="3">
        <v>220</v>
      </c>
      <c r="D110" s="3"/>
      <c r="E110" s="3"/>
      <c r="F110" s="3"/>
      <c r="G110" s="3" t="s">
        <v>225</v>
      </c>
      <c r="H110" s="25">
        <f>H111</f>
        <v>8400</v>
      </c>
      <c r="I110" s="25">
        <f t="shared" si="33"/>
        <v>0</v>
      </c>
      <c r="J110" s="25">
        <f t="shared" si="25"/>
        <v>8400</v>
      </c>
    </row>
    <row r="111" spans="2:10" x14ac:dyDescent="0.2">
      <c r="B111" s="32">
        <f t="shared" si="28"/>
        <v>104</v>
      </c>
      <c r="C111" s="4"/>
      <c r="D111" s="4">
        <v>223</v>
      </c>
      <c r="E111" s="4"/>
      <c r="F111" s="4"/>
      <c r="G111" s="4" t="s">
        <v>25</v>
      </c>
      <c r="H111" s="26">
        <f>H112</f>
        <v>8400</v>
      </c>
      <c r="I111" s="26">
        <f t="shared" si="33"/>
        <v>0</v>
      </c>
      <c r="J111" s="26">
        <f t="shared" si="25"/>
        <v>8400</v>
      </c>
    </row>
    <row r="112" spans="2:10" x14ac:dyDescent="0.2">
      <c r="B112" s="32">
        <f t="shared" si="28"/>
        <v>105</v>
      </c>
      <c r="C112" s="5"/>
      <c r="D112" s="5"/>
      <c r="E112" s="5">
        <v>223002</v>
      </c>
      <c r="F112" s="5"/>
      <c r="G112" s="5" t="s">
        <v>69</v>
      </c>
      <c r="H112" s="27">
        <v>8400</v>
      </c>
      <c r="I112" s="27"/>
      <c r="J112" s="27">
        <f t="shared" si="25"/>
        <v>8400</v>
      </c>
    </row>
    <row r="113" spans="2:10" x14ac:dyDescent="0.2">
      <c r="B113" s="32">
        <f t="shared" ref="B113:B144" si="34">B112+1</f>
        <v>106</v>
      </c>
      <c r="C113" s="10"/>
      <c r="D113" s="10"/>
      <c r="E113" s="10"/>
      <c r="F113" s="10"/>
      <c r="G113" s="10" t="s">
        <v>64</v>
      </c>
      <c r="H113" s="24">
        <f>H114</f>
        <v>6690</v>
      </c>
      <c r="I113" s="24">
        <f t="shared" ref="I113:I115" si="35">I114</f>
        <v>0</v>
      </c>
      <c r="J113" s="24">
        <f t="shared" si="25"/>
        <v>6690</v>
      </c>
    </row>
    <row r="114" spans="2:10" x14ac:dyDescent="0.2">
      <c r="B114" s="32">
        <f t="shared" si="34"/>
        <v>107</v>
      </c>
      <c r="C114" s="3">
        <v>220</v>
      </c>
      <c r="D114" s="3"/>
      <c r="E114" s="3"/>
      <c r="F114" s="3"/>
      <c r="G114" s="3" t="s">
        <v>225</v>
      </c>
      <c r="H114" s="25">
        <f>H115</f>
        <v>6690</v>
      </c>
      <c r="I114" s="25">
        <f t="shared" si="35"/>
        <v>0</v>
      </c>
      <c r="J114" s="25">
        <f t="shared" si="25"/>
        <v>6690</v>
      </c>
    </row>
    <row r="115" spans="2:10" x14ac:dyDescent="0.2">
      <c r="B115" s="32">
        <f t="shared" si="34"/>
        <v>108</v>
      </c>
      <c r="C115" s="4"/>
      <c r="D115" s="4">
        <v>223</v>
      </c>
      <c r="E115" s="4"/>
      <c r="F115" s="4"/>
      <c r="G115" s="4" t="s">
        <v>25</v>
      </c>
      <c r="H115" s="26">
        <f>H116</f>
        <v>6690</v>
      </c>
      <c r="I115" s="26">
        <f t="shared" si="35"/>
        <v>0</v>
      </c>
      <c r="J115" s="26">
        <f t="shared" si="25"/>
        <v>6690</v>
      </c>
    </row>
    <row r="116" spans="2:10" x14ac:dyDescent="0.2">
      <c r="B116" s="32">
        <f t="shared" si="34"/>
        <v>109</v>
      </c>
      <c r="C116" s="5"/>
      <c r="D116" s="5"/>
      <c r="E116" s="5">
        <v>223002</v>
      </c>
      <c r="F116" s="5"/>
      <c r="G116" s="5" t="s">
        <v>69</v>
      </c>
      <c r="H116" s="27">
        <v>6690</v>
      </c>
      <c r="I116" s="27"/>
      <c r="J116" s="27">
        <f t="shared" si="25"/>
        <v>6690</v>
      </c>
    </row>
    <row r="117" spans="2:10" x14ac:dyDescent="0.2">
      <c r="B117" s="32">
        <f t="shared" si="34"/>
        <v>110</v>
      </c>
      <c r="C117" s="10"/>
      <c r="D117" s="10"/>
      <c r="E117" s="10"/>
      <c r="F117" s="10"/>
      <c r="G117" s="10" t="s">
        <v>100</v>
      </c>
      <c r="H117" s="24">
        <f>H118</f>
        <v>8400</v>
      </c>
      <c r="I117" s="24">
        <f t="shared" ref="I117:I119" si="36">I118</f>
        <v>0</v>
      </c>
      <c r="J117" s="24">
        <f t="shared" si="25"/>
        <v>8400</v>
      </c>
    </row>
    <row r="118" spans="2:10" x14ac:dyDescent="0.2">
      <c r="B118" s="32">
        <f t="shared" si="34"/>
        <v>111</v>
      </c>
      <c r="C118" s="3">
        <v>220</v>
      </c>
      <c r="D118" s="3"/>
      <c r="E118" s="3"/>
      <c r="F118" s="3"/>
      <c r="G118" s="3" t="s">
        <v>225</v>
      </c>
      <c r="H118" s="25">
        <f>H119</f>
        <v>8400</v>
      </c>
      <c r="I118" s="25">
        <f t="shared" si="36"/>
        <v>0</v>
      </c>
      <c r="J118" s="25">
        <f t="shared" si="25"/>
        <v>8400</v>
      </c>
    </row>
    <row r="119" spans="2:10" x14ac:dyDescent="0.2">
      <c r="B119" s="32">
        <f t="shared" si="34"/>
        <v>112</v>
      </c>
      <c r="C119" s="4"/>
      <c r="D119" s="4">
        <v>223</v>
      </c>
      <c r="E119" s="4"/>
      <c r="F119" s="4"/>
      <c r="G119" s="4" t="s">
        <v>25</v>
      </c>
      <c r="H119" s="26">
        <f>H120</f>
        <v>8400</v>
      </c>
      <c r="I119" s="26">
        <f t="shared" si="36"/>
        <v>0</v>
      </c>
      <c r="J119" s="26">
        <f t="shared" si="25"/>
        <v>8400</v>
      </c>
    </row>
    <row r="120" spans="2:10" x14ac:dyDescent="0.2">
      <c r="B120" s="32">
        <f t="shared" si="34"/>
        <v>113</v>
      </c>
      <c r="C120" s="5"/>
      <c r="D120" s="5"/>
      <c r="E120" s="5">
        <v>223002</v>
      </c>
      <c r="F120" s="5"/>
      <c r="G120" s="5" t="s">
        <v>69</v>
      </c>
      <c r="H120" s="27">
        <v>8400</v>
      </c>
      <c r="I120" s="27"/>
      <c r="J120" s="27">
        <f t="shared" si="25"/>
        <v>8400</v>
      </c>
    </row>
    <row r="121" spans="2:10" x14ac:dyDescent="0.2">
      <c r="B121" s="32">
        <f t="shared" si="34"/>
        <v>114</v>
      </c>
      <c r="C121" s="10"/>
      <c r="D121" s="10"/>
      <c r="E121" s="10"/>
      <c r="F121" s="10"/>
      <c r="G121" s="10" t="s">
        <v>103</v>
      </c>
      <c r="H121" s="24">
        <f>H122</f>
        <v>8120</v>
      </c>
      <c r="I121" s="24">
        <f t="shared" ref="I121:I123" si="37">I122</f>
        <v>0</v>
      </c>
      <c r="J121" s="24">
        <f t="shared" si="25"/>
        <v>8120</v>
      </c>
    </row>
    <row r="122" spans="2:10" x14ac:dyDescent="0.2">
      <c r="B122" s="32">
        <f t="shared" si="34"/>
        <v>115</v>
      </c>
      <c r="C122" s="3">
        <v>220</v>
      </c>
      <c r="D122" s="3"/>
      <c r="E122" s="3"/>
      <c r="F122" s="3"/>
      <c r="G122" s="3" t="s">
        <v>225</v>
      </c>
      <c r="H122" s="25">
        <f>H123</f>
        <v>8120</v>
      </c>
      <c r="I122" s="25">
        <f t="shared" si="37"/>
        <v>0</v>
      </c>
      <c r="J122" s="25">
        <f t="shared" si="25"/>
        <v>8120</v>
      </c>
    </row>
    <row r="123" spans="2:10" x14ac:dyDescent="0.2">
      <c r="B123" s="32">
        <f t="shared" si="34"/>
        <v>116</v>
      </c>
      <c r="C123" s="4"/>
      <c r="D123" s="4">
        <v>223</v>
      </c>
      <c r="E123" s="4"/>
      <c r="F123" s="4"/>
      <c r="G123" s="4" t="s">
        <v>25</v>
      </c>
      <c r="H123" s="26">
        <f>H124</f>
        <v>8120</v>
      </c>
      <c r="I123" s="26">
        <f t="shared" si="37"/>
        <v>0</v>
      </c>
      <c r="J123" s="26">
        <f t="shared" si="25"/>
        <v>8120</v>
      </c>
    </row>
    <row r="124" spans="2:10" x14ac:dyDescent="0.2">
      <c r="B124" s="32">
        <f t="shared" si="34"/>
        <v>117</v>
      </c>
      <c r="C124" s="5"/>
      <c r="D124" s="5"/>
      <c r="E124" s="5">
        <v>223002</v>
      </c>
      <c r="F124" s="5"/>
      <c r="G124" s="5" t="s">
        <v>69</v>
      </c>
      <c r="H124" s="27">
        <v>8120</v>
      </c>
      <c r="I124" s="27"/>
      <c r="J124" s="27">
        <f t="shared" si="25"/>
        <v>8120</v>
      </c>
    </row>
    <row r="125" spans="2:10" x14ac:dyDescent="0.2">
      <c r="B125" s="32">
        <f t="shared" si="34"/>
        <v>118</v>
      </c>
      <c r="C125" s="10"/>
      <c r="D125" s="10"/>
      <c r="E125" s="10"/>
      <c r="F125" s="10"/>
      <c r="G125" s="10" t="s">
        <v>88</v>
      </c>
      <c r="H125" s="24">
        <f>H126</f>
        <v>12530</v>
      </c>
      <c r="I125" s="24">
        <f t="shared" ref="I125:I127" si="38">I126</f>
        <v>0</v>
      </c>
      <c r="J125" s="24">
        <f t="shared" si="25"/>
        <v>12530</v>
      </c>
    </row>
    <row r="126" spans="2:10" x14ac:dyDescent="0.2">
      <c r="B126" s="32">
        <f t="shared" si="34"/>
        <v>119</v>
      </c>
      <c r="C126" s="3">
        <v>220</v>
      </c>
      <c r="D126" s="3"/>
      <c r="E126" s="3"/>
      <c r="F126" s="3"/>
      <c r="G126" s="3" t="s">
        <v>225</v>
      </c>
      <c r="H126" s="25">
        <f>H127</f>
        <v>12530</v>
      </c>
      <c r="I126" s="25">
        <f t="shared" si="38"/>
        <v>0</v>
      </c>
      <c r="J126" s="25">
        <f t="shared" si="25"/>
        <v>12530</v>
      </c>
    </row>
    <row r="127" spans="2:10" x14ac:dyDescent="0.2">
      <c r="B127" s="32">
        <f t="shared" si="34"/>
        <v>120</v>
      </c>
      <c r="C127" s="4"/>
      <c r="D127" s="4">
        <v>223</v>
      </c>
      <c r="E127" s="4"/>
      <c r="F127" s="4"/>
      <c r="G127" s="4" t="s">
        <v>25</v>
      </c>
      <c r="H127" s="26">
        <f>H128</f>
        <v>12530</v>
      </c>
      <c r="I127" s="26">
        <f t="shared" si="38"/>
        <v>0</v>
      </c>
      <c r="J127" s="26">
        <f t="shared" si="25"/>
        <v>12530</v>
      </c>
    </row>
    <row r="128" spans="2:10" x14ac:dyDescent="0.2">
      <c r="B128" s="32">
        <f t="shared" si="34"/>
        <v>121</v>
      </c>
      <c r="C128" s="5"/>
      <c r="D128" s="5"/>
      <c r="E128" s="5">
        <v>223002</v>
      </c>
      <c r="F128" s="5"/>
      <c r="G128" s="5" t="s">
        <v>69</v>
      </c>
      <c r="H128" s="27">
        <v>12530</v>
      </c>
      <c r="I128" s="27"/>
      <c r="J128" s="27">
        <f t="shared" si="25"/>
        <v>12530</v>
      </c>
    </row>
    <row r="129" spans="2:10" x14ac:dyDescent="0.2">
      <c r="B129" s="32">
        <f t="shared" si="34"/>
        <v>122</v>
      </c>
      <c r="C129" s="10"/>
      <c r="D129" s="10"/>
      <c r="E129" s="10"/>
      <c r="F129" s="10"/>
      <c r="G129" s="10" t="s">
        <v>85</v>
      </c>
      <c r="H129" s="24">
        <f>H130</f>
        <v>12815</v>
      </c>
      <c r="I129" s="24">
        <f t="shared" ref="I129:I131" si="39">I130</f>
        <v>0</v>
      </c>
      <c r="J129" s="24">
        <f t="shared" ref="J129:J193" si="40">H129+I129</f>
        <v>12815</v>
      </c>
    </row>
    <row r="130" spans="2:10" x14ac:dyDescent="0.2">
      <c r="B130" s="32">
        <f t="shared" si="34"/>
        <v>123</v>
      </c>
      <c r="C130" s="3">
        <v>220</v>
      </c>
      <c r="D130" s="3"/>
      <c r="E130" s="3"/>
      <c r="F130" s="3"/>
      <c r="G130" s="3" t="s">
        <v>225</v>
      </c>
      <c r="H130" s="25">
        <f>H131</f>
        <v>12815</v>
      </c>
      <c r="I130" s="25">
        <f t="shared" si="39"/>
        <v>0</v>
      </c>
      <c r="J130" s="25">
        <f t="shared" si="40"/>
        <v>12815</v>
      </c>
    </row>
    <row r="131" spans="2:10" x14ac:dyDescent="0.2">
      <c r="B131" s="32">
        <f t="shared" si="34"/>
        <v>124</v>
      </c>
      <c r="C131" s="4"/>
      <c r="D131" s="4">
        <v>223</v>
      </c>
      <c r="E131" s="4"/>
      <c r="F131" s="4"/>
      <c r="G131" s="4" t="s">
        <v>25</v>
      </c>
      <c r="H131" s="26">
        <f>H132</f>
        <v>12815</v>
      </c>
      <c r="I131" s="26">
        <f t="shared" si="39"/>
        <v>0</v>
      </c>
      <c r="J131" s="26">
        <f t="shared" si="40"/>
        <v>12815</v>
      </c>
    </row>
    <row r="132" spans="2:10" x14ac:dyDescent="0.2">
      <c r="B132" s="32">
        <f t="shared" si="34"/>
        <v>125</v>
      </c>
      <c r="C132" s="5"/>
      <c r="D132" s="5"/>
      <c r="E132" s="5">
        <v>223002</v>
      </c>
      <c r="F132" s="5"/>
      <c r="G132" s="5" t="s">
        <v>69</v>
      </c>
      <c r="H132" s="27">
        <v>12815</v>
      </c>
      <c r="I132" s="27"/>
      <c r="J132" s="27">
        <f t="shared" si="40"/>
        <v>12815</v>
      </c>
    </row>
    <row r="133" spans="2:10" x14ac:dyDescent="0.2">
      <c r="B133" s="32">
        <f t="shared" si="34"/>
        <v>126</v>
      </c>
      <c r="C133" s="10"/>
      <c r="D133" s="10"/>
      <c r="E133" s="10"/>
      <c r="F133" s="10"/>
      <c r="G133" s="10" t="s">
        <v>107</v>
      </c>
      <c r="H133" s="24">
        <f>H134</f>
        <v>6980</v>
      </c>
      <c r="I133" s="24">
        <f t="shared" ref="I133:I135" si="41">I134</f>
        <v>0</v>
      </c>
      <c r="J133" s="24">
        <f t="shared" si="40"/>
        <v>6980</v>
      </c>
    </row>
    <row r="134" spans="2:10" x14ac:dyDescent="0.2">
      <c r="B134" s="32">
        <f t="shared" si="34"/>
        <v>127</v>
      </c>
      <c r="C134" s="3">
        <v>220</v>
      </c>
      <c r="D134" s="3"/>
      <c r="E134" s="3"/>
      <c r="F134" s="3"/>
      <c r="G134" s="3" t="s">
        <v>225</v>
      </c>
      <c r="H134" s="25">
        <f>H135</f>
        <v>6980</v>
      </c>
      <c r="I134" s="25">
        <f t="shared" si="41"/>
        <v>0</v>
      </c>
      <c r="J134" s="25">
        <f t="shared" si="40"/>
        <v>6980</v>
      </c>
    </row>
    <row r="135" spans="2:10" x14ac:dyDescent="0.2">
      <c r="B135" s="32">
        <f t="shared" si="34"/>
        <v>128</v>
      </c>
      <c r="C135" s="4"/>
      <c r="D135" s="4">
        <v>223</v>
      </c>
      <c r="E135" s="4"/>
      <c r="F135" s="4"/>
      <c r="G135" s="4" t="s">
        <v>25</v>
      </c>
      <c r="H135" s="26">
        <f>H136</f>
        <v>6980</v>
      </c>
      <c r="I135" s="26">
        <f t="shared" si="41"/>
        <v>0</v>
      </c>
      <c r="J135" s="26">
        <f t="shared" si="40"/>
        <v>6980</v>
      </c>
    </row>
    <row r="136" spans="2:10" x14ac:dyDescent="0.2">
      <c r="B136" s="32">
        <f t="shared" si="34"/>
        <v>129</v>
      </c>
      <c r="C136" s="5"/>
      <c r="D136" s="5"/>
      <c r="E136" s="5">
        <v>223002</v>
      </c>
      <c r="F136" s="5"/>
      <c r="G136" s="5" t="s">
        <v>69</v>
      </c>
      <c r="H136" s="27">
        <v>6980</v>
      </c>
      <c r="I136" s="27"/>
      <c r="J136" s="27">
        <f t="shared" si="40"/>
        <v>6980</v>
      </c>
    </row>
    <row r="137" spans="2:10" x14ac:dyDescent="0.2">
      <c r="B137" s="32">
        <f t="shared" si="34"/>
        <v>130</v>
      </c>
      <c r="C137" s="10"/>
      <c r="D137" s="10"/>
      <c r="E137" s="10"/>
      <c r="F137" s="10"/>
      <c r="G137" s="10" t="s">
        <v>252</v>
      </c>
      <c r="H137" s="24">
        <f>H138</f>
        <v>10530</v>
      </c>
      <c r="I137" s="24">
        <f t="shared" ref="I137:I138" si="42">I138</f>
        <v>350</v>
      </c>
      <c r="J137" s="24">
        <f t="shared" si="40"/>
        <v>10880</v>
      </c>
    </row>
    <row r="138" spans="2:10" x14ac:dyDescent="0.2">
      <c r="B138" s="32">
        <f t="shared" si="34"/>
        <v>131</v>
      </c>
      <c r="C138" s="3">
        <v>220</v>
      </c>
      <c r="D138" s="3"/>
      <c r="E138" s="3"/>
      <c r="F138" s="3"/>
      <c r="G138" s="3" t="s">
        <v>225</v>
      </c>
      <c r="H138" s="25">
        <f>H139</f>
        <v>10530</v>
      </c>
      <c r="I138" s="25">
        <f t="shared" si="42"/>
        <v>350</v>
      </c>
      <c r="J138" s="25">
        <f t="shared" si="40"/>
        <v>10880</v>
      </c>
    </row>
    <row r="139" spans="2:10" x14ac:dyDescent="0.2">
      <c r="B139" s="32">
        <f t="shared" si="34"/>
        <v>132</v>
      </c>
      <c r="C139" s="4"/>
      <c r="D139" s="4">
        <v>223</v>
      </c>
      <c r="E139" s="4"/>
      <c r="F139" s="4"/>
      <c r="G139" s="4" t="s">
        <v>25</v>
      </c>
      <c r="H139" s="26">
        <f>SUM(H141:H141)</f>
        <v>10530</v>
      </c>
      <c r="I139" s="26">
        <f>SUM(I140:I141)</f>
        <v>350</v>
      </c>
      <c r="J139" s="26">
        <f t="shared" si="40"/>
        <v>10880</v>
      </c>
    </row>
    <row r="140" spans="2:10" x14ac:dyDescent="0.2">
      <c r="B140" s="32"/>
      <c r="C140" s="4"/>
      <c r="D140" s="4"/>
      <c r="E140" s="5">
        <v>223001</v>
      </c>
      <c r="F140" s="5"/>
      <c r="G140" s="5" t="s">
        <v>674</v>
      </c>
      <c r="H140" s="27">
        <v>0</v>
      </c>
      <c r="I140" s="27">
        <v>350</v>
      </c>
      <c r="J140" s="27">
        <f t="shared" ref="J140" si="43">H140+I140</f>
        <v>350</v>
      </c>
    </row>
    <row r="141" spans="2:10" x14ac:dyDescent="0.2">
      <c r="B141" s="32">
        <f>B139+1</f>
        <v>133</v>
      </c>
      <c r="C141" s="5"/>
      <c r="D141" s="5"/>
      <c r="E141" s="5">
        <v>223002</v>
      </c>
      <c r="F141" s="5"/>
      <c r="G141" s="5" t="s">
        <v>69</v>
      </c>
      <c r="H141" s="27">
        <v>10530</v>
      </c>
      <c r="I141" s="27"/>
      <c r="J141" s="27">
        <f t="shared" si="40"/>
        <v>10530</v>
      </c>
    </row>
    <row r="142" spans="2:10" x14ac:dyDescent="0.2">
      <c r="B142" s="32">
        <f t="shared" si="34"/>
        <v>134</v>
      </c>
      <c r="C142" s="10"/>
      <c r="D142" s="10"/>
      <c r="E142" s="10"/>
      <c r="F142" s="10"/>
      <c r="G142" s="10" t="s">
        <v>66</v>
      </c>
      <c r="H142" s="24">
        <f>H143</f>
        <v>12390</v>
      </c>
      <c r="I142" s="24">
        <f t="shared" ref="I142:I144" si="44">I143</f>
        <v>0</v>
      </c>
      <c r="J142" s="24">
        <f t="shared" si="40"/>
        <v>12390</v>
      </c>
    </row>
    <row r="143" spans="2:10" x14ac:dyDescent="0.2">
      <c r="B143" s="32">
        <f t="shared" si="34"/>
        <v>135</v>
      </c>
      <c r="C143" s="3">
        <v>220</v>
      </c>
      <c r="D143" s="3"/>
      <c r="E143" s="3"/>
      <c r="F143" s="3"/>
      <c r="G143" s="3" t="s">
        <v>225</v>
      </c>
      <c r="H143" s="25">
        <f>H144</f>
        <v>12390</v>
      </c>
      <c r="I143" s="25">
        <f t="shared" si="44"/>
        <v>0</v>
      </c>
      <c r="J143" s="25">
        <f t="shared" si="40"/>
        <v>12390</v>
      </c>
    </row>
    <row r="144" spans="2:10" x14ac:dyDescent="0.2">
      <c r="B144" s="32">
        <f t="shared" si="34"/>
        <v>136</v>
      </c>
      <c r="C144" s="4"/>
      <c r="D144" s="4">
        <v>223</v>
      </c>
      <c r="E144" s="4"/>
      <c r="F144" s="4"/>
      <c r="G144" s="4" t="s">
        <v>25</v>
      </c>
      <c r="H144" s="26">
        <f>H145</f>
        <v>12390</v>
      </c>
      <c r="I144" s="26">
        <f t="shared" si="44"/>
        <v>0</v>
      </c>
      <c r="J144" s="26">
        <f t="shared" si="40"/>
        <v>12390</v>
      </c>
    </row>
    <row r="145" spans="2:10" x14ac:dyDescent="0.2">
      <c r="B145" s="32">
        <f t="shared" ref="B145:B206" si="45">B144+1</f>
        <v>137</v>
      </c>
      <c r="C145" s="5"/>
      <c r="D145" s="5"/>
      <c r="E145" s="5">
        <v>223002</v>
      </c>
      <c r="F145" s="5"/>
      <c r="G145" s="5" t="s">
        <v>69</v>
      </c>
      <c r="H145" s="27">
        <v>12390</v>
      </c>
      <c r="I145" s="27"/>
      <c r="J145" s="27">
        <f t="shared" si="40"/>
        <v>12390</v>
      </c>
    </row>
    <row r="146" spans="2:10" x14ac:dyDescent="0.2">
      <c r="B146" s="32">
        <f t="shared" si="45"/>
        <v>138</v>
      </c>
      <c r="C146" s="10"/>
      <c r="D146" s="10"/>
      <c r="E146" s="10"/>
      <c r="F146" s="10"/>
      <c r="G146" s="10" t="s">
        <v>67</v>
      </c>
      <c r="H146" s="24">
        <f>H147</f>
        <v>6550</v>
      </c>
      <c r="I146" s="24">
        <f t="shared" ref="I146:I148" si="46">I147</f>
        <v>0</v>
      </c>
      <c r="J146" s="24">
        <f t="shared" si="40"/>
        <v>6550</v>
      </c>
    </row>
    <row r="147" spans="2:10" x14ac:dyDescent="0.2">
      <c r="B147" s="32">
        <f t="shared" si="45"/>
        <v>139</v>
      </c>
      <c r="C147" s="3">
        <v>220</v>
      </c>
      <c r="D147" s="3"/>
      <c r="E147" s="3"/>
      <c r="F147" s="3"/>
      <c r="G147" s="3" t="s">
        <v>225</v>
      </c>
      <c r="H147" s="25">
        <f>H148</f>
        <v>6550</v>
      </c>
      <c r="I147" s="25">
        <f t="shared" si="46"/>
        <v>0</v>
      </c>
      <c r="J147" s="25">
        <f t="shared" si="40"/>
        <v>6550</v>
      </c>
    </row>
    <row r="148" spans="2:10" x14ac:dyDescent="0.2">
      <c r="B148" s="32">
        <f t="shared" si="45"/>
        <v>140</v>
      </c>
      <c r="C148" s="4"/>
      <c r="D148" s="4">
        <v>223</v>
      </c>
      <c r="E148" s="4"/>
      <c r="F148" s="4"/>
      <c r="G148" s="4" t="s">
        <v>25</v>
      </c>
      <c r="H148" s="26">
        <f>H149</f>
        <v>6550</v>
      </c>
      <c r="I148" s="26">
        <f t="shared" si="46"/>
        <v>0</v>
      </c>
      <c r="J148" s="26">
        <f t="shared" si="40"/>
        <v>6550</v>
      </c>
    </row>
    <row r="149" spans="2:10" ht="13.5" customHeight="1" x14ac:dyDescent="0.2">
      <c r="B149" s="32">
        <f t="shared" si="45"/>
        <v>141</v>
      </c>
      <c r="C149" s="5"/>
      <c r="D149" s="5"/>
      <c r="E149" s="5">
        <v>223002</v>
      </c>
      <c r="F149" s="5"/>
      <c r="G149" s="5" t="s">
        <v>69</v>
      </c>
      <c r="H149" s="27">
        <v>6550</v>
      </c>
      <c r="I149" s="27"/>
      <c r="J149" s="27">
        <f t="shared" si="40"/>
        <v>6550</v>
      </c>
    </row>
    <row r="150" spans="2:10" x14ac:dyDescent="0.2">
      <c r="B150" s="32">
        <f t="shared" si="45"/>
        <v>142</v>
      </c>
      <c r="C150" s="10"/>
      <c r="D150" s="10"/>
      <c r="E150" s="10"/>
      <c r="F150" s="10"/>
      <c r="G150" s="10" t="s">
        <v>98</v>
      </c>
      <c r="H150" s="24">
        <f>H151</f>
        <v>4700</v>
      </c>
      <c r="I150" s="24">
        <f t="shared" ref="I150:I152" si="47">I151</f>
        <v>0</v>
      </c>
      <c r="J150" s="24">
        <f t="shared" si="40"/>
        <v>4700</v>
      </c>
    </row>
    <row r="151" spans="2:10" x14ac:dyDescent="0.2">
      <c r="B151" s="32">
        <f t="shared" si="45"/>
        <v>143</v>
      </c>
      <c r="C151" s="3">
        <v>220</v>
      </c>
      <c r="D151" s="3"/>
      <c r="E151" s="3"/>
      <c r="F151" s="3"/>
      <c r="G151" s="3" t="s">
        <v>225</v>
      </c>
      <c r="H151" s="25">
        <f>H152</f>
        <v>4700</v>
      </c>
      <c r="I151" s="25">
        <f t="shared" si="47"/>
        <v>0</v>
      </c>
      <c r="J151" s="25">
        <f t="shared" si="40"/>
        <v>4700</v>
      </c>
    </row>
    <row r="152" spans="2:10" x14ac:dyDescent="0.2">
      <c r="B152" s="32">
        <f t="shared" si="45"/>
        <v>144</v>
      </c>
      <c r="C152" s="4"/>
      <c r="D152" s="4">
        <v>223</v>
      </c>
      <c r="E152" s="4"/>
      <c r="F152" s="4"/>
      <c r="G152" s="4" t="s">
        <v>25</v>
      </c>
      <c r="H152" s="26">
        <f>H153</f>
        <v>4700</v>
      </c>
      <c r="I152" s="26">
        <f t="shared" si="47"/>
        <v>0</v>
      </c>
      <c r="J152" s="26">
        <f t="shared" si="40"/>
        <v>4700</v>
      </c>
    </row>
    <row r="153" spans="2:10" x14ac:dyDescent="0.2">
      <c r="B153" s="32">
        <f t="shared" si="45"/>
        <v>145</v>
      </c>
      <c r="C153" s="5"/>
      <c r="D153" s="5"/>
      <c r="E153" s="5">
        <v>223002</v>
      </c>
      <c r="F153" s="5"/>
      <c r="G153" s="5" t="s">
        <v>69</v>
      </c>
      <c r="H153" s="27">
        <v>4700</v>
      </c>
      <c r="I153" s="27"/>
      <c r="J153" s="27">
        <f t="shared" si="40"/>
        <v>4700</v>
      </c>
    </row>
    <row r="154" spans="2:10" x14ac:dyDescent="0.2">
      <c r="B154" s="32">
        <f t="shared" si="45"/>
        <v>146</v>
      </c>
      <c r="C154" s="10"/>
      <c r="D154" s="10"/>
      <c r="E154" s="10"/>
      <c r="F154" s="10"/>
      <c r="G154" s="10" t="s">
        <v>210</v>
      </c>
      <c r="H154" s="24">
        <f>H155</f>
        <v>3410</v>
      </c>
      <c r="I154" s="24">
        <f t="shared" ref="I154:I156" si="48">I155</f>
        <v>0</v>
      </c>
      <c r="J154" s="24">
        <f t="shared" si="40"/>
        <v>3410</v>
      </c>
    </row>
    <row r="155" spans="2:10" x14ac:dyDescent="0.2">
      <c r="B155" s="32">
        <f t="shared" si="45"/>
        <v>147</v>
      </c>
      <c r="C155" s="3">
        <v>220</v>
      </c>
      <c r="D155" s="3"/>
      <c r="E155" s="3"/>
      <c r="F155" s="3"/>
      <c r="G155" s="3" t="s">
        <v>225</v>
      </c>
      <c r="H155" s="25">
        <f>H156</f>
        <v>3410</v>
      </c>
      <c r="I155" s="25">
        <f t="shared" si="48"/>
        <v>0</v>
      </c>
      <c r="J155" s="25">
        <f t="shared" si="40"/>
        <v>3410</v>
      </c>
    </row>
    <row r="156" spans="2:10" x14ac:dyDescent="0.2">
      <c r="B156" s="32">
        <f t="shared" si="45"/>
        <v>148</v>
      </c>
      <c r="C156" s="4"/>
      <c r="D156" s="4">
        <v>223</v>
      </c>
      <c r="E156" s="4"/>
      <c r="F156" s="4"/>
      <c r="G156" s="4" t="s">
        <v>25</v>
      </c>
      <c r="H156" s="26">
        <f>H157</f>
        <v>3410</v>
      </c>
      <c r="I156" s="26">
        <f t="shared" si="48"/>
        <v>0</v>
      </c>
      <c r="J156" s="26">
        <f t="shared" si="40"/>
        <v>3410</v>
      </c>
    </row>
    <row r="157" spans="2:10" x14ac:dyDescent="0.2">
      <c r="B157" s="32">
        <f t="shared" si="45"/>
        <v>149</v>
      </c>
      <c r="C157" s="5"/>
      <c r="D157" s="5"/>
      <c r="E157" s="5">
        <v>223002</v>
      </c>
      <c r="F157" s="5"/>
      <c r="G157" s="5" t="s">
        <v>69</v>
      </c>
      <c r="H157" s="27">
        <v>3410</v>
      </c>
      <c r="I157" s="27"/>
      <c r="J157" s="27">
        <f t="shared" si="40"/>
        <v>3410</v>
      </c>
    </row>
    <row r="158" spans="2:10" x14ac:dyDescent="0.2">
      <c r="B158" s="32">
        <f t="shared" si="45"/>
        <v>150</v>
      </c>
      <c r="C158" s="10"/>
      <c r="D158" s="10"/>
      <c r="E158" s="10"/>
      <c r="F158" s="10"/>
      <c r="G158" s="10" t="s">
        <v>68</v>
      </c>
      <c r="H158" s="24">
        <f>H159</f>
        <v>2420</v>
      </c>
      <c r="I158" s="24">
        <f t="shared" ref="I158:I160" si="49">I159</f>
        <v>0</v>
      </c>
      <c r="J158" s="24">
        <f t="shared" si="40"/>
        <v>2420</v>
      </c>
    </row>
    <row r="159" spans="2:10" x14ac:dyDescent="0.2">
      <c r="B159" s="32">
        <f t="shared" si="45"/>
        <v>151</v>
      </c>
      <c r="C159" s="3">
        <v>220</v>
      </c>
      <c r="D159" s="3"/>
      <c r="E159" s="3"/>
      <c r="F159" s="3"/>
      <c r="G159" s="3" t="s">
        <v>225</v>
      </c>
      <c r="H159" s="25">
        <f>H160</f>
        <v>2420</v>
      </c>
      <c r="I159" s="25">
        <f t="shared" si="49"/>
        <v>0</v>
      </c>
      <c r="J159" s="25">
        <f t="shared" si="40"/>
        <v>2420</v>
      </c>
    </row>
    <row r="160" spans="2:10" x14ac:dyDescent="0.2">
      <c r="B160" s="32">
        <f t="shared" si="45"/>
        <v>152</v>
      </c>
      <c r="C160" s="4"/>
      <c r="D160" s="4">
        <v>223</v>
      </c>
      <c r="E160" s="4"/>
      <c r="F160" s="4"/>
      <c r="G160" s="4" t="s">
        <v>25</v>
      </c>
      <c r="H160" s="26">
        <f>H161</f>
        <v>2420</v>
      </c>
      <c r="I160" s="26">
        <f t="shared" si="49"/>
        <v>0</v>
      </c>
      <c r="J160" s="26">
        <f t="shared" si="40"/>
        <v>2420</v>
      </c>
    </row>
    <row r="161" spans="2:10" x14ac:dyDescent="0.2">
      <c r="B161" s="32">
        <f t="shared" si="45"/>
        <v>153</v>
      </c>
      <c r="C161" s="5"/>
      <c r="D161" s="5"/>
      <c r="E161" s="5">
        <v>223002</v>
      </c>
      <c r="F161" s="5"/>
      <c r="G161" s="5" t="s">
        <v>69</v>
      </c>
      <c r="H161" s="27">
        <v>2420</v>
      </c>
      <c r="I161" s="27"/>
      <c r="J161" s="27">
        <f t="shared" si="40"/>
        <v>2420</v>
      </c>
    </row>
    <row r="162" spans="2:10" x14ac:dyDescent="0.2">
      <c r="B162" s="32">
        <f t="shared" si="45"/>
        <v>154</v>
      </c>
      <c r="C162" s="10"/>
      <c r="D162" s="10"/>
      <c r="E162" s="10"/>
      <c r="F162" s="10"/>
      <c r="G162" s="10" t="s">
        <v>110</v>
      </c>
      <c r="H162" s="24">
        <f>H163</f>
        <v>14950</v>
      </c>
      <c r="I162" s="24">
        <f t="shared" ref="I162:I164" si="50">I163</f>
        <v>0</v>
      </c>
      <c r="J162" s="24">
        <f t="shared" si="40"/>
        <v>14950</v>
      </c>
    </row>
    <row r="163" spans="2:10" x14ac:dyDescent="0.2">
      <c r="B163" s="32">
        <f t="shared" si="45"/>
        <v>155</v>
      </c>
      <c r="C163" s="3">
        <v>220</v>
      </c>
      <c r="D163" s="3"/>
      <c r="E163" s="3"/>
      <c r="F163" s="3"/>
      <c r="G163" s="3" t="s">
        <v>225</v>
      </c>
      <c r="H163" s="25">
        <f>H164</f>
        <v>14950</v>
      </c>
      <c r="I163" s="25">
        <f t="shared" si="50"/>
        <v>0</v>
      </c>
      <c r="J163" s="25">
        <f t="shared" si="40"/>
        <v>14950</v>
      </c>
    </row>
    <row r="164" spans="2:10" x14ac:dyDescent="0.2">
      <c r="B164" s="32">
        <f t="shared" si="45"/>
        <v>156</v>
      </c>
      <c r="C164" s="4"/>
      <c r="D164" s="4">
        <v>223</v>
      </c>
      <c r="E164" s="4"/>
      <c r="F164" s="4"/>
      <c r="G164" s="4" t="s">
        <v>25</v>
      </c>
      <c r="H164" s="26">
        <f>H165</f>
        <v>14950</v>
      </c>
      <c r="I164" s="26">
        <f t="shared" si="50"/>
        <v>0</v>
      </c>
      <c r="J164" s="26">
        <f t="shared" si="40"/>
        <v>14950</v>
      </c>
    </row>
    <row r="165" spans="2:10" x14ac:dyDescent="0.2">
      <c r="B165" s="32">
        <f t="shared" si="45"/>
        <v>157</v>
      </c>
      <c r="C165" s="5"/>
      <c r="D165" s="5"/>
      <c r="E165" s="5">
        <v>223002</v>
      </c>
      <c r="F165" s="5"/>
      <c r="G165" s="5" t="s">
        <v>69</v>
      </c>
      <c r="H165" s="27">
        <v>14950</v>
      </c>
      <c r="I165" s="27"/>
      <c r="J165" s="27">
        <f t="shared" si="40"/>
        <v>14950</v>
      </c>
    </row>
    <row r="166" spans="2:10" x14ac:dyDescent="0.2">
      <c r="B166" s="32">
        <f t="shared" si="45"/>
        <v>158</v>
      </c>
      <c r="C166" s="10"/>
      <c r="D166" s="10"/>
      <c r="E166" s="10"/>
      <c r="F166" s="10"/>
      <c r="G166" s="10" t="s">
        <v>94</v>
      </c>
      <c r="H166" s="24">
        <f>H167</f>
        <v>1060</v>
      </c>
      <c r="I166" s="24">
        <f t="shared" ref="I166:I168" si="51">I167</f>
        <v>0</v>
      </c>
      <c r="J166" s="24">
        <f t="shared" si="40"/>
        <v>1060</v>
      </c>
    </row>
    <row r="167" spans="2:10" x14ac:dyDescent="0.2">
      <c r="B167" s="32">
        <f t="shared" si="45"/>
        <v>159</v>
      </c>
      <c r="C167" s="3">
        <v>220</v>
      </c>
      <c r="D167" s="3"/>
      <c r="E167" s="3"/>
      <c r="F167" s="3"/>
      <c r="G167" s="3" t="s">
        <v>225</v>
      </c>
      <c r="H167" s="25">
        <f>H168</f>
        <v>1060</v>
      </c>
      <c r="I167" s="25">
        <f t="shared" si="51"/>
        <v>0</v>
      </c>
      <c r="J167" s="25">
        <f t="shared" si="40"/>
        <v>1060</v>
      </c>
    </row>
    <row r="168" spans="2:10" x14ac:dyDescent="0.2">
      <c r="B168" s="32">
        <f t="shared" si="45"/>
        <v>160</v>
      </c>
      <c r="C168" s="4"/>
      <c r="D168" s="4">
        <v>223</v>
      </c>
      <c r="E168" s="4"/>
      <c r="F168" s="4"/>
      <c r="G168" s="4" t="s">
        <v>25</v>
      </c>
      <c r="H168" s="26">
        <f>H169</f>
        <v>1060</v>
      </c>
      <c r="I168" s="26">
        <f t="shared" si="51"/>
        <v>0</v>
      </c>
      <c r="J168" s="26">
        <f t="shared" si="40"/>
        <v>1060</v>
      </c>
    </row>
    <row r="169" spans="2:10" ht="13.5" thickBot="1" x14ac:dyDescent="0.25">
      <c r="B169" s="32">
        <f t="shared" si="45"/>
        <v>161</v>
      </c>
      <c r="C169" s="5"/>
      <c r="D169" s="5"/>
      <c r="E169" s="5">
        <v>223002</v>
      </c>
      <c r="F169" s="5"/>
      <c r="G169" s="5" t="s">
        <v>69</v>
      </c>
      <c r="H169" s="27">
        <v>1060</v>
      </c>
      <c r="I169" s="27"/>
      <c r="J169" s="27">
        <f t="shared" si="40"/>
        <v>1060</v>
      </c>
    </row>
    <row r="170" spans="2:10" ht="15.75" thickBot="1" x14ac:dyDescent="0.3">
      <c r="B170" s="32">
        <f t="shared" si="45"/>
        <v>162</v>
      </c>
      <c r="C170" s="17">
        <v>5</v>
      </c>
      <c r="D170" s="17"/>
      <c r="E170" s="17"/>
      <c r="F170" s="17"/>
      <c r="G170" s="17" t="s">
        <v>267</v>
      </c>
      <c r="H170" s="23">
        <f>H171+H174+H180+H184+H191+H199+H203+H207+H211+H215+H219+H223</f>
        <v>981470</v>
      </c>
      <c r="I170" s="23">
        <f t="shared" ref="I170" si="52">I171+I174+I180+I184+I191+I199+I203+I207+I211+I215+I219+I223</f>
        <v>-284427</v>
      </c>
      <c r="J170" s="23">
        <f t="shared" si="40"/>
        <v>697043</v>
      </c>
    </row>
    <row r="171" spans="2:10" x14ac:dyDescent="0.2">
      <c r="B171" s="32">
        <f t="shared" si="45"/>
        <v>163</v>
      </c>
      <c r="C171" s="3">
        <v>220</v>
      </c>
      <c r="D171" s="3"/>
      <c r="E171" s="3"/>
      <c r="F171" s="3"/>
      <c r="G171" s="3" t="s">
        <v>225</v>
      </c>
      <c r="H171" s="25">
        <f>H172</f>
        <v>6600</v>
      </c>
      <c r="I171" s="25">
        <f t="shared" ref="I171:I172" si="53">I172</f>
        <v>0</v>
      </c>
      <c r="J171" s="25">
        <f t="shared" si="40"/>
        <v>6600</v>
      </c>
    </row>
    <row r="172" spans="2:10" x14ac:dyDescent="0.2">
      <c r="B172" s="32">
        <f t="shared" si="45"/>
        <v>164</v>
      </c>
      <c r="C172" s="4"/>
      <c r="D172" s="4">
        <v>223</v>
      </c>
      <c r="E172" s="4"/>
      <c r="F172" s="4"/>
      <c r="G172" s="4" t="s">
        <v>25</v>
      </c>
      <c r="H172" s="26">
        <f>H173</f>
        <v>6600</v>
      </c>
      <c r="I172" s="26">
        <f t="shared" si="53"/>
        <v>0</v>
      </c>
      <c r="J172" s="26">
        <f t="shared" si="40"/>
        <v>6600</v>
      </c>
    </row>
    <row r="173" spans="2:10" x14ac:dyDescent="0.2">
      <c r="B173" s="32">
        <f t="shared" si="45"/>
        <v>165</v>
      </c>
      <c r="C173" s="93"/>
      <c r="D173" s="93"/>
      <c r="E173" s="5">
        <v>223003</v>
      </c>
      <c r="F173" s="5"/>
      <c r="G173" s="5" t="s">
        <v>398</v>
      </c>
      <c r="H173" s="27">
        <v>6600</v>
      </c>
      <c r="I173" s="27"/>
      <c r="J173" s="27">
        <f t="shared" si="40"/>
        <v>6600</v>
      </c>
    </row>
    <row r="174" spans="2:10" x14ac:dyDescent="0.2">
      <c r="B174" s="32">
        <f t="shared" si="45"/>
        <v>166</v>
      </c>
      <c r="C174" s="10"/>
      <c r="D174" s="10"/>
      <c r="E174" s="10"/>
      <c r="F174" s="10"/>
      <c r="G174" s="10" t="s">
        <v>270</v>
      </c>
      <c r="H174" s="24">
        <f>H175</f>
        <v>119000</v>
      </c>
      <c r="I174" s="24">
        <f t="shared" ref="I174:I175" si="54">I175</f>
        <v>0</v>
      </c>
      <c r="J174" s="24">
        <f t="shared" si="40"/>
        <v>119000</v>
      </c>
    </row>
    <row r="175" spans="2:10" x14ac:dyDescent="0.2">
      <c r="B175" s="32">
        <f t="shared" si="45"/>
        <v>167</v>
      </c>
      <c r="C175" s="3">
        <v>220</v>
      </c>
      <c r="D175" s="3"/>
      <c r="E175" s="3"/>
      <c r="F175" s="3"/>
      <c r="G175" s="3" t="s">
        <v>225</v>
      </c>
      <c r="H175" s="25">
        <f>H176</f>
        <v>119000</v>
      </c>
      <c r="I175" s="25">
        <f t="shared" si="54"/>
        <v>0</v>
      </c>
      <c r="J175" s="25">
        <f t="shared" si="40"/>
        <v>119000</v>
      </c>
    </row>
    <row r="176" spans="2:10" x14ac:dyDescent="0.2">
      <c r="B176" s="32">
        <f t="shared" si="45"/>
        <v>168</v>
      </c>
      <c r="C176" s="4"/>
      <c r="D176" s="4">
        <v>223</v>
      </c>
      <c r="E176" s="4"/>
      <c r="F176" s="4"/>
      <c r="G176" s="4" t="s">
        <v>25</v>
      </c>
      <c r="H176" s="26">
        <f>SUM(H177:H179)</f>
        <v>119000</v>
      </c>
      <c r="I176" s="26">
        <f t="shared" ref="I176" si="55">SUM(I177:I179)</f>
        <v>0</v>
      </c>
      <c r="J176" s="26">
        <f t="shared" si="40"/>
        <v>119000</v>
      </c>
    </row>
    <row r="177" spans="2:10" x14ac:dyDescent="0.2">
      <c r="B177" s="32">
        <f t="shared" si="45"/>
        <v>169</v>
      </c>
      <c r="C177" s="5"/>
      <c r="D177" s="5"/>
      <c r="E177" s="5">
        <v>223002</v>
      </c>
      <c r="F177" s="5"/>
      <c r="G177" s="5" t="s">
        <v>69</v>
      </c>
      <c r="H177" s="27">
        <v>109000</v>
      </c>
      <c r="I177" s="27"/>
      <c r="J177" s="27">
        <f t="shared" si="40"/>
        <v>109000</v>
      </c>
    </row>
    <row r="178" spans="2:10" x14ac:dyDescent="0.2">
      <c r="B178" s="32">
        <f t="shared" si="45"/>
        <v>170</v>
      </c>
      <c r="C178" s="5"/>
      <c r="D178" s="5"/>
      <c r="E178" s="5">
        <v>223003</v>
      </c>
      <c r="F178" s="5"/>
      <c r="G178" s="5" t="s">
        <v>70</v>
      </c>
      <c r="H178" s="27">
        <v>9000</v>
      </c>
      <c r="I178" s="27"/>
      <c r="J178" s="27">
        <f t="shared" si="40"/>
        <v>9000</v>
      </c>
    </row>
    <row r="179" spans="2:10" x14ac:dyDescent="0.2">
      <c r="B179" s="32">
        <f t="shared" si="45"/>
        <v>171</v>
      </c>
      <c r="C179" s="5"/>
      <c r="D179" s="5"/>
      <c r="E179" s="5">
        <v>223003</v>
      </c>
      <c r="F179" s="5"/>
      <c r="G179" s="5" t="s">
        <v>399</v>
      </c>
      <c r="H179" s="27">
        <v>1000</v>
      </c>
      <c r="I179" s="27"/>
      <c r="J179" s="27">
        <f t="shared" si="40"/>
        <v>1000</v>
      </c>
    </row>
    <row r="180" spans="2:10" x14ac:dyDescent="0.2">
      <c r="B180" s="32">
        <f t="shared" si="45"/>
        <v>172</v>
      </c>
      <c r="C180" s="10"/>
      <c r="D180" s="10"/>
      <c r="E180" s="10"/>
      <c r="F180" s="10"/>
      <c r="G180" s="10" t="s">
        <v>269</v>
      </c>
      <c r="H180" s="24">
        <f>H181</f>
        <v>2000</v>
      </c>
      <c r="I180" s="24">
        <f t="shared" ref="I180:I182" si="56">I181</f>
        <v>0</v>
      </c>
      <c r="J180" s="24">
        <f t="shared" si="40"/>
        <v>2000</v>
      </c>
    </row>
    <row r="181" spans="2:10" x14ac:dyDescent="0.2">
      <c r="B181" s="32">
        <f t="shared" si="45"/>
        <v>173</v>
      </c>
      <c r="C181" s="3">
        <v>220</v>
      </c>
      <c r="D181" s="3"/>
      <c r="E181" s="3"/>
      <c r="F181" s="3"/>
      <c r="G181" s="3" t="s">
        <v>225</v>
      </c>
      <c r="H181" s="25">
        <f>H182</f>
        <v>2000</v>
      </c>
      <c r="I181" s="25">
        <f t="shared" si="56"/>
        <v>0</v>
      </c>
      <c r="J181" s="25">
        <f t="shared" si="40"/>
        <v>2000</v>
      </c>
    </row>
    <row r="182" spans="2:10" x14ac:dyDescent="0.2">
      <c r="B182" s="32">
        <f t="shared" si="45"/>
        <v>174</v>
      </c>
      <c r="C182" s="4"/>
      <c r="D182" s="4">
        <v>223</v>
      </c>
      <c r="E182" s="4"/>
      <c r="F182" s="4"/>
      <c r="G182" s="4" t="s">
        <v>25</v>
      </c>
      <c r="H182" s="26">
        <f>H183</f>
        <v>2000</v>
      </c>
      <c r="I182" s="26">
        <f t="shared" si="56"/>
        <v>0</v>
      </c>
      <c r="J182" s="26">
        <f t="shared" si="40"/>
        <v>2000</v>
      </c>
    </row>
    <row r="183" spans="2:10" x14ac:dyDescent="0.2">
      <c r="B183" s="32">
        <f t="shared" si="45"/>
        <v>175</v>
      </c>
      <c r="C183" s="5"/>
      <c r="D183" s="5"/>
      <c r="E183" s="5">
        <v>223001</v>
      </c>
      <c r="F183" s="5"/>
      <c r="G183" s="5" t="s">
        <v>26</v>
      </c>
      <c r="H183" s="27">
        <v>2000</v>
      </c>
      <c r="I183" s="27"/>
      <c r="J183" s="27">
        <f t="shared" si="40"/>
        <v>2000</v>
      </c>
    </row>
    <row r="184" spans="2:10" x14ac:dyDescent="0.2">
      <c r="B184" s="32">
        <f t="shared" si="45"/>
        <v>176</v>
      </c>
      <c r="C184" s="10"/>
      <c r="D184" s="10"/>
      <c r="E184" s="10"/>
      <c r="F184" s="10"/>
      <c r="G184" s="10" t="s">
        <v>400</v>
      </c>
      <c r="H184" s="24">
        <f>H185+H188</f>
        <v>9400</v>
      </c>
      <c r="I184" s="24">
        <f t="shared" ref="I184" si="57">I185+I188</f>
        <v>0</v>
      </c>
      <c r="J184" s="24">
        <f t="shared" si="40"/>
        <v>9400</v>
      </c>
    </row>
    <row r="185" spans="2:10" x14ac:dyDescent="0.2">
      <c r="B185" s="32">
        <f t="shared" si="45"/>
        <v>177</v>
      </c>
      <c r="C185" s="3">
        <v>210</v>
      </c>
      <c r="D185" s="3"/>
      <c r="E185" s="3"/>
      <c r="F185" s="3"/>
      <c r="G185" s="3" t="s">
        <v>21</v>
      </c>
      <c r="H185" s="25">
        <f>H186</f>
        <v>3600</v>
      </c>
      <c r="I185" s="25">
        <f t="shared" ref="I185:I186" si="58">I186</f>
        <v>0</v>
      </c>
      <c r="J185" s="25">
        <f t="shared" si="40"/>
        <v>3600</v>
      </c>
    </row>
    <row r="186" spans="2:10" x14ac:dyDescent="0.2">
      <c r="B186" s="32">
        <f t="shared" si="45"/>
        <v>178</v>
      </c>
      <c r="C186" s="4"/>
      <c r="D186" s="4">
        <v>212</v>
      </c>
      <c r="E186" s="4"/>
      <c r="F186" s="4"/>
      <c r="G186" s="4" t="s">
        <v>22</v>
      </c>
      <c r="H186" s="26">
        <f>H187</f>
        <v>3600</v>
      </c>
      <c r="I186" s="26">
        <f t="shared" si="58"/>
        <v>0</v>
      </c>
      <c r="J186" s="26">
        <f t="shared" si="40"/>
        <v>3600</v>
      </c>
    </row>
    <row r="187" spans="2:10" x14ac:dyDescent="0.2">
      <c r="B187" s="32">
        <f t="shared" si="45"/>
        <v>179</v>
      </c>
      <c r="C187" s="5"/>
      <c r="D187" s="5"/>
      <c r="E187" s="5">
        <v>212003</v>
      </c>
      <c r="F187" s="5"/>
      <c r="G187" s="5" t="s">
        <v>23</v>
      </c>
      <c r="H187" s="27">
        <v>3600</v>
      </c>
      <c r="I187" s="27"/>
      <c r="J187" s="27">
        <f t="shared" si="40"/>
        <v>3600</v>
      </c>
    </row>
    <row r="188" spans="2:10" x14ac:dyDescent="0.2">
      <c r="B188" s="32">
        <f t="shared" si="45"/>
        <v>180</v>
      </c>
      <c r="C188" s="3">
        <v>220</v>
      </c>
      <c r="D188" s="3"/>
      <c r="E188" s="3"/>
      <c r="F188" s="3"/>
      <c r="G188" s="3" t="s">
        <v>225</v>
      </c>
      <c r="H188" s="25">
        <f>H189</f>
        <v>5800</v>
      </c>
      <c r="I188" s="25">
        <f t="shared" ref="I188:I189" si="59">I189</f>
        <v>0</v>
      </c>
      <c r="J188" s="25">
        <f t="shared" si="40"/>
        <v>5800</v>
      </c>
    </row>
    <row r="189" spans="2:10" x14ac:dyDescent="0.2">
      <c r="B189" s="32">
        <f t="shared" si="45"/>
        <v>181</v>
      </c>
      <c r="C189" s="4"/>
      <c r="D189" s="4">
        <v>223</v>
      </c>
      <c r="E189" s="4"/>
      <c r="F189" s="4"/>
      <c r="G189" s="4" t="s">
        <v>25</v>
      </c>
      <c r="H189" s="26">
        <f>H190</f>
        <v>5800</v>
      </c>
      <c r="I189" s="26">
        <f t="shared" si="59"/>
        <v>0</v>
      </c>
      <c r="J189" s="26">
        <f t="shared" si="40"/>
        <v>5800</v>
      </c>
    </row>
    <row r="190" spans="2:10" x14ac:dyDescent="0.2">
      <c r="B190" s="32">
        <f t="shared" si="45"/>
        <v>182</v>
      </c>
      <c r="C190" s="5"/>
      <c r="D190" s="5"/>
      <c r="E190" s="5">
        <v>223001</v>
      </c>
      <c r="F190" s="5"/>
      <c r="G190" s="5" t="s">
        <v>26</v>
      </c>
      <c r="H190" s="27">
        <f>2200+3600</f>
        <v>5800</v>
      </c>
      <c r="I190" s="27"/>
      <c r="J190" s="27">
        <f t="shared" si="40"/>
        <v>5800</v>
      </c>
    </row>
    <row r="191" spans="2:10" x14ac:dyDescent="0.2">
      <c r="B191" s="32">
        <f t="shared" si="45"/>
        <v>183</v>
      </c>
      <c r="C191" s="10"/>
      <c r="D191" s="10"/>
      <c r="E191" s="10"/>
      <c r="F191" s="10"/>
      <c r="G191" s="10" t="s">
        <v>248</v>
      </c>
      <c r="H191" s="24">
        <f>H192+H195</f>
        <v>130100</v>
      </c>
      <c r="I191" s="24">
        <f t="shared" ref="I191" si="60">I192+I195</f>
        <v>0</v>
      </c>
      <c r="J191" s="24">
        <f t="shared" si="40"/>
        <v>130100</v>
      </c>
    </row>
    <row r="192" spans="2:10" x14ac:dyDescent="0.2">
      <c r="B192" s="32">
        <f t="shared" si="45"/>
        <v>184</v>
      </c>
      <c r="C192" s="3">
        <v>210</v>
      </c>
      <c r="D192" s="3"/>
      <c r="E192" s="3"/>
      <c r="F192" s="3"/>
      <c r="G192" s="3" t="s">
        <v>21</v>
      </c>
      <c r="H192" s="25">
        <f>H193</f>
        <v>1000</v>
      </c>
      <c r="I192" s="25">
        <f t="shared" ref="I192:I193" si="61">I193</f>
        <v>0</v>
      </c>
      <c r="J192" s="25">
        <f t="shared" si="40"/>
        <v>1000</v>
      </c>
    </row>
    <row r="193" spans="2:10" x14ac:dyDescent="0.2">
      <c r="B193" s="32">
        <f t="shared" si="45"/>
        <v>185</v>
      </c>
      <c r="C193" s="4"/>
      <c r="D193" s="4">
        <v>212</v>
      </c>
      <c r="E193" s="4"/>
      <c r="F193" s="4"/>
      <c r="G193" s="4" t="s">
        <v>22</v>
      </c>
      <c r="H193" s="26">
        <f>H194</f>
        <v>1000</v>
      </c>
      <c r="I193" s="26">
        <f t="shared" si="61"/>
        <v>0</v>
      </c>
      <c r="J193" s="26">
        <f t="shared" si="40"/>
        <v>1000</v>
      </c>
    </row>
    <row r="194" spans="2:10" x14ac:dyDescent="0.2">
      <c r="B194" s="32">
        <f t="shared" si="45"/>
        <v>186</v>
      </c>
      <c r="C194" s="5"/>
      <c r="D194" s="5"/>
      <c r="E194" s="5">
        <v>212003</v>
      </c>
      <c r="F194" s="5"/>
      <c r="G194" s="5" t="s">
        <v>23</v>
      </c>
      <c r="H194" s="27">
        <v>1000</v>
      </c>
      <c r="I194" s="27"/>
      <c r="J194" s="27">
        <f t="shared" ref="J194:J259" si="62">H194+I194</f>
        <v>1000</v>
      </c>
    </row>
    <row r="195" spans="2:10" x14ac:dyDescent="0.2">
      <c r="B195" s="32">
        <f t="shared" si="45"/>
        <v>187</v>
      </c>
      <c r="C195" s="3">
        <v>220</v>
      </c>
      <c r="D195" s="3"/>
      <c r="E195" s="3"/>
      <c r="F195" s="3"/>
      <c r="G195" s="3" t="s">
        <v>225</v>
      </c>
      <c r="H195" s="25">
        <f>H196</f>
        <v>129100</v>
      </c>
      <c r="I195" s="25">
        <f t="shared" ref="I195" si="63">I196</f>
        <v>0</v>
      </c>
      <c r="J195" s="25">
        <f t="shared" si="62"/>
        <v>129100</v>
      </c>
    </row>
    <row r="196" spans="2:10" x14ac:dyDescent="0.2">
      <c r="B196" s="32">
        <f t="shared" si="45"/>
        <v>188</v>
      </c>
      <c r="C196" s="4"/>
      <c r="D196" s="4">
        <v>223</v>
      </c>
      <c r="E196" s="4"/>
      <c r="F196" s="4"/>
      <c r="G196" s="4" t="s">
        <v>25</v>
      </c>
      <c r="H196" s="26">
        <f>H197+H198</f>
        <v>129100</v>
      </c>
      <c r="I196" s="26">
        <f t="shared" ref="I196" si="64">I197+I198</f>
        <v>0</v>
      </c>
      <c r="J196" s="26">
        <f t="shared" si="62"/>
        <v>129100</v>
      </c>
    </row>
    <row r="197" spans="2:10" x14ac:dyDescent="0.2">
      <c r="B197" s="32">
        <f t="shared" si="45"/>
        <v>189</v>
      </c>
      <c r="C197" s="5"/>
      <c r="D197" s="5"/>
      <c r="E197" s="5">
        <v>223001</v>
      </c>
      <c r="F197" s="5"/>
      <c r="G197" s="5" t="s">
        <v>401</v>
      </c>
      <c r="H197" s="27">
        <v>108000</v>
      </c>
      <c r="I197" s="27"/>
      <c r="J197" s="27">
        <f t="shared" si="62"/>
        <v>108000</v>
      </c>
    </row>
    <row r="198" spans="2:10" x14ac:dyDescent="0.2">
      <c r="B198" s="32">
        <f t="shared" si="45"/>
        <v>190</v>
      </c>
      <c r="C198" s="5"/>
      <c r="D198" s="5"/>
      <c r="E198" s="5">
        <v>223001</v>
      </c>
      <c r="F198" s="5"/>
      <c r="G198" s="5" t="s">
        <v>402</v>
      </c>
      <c r="H198" s="27">
        <v>21100</v>
      </c>
      <c r="I198" s="27"/>
      <c r="J198" s="27">
        <f t="shared" si="62"/>
        <v>21100</v>
      </c>
    </row>
    <row r="199" spans="2:10" x14ac:dyDescent="0.2">
      <c r="B199" s="32">
        <f t="shared" si="45"/>
        <v>191</v>
      </c>
      <c r="C199" s="10"/>
      <c r="D199" s="10"/>
      <c r="E199" s="10"/>
      <c r="F199" s="10"/>
      <c r="G199" s="10" t="s">
        <v>403</v>
      </c>
      <c r="H199" s="24">
        <f>H200</f>
        <v>191200</v>
      </c>
      <c r="I199" s="24">
        <f t="shared" ref="I199:I201" si="65">I200</f>
        <v>0</v>
      </c>
      <c r="J199" s="24">
        <f t="shared" si="62"/>
        <v>191200</v>
      </c>
    </row>
    <row r="200" spans="2:10" x14ac:dyDescent="0.2">
      <c r="B200" s="32">
        <f t="shared" si="45"/>
        <v>192</v>
      </c>
      <c r="C200" s="3">
        <v>220</v>
      </c>
      <c r="D200" s="3"/>
      <c r="E200" s="3"/>
      <c r="F200" s="3"/>
      <c r="G200" s="3" t="s">
        <v>225</v>
      </c>
      <c r="H200" s="25">
        <f>H201</f>
        <v>191200</v>
      </c>
      <c r="I200" s="25">
        <f t="shared" si="65"/>
        <v>0</v>
      </c>
      <c r="J200" s="25">
        <f t="shared" si="62"/>
        <v>191200</v>
      </c>
    </row>
    <row r="201" spans="2:10" x14ac:dyDescent="0.2">
      <c r="B201" s="32">
        <f t="shared" si="45"/>
        <v>193</v>
      </c>
      <c r="C201" s="4"/>
      <c r="D201" s="4">
        <v>223</v>
      </c>
      <c r="E201" s="4"/>
      <c r="F201" s="4"/>
      <c r="G201" s="4" t="s">
        <v>25</v>
      </c>
      <c r="H201" s="26">
        <f>H202</f>
        <v>191200</v>
      </c>
      <c r="I201" s="26">
        <f t="shared" si="65"/>
        <v>0</v>
      </c>
      <c r="J201" s="26">
        <f t="shared" si="62"/>
        <v>191200</v>
      </c>
    </row>
    <row r="202" spans="2:10" x14ac:dyDescent="0.2">
      <c r="B202" s="32">
        <f t="shared" si="45"/>
        <v>194</v>
      </c>
      <c r="C202" s="5"/>
      <c r="D202" s="5"/>
      <c r="E202" s="5">
        <v>223001</v>
      </c>
      <c r="F202" s="5"/>
      <c r="G202" s="5" t="s">
        <v>410</v>
      </c>
      <c r="H202" s="27">
        <v>191200</v>
      </c>
      <c r="I202" s="27"/>
      <c r="J202" s="27">
        <f t="shared" si="62"/>
        <v>191200</v>
      </c>
    </row>
    <row r="203" spans="2:10" x14ac:dyDescent="0.2">
      <c r="B203" s="32">
        <f t="shared" si="45"/>
        <v>195</v>
      </c>
      <c r="C203" s="10"/>
      <c r="D203" s="10"/>
      <c r="E203" s="10"/>
      <c r="F203" s="10"/>
      <c r="G203" s="10" t="s">
        <v>404</v>
      </c>
      <c r="H203" s="24">
        <f>H204</f>
        <v>9300</v>
      </c>
      <c r="I203" s="24">
        <f t="shared" ref="I203:I205" si="66">I204</f>
        <v>0</v>
      </c>
      <c r="J203" s="24">
        <f t="shared" si="62"/>
        <v>9300</v>
      </c>
    </row>
    <row r="204" spans="2:10" x14ac:dyDescent="0.2">
      <c r="B204" s="32">
        <f t="shared" si="45"/>
        <v>196</v>
      </c>
      <c r="C204" s="3">
        <v>220</v>
      </c>
      <c r="D204" s="3"/>
      <c r="E204" s="3"/>
      <c r="F204" s="3"/>
      <c r="G204" s="3" t="s">
        <v>225</v>
      </c>
      <c r="H204" s="25">
        <f>H205</f>
        <v>9300</v>
      </c>
      <c r="I204" s="25">
        <f t="shared" si="66"/>
        <v>0</v>
      </c>
      <c r="J204" s="25">
        <f t="shared" si="62"/>
        <v>9300</v>
      </c>
    </row>
    <row r="205" spans="2:10" x14ac:dyDescent="0.2">
      <c r="B205" s="32">
        <f t="shared" si="45"/>
        <v>197</v>
      </c>
      <c r="C205" s="4"/>
      <c r="D205" s="4">
        <v>223</v>
      </c>
      <c r="E205" s="4"/>
      <c r="F205" s="4"/>
      <c r="G205" s="4" t="s">
        <v>25</v>
      </c>
      <c r="H205" s="26">
        <f>H206</f>
        <v>9300</v>
      </c>
      <c r="I205" s="26">
        <f t="shared" si="66"/>
        <v>0</v>
      </c>
      <c r="J205" s="26">
        <f t="shared" si="62"/>
        <v>9300</v>
      </c>
    </row>
    <row r="206" spans="2:10" x14ac:dyDescent="0.2">
      <c r="B206" s="32">
        <f t="shared" si="45"/>
        <v>198</v>
      </c>
      <c r="C206" s="5"/>
      <c r="D206" s="5"/>
      <c r="E206" s="5">
        <v>223001</v>
      </c>
      <c r="F206" s="5"/>
      <c r="G206" s="5" t="s">
        <v>410</v>
      </c>
      <c r="H206" s="27">
        <v>9300</v>
      </c>
      <c r="I206" s="27"/>
      <c r="J206" s="27">
        <f t="shared" si="62"/>
        <v>9300</v>
      </c>
    </row>
    <row r="207" spans="2:10" x14ac:dyDescent="0.2">
      <c r="B207" s="32">
        <f t="shared" ref="B207:B270" si="67">B206+1</f>
        <v>199</v>
      </c>
      <c r="C207" s="10"/>
      <c r="D207" s="10"/>
      <c r="E207" s="10"/>
      <c r="F207" s="10"/>
      <c r="G207" s="10" t="s">
        <v>405</v>
      </c>
      <c r="H207" s="24">
        <f>H208</f>
        <v>134000</v>
      </c>
      <c r="I207" s="24">
        <f t="shared" ref="I207:I209" si="68">I208</f>
        <v>0</v>
      </c>
      <c r="J207" s="24">
        <f t="shared" si="62"/>
        <v>134000</v>
      </c>
    </row>
    <row r="208" spans="2:10" x14ac:dyDescent="0.2">
      <c r="B208" s="32">
        <f t="shared" si="67"/>
        <v>200</v>
      </c>
      <c r="C208" s="3">
        <v>220</v>
      </c>
      <c r="D208" s="3"/>
      <c r="E208" s="3"/>
      <c r="F208" s="3"/>
      <c r="G208" s="3" t="s">
        <v>225</v>
      </c>
      <c r="H208" s="25">
        <f>H209</f>
        <v>134000</v>
      </c>
      <c r="I208" s="25">
        <f t="shared" si="68"/>
        <v>0</v>
      </c>
      <c r="J208" s="25">
        <f t="shared" si="62"/>
        <v>134000</v>
      </c>
    </row>
    <row r="209" spans="2:10" x14ac:dyDescent="0.2">
      <c r="B209" s="32">
        <f t="shared" si="67"/>
        <v>201</v>
      </c>
      <c r="C209" s="4"/>
      <c r="D209" s="4">
        <v>223</v>
      </c>
      <c r="E209" s="4"/>
      <c r="F209" s="4"/>
      <c r="G209" s="4" t="s">
        <v>25</v>
      </c>
      <c r="H209" s="26">
        <f>H210</f>
        <v>134000</v>
      </c>
      <c r="I209" s="26">
        <f t="shared" si="68"/>
        <v>0</v>
      </c>
      <c r="J209" s="26">
        <f t="shared" si="62"/>
        <v>134000</v>
      </c>
    </row>
    <row r="210" spans="2:10" x14ac:dyDescent="0.2">
      <c r="B210" s="32">
        <f t="shared" si="67"/>
        <v>202</v>
      </c>
      <c r="C210" s="5"/>
      <c r="D210" s="5"/>
      <c r="E210" s="5">
        <v>223001</v>
      </c>
      <c r="F210" s="5"/>
      <c r="G210" s="5" t="s">
        <v>410</v>
      </c>
      <c r="H210" s="27">
        <v>134000</v>
      </c>
      <c r="I210" s="27"/>
      <c r="J210" s="27">
        <f t="shared" si="62"/>
        <v>134000</v>
      </c>
    </row>
    <row r="211" spans="2:10" x14ac:dyDescent="0.2">
      <c r="B211" s="32">
        <f t="shared" si="67"/>
        <v>203</v>
      </c>
      <c r="C211" s="10"/>
      <c r="D211" s="10"/>
      <c r="E211" s="10"/>
      <c r="F211" s="10"/>
      <c r="G211" s="10" t="s">
        <v>408</v>
      </c>
      <c r="H211" s="24">
        <f>H212</f>
        <v>82643</v>
      </c>
      <c r="I211" s="24">
        <f t="shared" ref="I211:I213" si="69">I212</f>
        <v>0</v>
      </c>
      <c r="J211" s="24">
        <f t="shared" si="62"/>
        <v>82643</v>
      </c>
    </row>
    <row r="212" spans="2:10" x14ac:dyDescent="0.2">
      <c r="B212" s="32">
        <f t="shared" si="67"/>
        <v>204</v>
      </c>
      <c r="C212" s="3">
        <v>220</v>
      </c>
      <c r="D212" s="3"/>
      <c r="E212" s="3"/>
      <c r="F212" s="3"/>
      <c r="G212" s="3" t="s">
        <v>225</v>
      </c>
      <c r="H212" s="25">
        <f>H213</f>
        <v>82643</v>
      </c>
      <c r="I212" s="25">
        <f t="shared" si="69"/>
        <v>0</v>
      </c>
      <c r="J212" s="25">
        <f t="shared" si="62"/>
        <v>82643</v>
      </c>
    </row>
    <row r="213" spans="2:10" x14ac:dyDescent="0.2">
      <c r="B213" s="32">
        <f t="shared" si="67"/>
        <v>205</v>
      </c>
      <c r="C213" s="4"/>
      <c r="D213" s="4">
        <v>223</v>
      </c>
      <c r="E213" s="4"/>
      <c r="F213" s="4"/>
      <c r="G213" s="4" t="s">
        <v>25</v>
      </c>
      <c r="H213" s="26">
        <f>H214</f>
        <v>82643</v>
      </c>
      <c r="I213" s="26">
        <f t="shared" si="69"/>
        <v>0</v>
      </c>
      <c r="J213" s="26">
        <f t="shared" si="62"/>
        <v>82643</v>
      </c>
    </row>
    <row r="214" spans="2:10" x14ac:dyDescent="0.2">
      <c r="B214" s="32">
        <f t="shared" si="67"/>
        <v>206</v>
      </c>
      <c r="C214" s="5"/>
      <c r="D214" s="5"/>
      <c r="E214" s="5">
        <v>223001</v>
      </c>
      <c r="F214" s="5"/>
      <c r="G214" s="5" t="s">
        <v>406</v>
      </c>
      <c r="H214" s="27">
        <f>95200-12557</f>
        <v>82643</v>
      </c>
      <c r="I214" s="27"/>
      <c r="J214" s="27">
        <f t="shared" si="62"/>
        <v>82643</v>
      </c>
    </row>
    <row r="215" spans="2:10" x14ac:dyDescent="0.2">
      <c r="B215" s="32">
        <f t="shared" si="67"/>
        <v>207</v>
      </c>
      <c r="C215" s="10"/>
      <c r="D215" s="10"/>
      <c r="E215" s="10"/>
      <c r="F215" s="10"/>
      <c r="G215" s="10" t="s">
        <v>409</v>
      </c>
      <c r="H215" s="24">
        <f>H216</f>
        <v>5500</v>
      </c>
      <c r="I215" s="24">
        <f t="shared" ref="I215:I217" si="70">I216</f>
        <v>0</v>
      </c>
      <c r="J215" s="24">
        <f t="shared" si="62"/>
        <v>5500</v>
      </c>
    </row>
    <row r="216" spans="2:10" x14ac:dyDescent="0.2">
      <c r="B216" s="32">
        <f t="shared" si="67"/>
        <v>208</v>
      </c>
      <c r="C216" s="3">
        <v>220</v>
      </c>
      <c r="D216" s="3"/>
      <c r="E216" s="3"/>
      <c r="F216" s="3"/>
      <c r="G216" s="3" t="s">
        <v>225</v>
      </c>
      <c r="H216" s="25">
        <f>H217</f>
        <v>5500</v>
      </c>
      <c r="I216" s="25">
        <f t="shared" si="70"/>
        <v>0</v>
      </c>
      <c r="J216" s="25">
        <f t="shared" si="62"/>
        <v>5500</v>
      </c>
    </row>
    <row r="217" spans="2:10" x14ac:dyDescent="0.2">
      <c r="B217" s="32">
        <f t="shared" si="67"/>
        <v>209</v>
      </c>
      <c r="C217" s="4"/>
      <c r="D217" s="4">
        <v>223</v>
      </c>
      <c r="E217" s="4"/>
      <c r="F217" s="4"/>
      <c r="G217" s="4" t="s">
        <v>25</v>
      </c>
      <c r="H217" s="26">
        <f>H218</f>
        <v>5500</v>
      </c>
      <c r="I217" s="26">
        <f t="shared" si="70"/>
        <v>0</v>
      </c>
      <c r="J217" s="26">
        <f t="shared" si="62"/>
        <v>5500</v>
      </c>
    </row>
    <row r="218" spans="2:10" x14ac:dyDescent="0.2">
      <c r="B218" s="32">
        <f t="shared" si="67"/>
        <v>210</v>
      </c>
      <c r="C218" s="5"/>
      <c r="D218" s="5"/>
      <c r="E218" s="5">
        <v>223001</v>
      </c>
      <c r="F218" s="5"/>
      <c r="G218" s="5" t="s">
        <v>407</v>
      </c>
      <c r="H218" s="27">
        <v>5500</v>
      </c>
      <c r="I218" s="27"/>
      <c r="J218" s="27">
        <f t="shared" si="62"/>
        <v>5500</v>
      </c>
    </row>
    <row r="219" spans="2:10" x14ac:dyDescent="0.2">
      <c r="B219" s="32">
        <f t="shared" si="67"/>
        <v>211</v>
      </c>
      <c r="C219" s="10"/>
      <c r="D219" s="10"/>
      <c r="E219" s="10"/>
      <c r="F219" s="10"/>
      <c r="G219" s="10" t="s">
        <v>292</v>
      </c>
      <c r="H219" s="24">
        <f>H220</f>
        <v>7300</v>
      </c>
      <c r="I219" s="24">
        <f t="shared" ref="I219:I221" si="71">I220</f>
        <v>0</v>
      </c>
      <c r="J219" s="24">
        <f t="shared" si="62"/>
        <v>7300</v>
      </c>
    </row>
    <row r="220" spans="2:10" x14ac:dyDescent="0.2">
      <c r="B220" s="32">
        <f t="shared" si="67"/>
        <v>212</v>
      </c>
      <c r="C220" s="3">
        <v>220</v>
      </c>
      <c r="D220" s="3"/>
      <c r="E220" s="3"/>
      <c r="F220" s="3"/>
      <c r="G220" s="3" t="s">
        <v>225</v>
      </c>
      <c r="H220" s="25">
        <f>H221</f>
        <v>7300</v>
      </c>
      <c r="I220" s="25">
        <f t="shared" si="71"/>
        <v>0</v>
      </c>
      <c r="J220" s="25">
        <f t="shared" si="62"/>
        <v>7300</v>
      </c>
    </row>
    <row r="221" spans="2:10" x14ac:dyDescent="0.2">
      <c r="B221" s="32">
        <f t="shared" si="67"/>
        <v>213</v>
      </c>
      <c r="C221" s="4"/>
      <c r="D221" s="4">
        <v>223</v>
      </c>
      <c r="E221" s="4"/>
      <c r="F221" s="4"/>
      <c r="G221" s="4" t="s">
        <v>25</v>
      </c>
      <c r="H221" s="26">
        <f>H222</f>
        <v>7300</v>
      </c>
      <c r="I221" s="26">
        <f t="shared" si="71"/>
        <v>0</v>
      </c>
      <c r="J221" s="26">
        <f t="shared" si="62"/>
        <v>7300</v>
      </c>
    </row>
    <row r="222" spans="2:10" x14ac:dyDescent="0.2">
      <c r="B222" s="32">
        <f t="shared" si="67"/>
        <v>214</v>
      </c>
      <c r="C222" s="5"/>
      <c r="D222" s="5"/>
      <c r="E222" s="5">
        <v>223001</v>
      </c>
      <c r="F222" s="5"/>
      <c r="G222" s="5" t="s">
        <v>26</v>
      </c>
      <c r="H222" s="27">
        <v>7300</v>
      </c>
      <c r="I222" s="27"/>
      <c r="J222" s="27">
        <f t="shared" si="62"/>
        <v>7300</v>
      </c>
    </row>
    <row r="223" spans="2:10" x14ac:dyDescent="0.2">
      <c r="B223" s="32">
        <f t="shared" si="67"/>
        <v>215</v>
      </c>
      <c r="C223" s="10">
        <v>290</v>
      </c>
      <c r="D223" s="10"/>
      <c r="E223" s="10"/>
      <c r="F223" s="10"/>
      <c r="G223" s="10" t="s">
        <v>176</v>
      </c>
      <c r="H223" s="24">
        <f>H224</f>
        <v>284427</v>
      </c>
      <c r="I223" s="24">
        <f t="shared" ref="I223:I224" si="72">I224</f>
        <v>-284427</v>
      </c>
      <c r="J223" s="24">
        <f t="shared" si="62"/>
        <v>0</v>
      </c>
    </row>
    <row r="224" spans="2:10" x14ac:dyDescent="0.2">
      <c r="B224" s="32">
        <f t="shared" si="67"/>
        <v>216</v>
      </c>
      <c r="C224" s="3"/>
      <c r="D224" s="3">
        <v>292</v>
      </c>
      <c r="E224" s="3"/>
      <c r="F224" s="3"/>
      <c r="G224" s="3" t="s">
        <v>177</v>
      </c>
      <c r="H224" s="25">
        <f>H225</f>
        <v>284427</v>
      </c>
      <c r="I224" s="25">
        <f t="shared" si="72"/>
        <v>-284427</v>
      </c>
      <c r="J224" s="25">
        <f t="shared" si="62"/>
        <v>0</v>
      </c>
    </row>
    <row r="225" spans="2:10" ht="13.5" thickBot="1" x14ac:dyDescent="0.25">
      <c r="B225" s="32">
        <f t="shared" si="67"/>
        <v>217</v>
      </c>
      <c r="C225" s="4"/>
      <c r="D225" s="4"/>
      <c r="E225" s="4">
        <v>292019</v>
      </c>
      <c r="F225" s="4"/>
      <c r="G225" s="4" t="s">
        <v>556</v>
      </c>
      <c r="H225" s="26">
        <v>284427</v>
      </c>
      <c r="I225" s="26">
        <v>-284427</v>
      </c>
      <c r="J225" s="26">
        <f t="shared" si="62"/>
        <v>0</v>
      </c>
    </row>
    <row r="226" spans="2:10" ht="15.75" thickBot="1" x14ac:dyDescent="0.3">
      <c r="B226" s="32">
        <f t="shared" si="67"/>
        <v>218</v>
      </c>
      <c r="C226" s="17">
        <v>6</v>
      </c>
      <c r="D226" s="17"/>
      <c r="E226" s="17"/>
      <c r="F226" s="17"/>
      <c r="G226" s="17" t="s">
        <v>83</v>
      </c>
      <c r="H226" s="23">
        <f>H237+H234+H230+H227</f>
        <v>13890</v>
      </c>
      <c r="I226" s="23">
        <f>I237+I234+I230+I227</f>
        <v>11000</v>
      </c>
      <c r="J226" s="23">
        <f t="shared" si="62"/>
        <v>24890</v>
      </c>
    </row>
    <row r="227" spans="2:10" x14ac:dyDescent="0.2">
      <c r="B227" s="32">
        <f t="shared" si="67"/>
        <v>219</v>
      </c>
      <c r="C227" s="10">
        <v>210</v>
      </c>
      <c r="D227" s="10"/>
      <c r="E227" s="10"/>
      <c r="F227" s="10"/>
      <c r="G227" s="10" t="s">
        <v>21</v>
      </c>
      <c r="H227" s="24">
        <f>H228</f>
        <v>1455</v>
      </c>
      <c r="I227" s="24">
        <f t="shared" ref="I227:I228" si="73">I228</f>
        <v>0</v>
      </c>
      <c r="J227" s="24">
        <f t="shared" si="62"/>
        <v>1455</v>
      </c>
    </row>
    <row r="228" spans="2:10" x14ac:dyDescent="0.2">
      <c r="B228" s="32">
        <f t="shared" si="67"/>
        <v>220</v>
      </c>
      <c r="C228" s="3"/>
      <c r="D228" s="3">
        <v>212</v>
      </c>
      <c r="E228" s="3"/>
      <c r="F228" s="3"/>
      <c r="G228" s="3" t="s">
        <v>22</v>
      </c>
      <c r="H228" s="25">
        <f>H229</f>
        <v>1455</v>
      </c>
      <c r="I228" s="25">
        <f t="shared" si="73"/>
        <v>0</v>
      </c>
      <c r="J228" s="25">
        <f t="shared" si="62"/>
        <v>1455</v>
      </c>
    </row>
    <row r="229" spans="2:10" x14ac:dyDescent="0.2">
      <c r="B229" s="32">
        <f t="shared" si="67"/>
        <v>221</v>
      </c>
      <c r="C229" s="4"/>
      <c r="D229" s="4"/>
      <c r="E229" s="4">
        <v>212003</v>
      </c>
      <c r="F229" s="4"/>
      <c r="G229" s="4" t="s">
        <v>23</v>
      </c>
      <c r="H229" s="26">
        <v>1455</v>
      </c>
      <c r="I229" s="26"/>
      <c r="J229" s="26">
        <f t="shared" si="62"/>
        <v>1455</v>
      </c>
    </row>
    <row r="230" spans="2:10" x14ac:dyDescent="0.2">
      <c r="B230" s="32">
        <f t="shared" si="67"/>
        <v>222</v>
      </c>
      <c r="C230" s="10">
        <v>220</v>
      </c>
      <c r="D230" s="10"/>
      <c r="E230" s="10"/>
      <c r="F230" s="10"/>
      <c r="G230" s="10" t="s">
        <v>225</v>
      </c>
      <c r="H230" s="24">
        <f>H231</f>
        <v>12000</v>
      </c>
      <c r="I230" s="24">
        <f t="shared" ref="I230" si="74">I231</f>
        <v>11000</v>
      </c>
      <c r="J230" s="24">
        <f t="shared" si="62"/>
        <v>23000</v>
      </c>
    </row>
    <row r="231" spans="2:10" x14ac:dyDescent="0.2">
      <c r="B231" s="32">
        <f t="shared" si="67"/>
        <v>223</v>
      </c>
      <c r="C231" s="3"/>
      <c r="D231" s="3">
        <v>223</v>
      </c>
      <c r="E231" s="3"/>
      <c r="F231" s="3"/>
      <c r="G231" s="3" t="s">
        <v>25</v>
      </c>
      <c r="H231" s="25">
        <f>H233</f>
        <v>12000</v>
      </c>
      <c r="I231" s="25">
        <f>I232+I233</f>
        <v>11000</v>
      </c>
      <c r="J231" s="25">
        <f t="shared" si="62"/>
        <v>23000</v>
      </c>
    </row>
    <row r="232" spans="2:10" x14ac:dyDescent="0.2">
      <c r="B232" s="32">
        <f t="shared" si="67"/>
        <v>224</v>
      </c>
      <c r="C232" s="3"/>
      <c r="D232" s="3"/>
      <c r="E232" s="4">
        <v>223001</v>
      </c>
      <c r="F232" s="3"/>
      <c r="G232" s="4" t="s">
        <v>667</v>
      </c>
      <c r="H232" s="25"/>
      <c r="I232" s="26">
        <v>11000</v>
      </c>
      <c r="J232" s="26">
        <f>I232+H232</f>
        <v>11000</v>
      </c>
    </row>
    <row r="233" spans="2:10" x14ac:dyDescent="0.2">
      <c r="B233" s="32">
        <f t="shared" si="67"/>
        <v>225</v>
      </c>
      <c r="C233" s="4"/>
      <c r="D233" s="4"/>
      <c r="E233" s="4">
        <v>223002</v>
      </c>
      <c r="F233" s="4"/>
      <c r="G233" s="4" t="s">
        <v>69</v>
      </c>
      <c r="H233" s="26">
        <v>12000</v>
      </c>
      <c r="I233" s="26"/>
      <c r="J233" s="26">
        <f t="shared" si="62"/>
        <v>12000</v>
      </c>
    </row>
    <row r="234" spans="2:10" x14ac:dyDescent="0.2">
      <c r="B234" s="32">
        <f t="shared" si="67"/>
        <v>226</v>
      </c>
      <c r="C234" s="10">
        <v>240</v>
      </c>
      <c r="D234" s="10"/>
      <c r="E234" s="10"/>
      <c r="F234" s="10"/>
      <c r="G234" s="10" t="s">
        <v>175</v>
      </c>
      <c r="H234" s="24">
        <f>H235</f>
        <v>5</v>
      </c>
      <c r="I234" s="24">
        <f t="shared" ref="I234:I235" si="75">I235</f>
        <v>0</v>
      </c>
      <c r="J234" s="24">
        <f t="shared" si="62"/>
        <v>5</v>
      </c>
    </row>
    <row r="235" spans="2:10" x14ac:dyDescent="0.2">
      <c r="B235" s="32">
        <f t="shared" si="67"/>
        <v>227</v>
      </c>
      <c r="C235" s="3"/>
      <c r="D235" s="3">
        <v>242</v>
      </c>
      <c r="E235" s="3"/>
      <c r="F235" s="3"/>
      <c r="G235" s="3" t="s">
        <v>174</v>
      </c>
      <c r="H235" s="25">
        <f>H236</f>
        <v>5</v>
      </c>
      <c r="I235" s="25">
        <f t="shared" si="75"/>
        <v>0</v>
      </c>
      <c r="J235" s="25">
        <f t="shared" si="62"/>
        <v>5</v>
      </c>
    </row>
    <row r="236" spans="2:10" x14ac:dyDescent="0.2">
      <c r="B236" s="32">
        <f t="shared" si="67"/>
        <v>228</v>
      </c>
      <c r="C236" s="4"/>
      <c r="D236" s="4"/>
      <c r="E236" s="4">
        <v>242</v>
      </c>
      <c r="F236" s="4"/>
      <c r="G236" s="4" t="s">
        <v>174</v>
      </c>
      <c r="H236" s="26">
        <v>5</v>
      </c>
      <c r="I236" s="26"/>
      <c r="J236" s="26">
        <f t="shared" si="62"/>
        <v>5</v>
      </c>
    </row>
    <row r="237" spans="2:10" x14ac:dyDescent="0.2">
      <c r="B237" s="32">
        <f t="shared" si="67"/>
        <v>229</v>
      </c>
      <c r="C237" s="10">
        <v>290</v>
      </c>
      <c r="D237" s="10"/>
      <c r="E237" s="10"/>
      <c r="F237" s="10"/>
      <c r="G237" s="10" t="s">
        <v>176</v>
      </c>
      <c r="H237" s="24">
        <f>H238</f>
        <v>430</v>
      </c>
      <c r="I237" s="24">
        <f t="shared" ref="I237:I238" si="76">I238</f>
        <v>0</v>
      </c>
      <c r="J237" s="24">
        <f t="shared" si="62"/>
        <v>430</v>
      </c>
    </row>
    <row r="238" spans="2:10" x14ac:dyDescent="0.2">
      <c r="B238" s="32">
        <f t="shared" si="67"/>
        <v>230</v>
      </c>
      <c r="C238" s="3"/>
      <c r="D238" s="3">
        <v>292</v>
      </c>
      <c r="E238" s="3"/>
      <c r="F238" s="3"/>
      <c r="G238" s="3" t="s">
        <v>177</v>
      </c>
      <c r="H238" s="25">
        <f>H239</f>
        <v>430</v>
      </c>
      <c r="I238" s="25">
        <f t="shared" si="76"/>
        <v>0</v>
      </c>
      <c r="J238" s="25">
        <f t="shared" si="62"/>
        <v>430</v>
      </c>
    </row>
    <row r="239" spans="2:10" ht="13.5" thickBot="1" x14ac:dyDescent="0.25">
      <c r="B239" s="32">
        <f t="shared" si="67"/>
        <v>231</v>
      </c>
      <c r="C239" s="4"/>
      <c r="D239" s="4"/>
      <c r="E239" s="4">
        <v>292012</v>
      </c>
      <c r="F239" s="4"/>
      <c r="G239" s="4" t="s">
        <v>7</v>
      </c>
      <c r="H239" s="26">
        <v>430</v>
      </c>
      <c r="I239" s="26"/>
      <c r="J239" s="26">
        <f t="shared" si="62"/>
        <v>430</v>
      </c>
    </row>
    <row r="240" spans="2:10" ht="15.75" thickBot="1" x14ac:dyDescent="0.3">
      <c r="B240" s="32">
        <f t="shared" si="67"/>
        <v>232</v>
      </c>
      <c r="C240" s="17">
        <v>7</v>
      </c>
      <c r="D240" s="17"/>
      <c r="E240" s="17"/>
      <c r="F240" s="17"/>
      <c r="G240" s="17" t="s">
        <v>324</v>
      </c>
      <c r="H240" s="23">
        <f>H244+H241</f>
        <v>13000</v>
      </c>
      <c r="I240" s="23">
        <f t="shared" ref="I240" si="77">I244+I241</f>
        <v>12000</v>
      </c>
      <c r="J240" s="23">
        <f t="shared" si="62"/>
        <v>25000</v>
      </c>
    </row>
    <row r="241" spans="2:10" x14ac:dyDescent="0.2">
      <c r="B241" s="32">
        <f t="shared" si="67"/>
        <v>233</v>
      </c>
      <c r="C241" s="10">
        <v>210</v>
      </c>
      <c r="D241" s="10"/>
      <c r="E241" s="10"/>
      <c r="F241" s="10"/>
      <c r="G241" s="10" t="s">
        <v>21</v>
      </c>
      <c r="H241" s="24">
        <f>H242</f>
        <v>2000</v>
      </c>
      <c r="I241" s="24">
        <f t="shared" ref="I241:I242" si="78">I242</f>
        <v>0</v>
      </c>
      <c r="J241" s="24">
        <f t="shared" si="62"/>
        <v>2000</v>
      </c>
    </row>
    <row r="242" spans="2:10" x14ac:dyDescent="0.2">
      <c r="B242" s="32">
        <f t="shared" si="67"/>
        <v>234</v>
      </c>
      <c r="C242" s="3"/>
      <c r="D242" s="3">
        <v>212</v>
      </c>
      <c r="E242" s="3"/>
      <c r="F242" s="3"/>
      <c r="G242" s="3" t="s">
        <v>22</v>
      </c>
      <c r="H242" s="25">
        <f>H243</f>
        <v>2000</v>
      </c>
      <c r="I242" s="25">
        <f t="shared" si="78"/>
        <v>0</v>
      </c>
      <c r="J242" s="25">
        <f t="shared" si="62"/>
        <v>2000</v>
      </c>
    </row>
    <row r="243" spans="2:10" x14ac:dyDescent="0.2">
      <c r="B243" s="32">
        <f t="shared" si="67"/>
        <v>235</v>
      </c>
      <c r="C243" s="4"/>
      <c r="D243" s="4"/>
      <c r="E243" s="4">
        <v>212003</v>
      </c>
      <c r="F243" s="4"/>
      <c r="G243" s="4" t="s">
        <v>23</v>
      </c>
      <c r="H243" s="26">
        <v>2000</v>
      </c>
      <c r="I243" s="26"/>
      <c r="J243" s="26">
        <f t="shared" si="62"/>
        <v>2000</v>
      </c>
    </row>
    <row r="244" spans="2:10" x14ac:dyDescent="0.2">
      <c r="B244" s="32">
        <f t="shared" si="67"/>
        <v>236</v>
      </c>
      <c r="C244" s="10">
        <v>220</v>
      </c>
      <c r="D244" s="10"/>
      <c r="E244" s="10"/>
      <c r="F244" s="10"/>
      <c r="G244" s="10" t="s">
        <v>225</v>
      </c>
      <c r="H244" s="24">
        <f>H245</f>
        <v>11000</v>
      </c>
      <c r="I244" s="24">
        <f t="shared" ref="I244" si="79">I245</f>
        <v>12000</v>
      </c>
      <c r="J244" s="24">
        <f t="shared" si="62"/>
        <v>23000</v>
      </c>
    </row>
    <row r="245" spans="2:10" x14ac:dyDescent="0.2">
      <c r="B245" s="32">
        <f t="shared" si="67"/>
        <v>237</v>
      </c>
      <c r="C245" s="3"/>
      <c r="D245" s="3">
        <v>223</v>
      </c>
      <c r="E245" s="3"/>
      <c r="F245" s="3"/>
      <c r="G245" s="3" t="s">
        <v>25</v>
      </c>
      <c r="H245" s="25">
        <f>H247</f>
        <v>11000</v>
      </c>
      <c r="I245" s="25">
        <f>I246+I247</f>
        <v>12000</v>
      </c>
      <c r="J245" s="25">
        <f t="shared" si="62"/>
        <v>23000</v>
      </c>
    </row>
    <row r="246" spans="2:10" x14ac:dyDescent="0.2">
      <c r="B246" s="32">
        <f t="shared" si="67"/>
        <v>238</v>
      </c>
      <c r="C246" s="3"/>
      <c r="D246" s="3"/>
      <c r="E246" s="4">
        <v>223001</v>
      </c>
      <c r="F246" s="3"/>
      <c r="G246" s="4" t="s">
        <v>667</v>
      </c>
      <c r="H246" s="25"/>
      <c r="I246" s="26">
        <v>12000</v>
      </c>
      <c r="J246" s="26">
        <f>I246+H246</f>
        <v>12000</v>
      </c>
    </row>
    <row r="247" spans="2:10" ht="13.5" thickBot="1" x14ac:dyDescent="0.25">
      <c r="B247" s="32">
        <f t="shared" si="67"/>
        <v>239</v>
      </c>
      <c r="C247" s="4"/>
      <c r="D247" s="4"/>
      <c r="E247" s="4">
        <v>223002</v>
      </c>
      <c r="F247" s="4"/>
      <c r="G247" s="4" t="s">
        <v>69</v>
      </c>
      <c r="H247" s="26">
        <v>11000</v>
      </c>
      <c r="I247" s="26"/>
      <c r="J247" s="26">
        <f t="shared" si="62"/>
        <v>11000</v>
      </c>
    </row>
    <row r="248" spans="2:10" ht="15.75" thickBot="1" x14ac:dyDescent="0.3">
      <c r="B248" s="32">
        <f t="shared" si="67"/>
        <v>240</v>
      </c>
      <c r="C248" s="17">
        <v>8</v>
      </c>
      <c r="D248" s="17"/>
      <c r="E248" s="17"/>
      <c r="F248" s="17"/>
      <c r="G248" s="17" t="s">
        <v>322</v>
      </c>
      <c r="H248" s="23">
        <f>H258+H255+H252+H249</f>
        <v>38730</v>
      </c>
      <c r="I248" s="23">
        <f t="shared" ref="I248" si="80">I258+I255+I252+I249</f>
        <v>0</v>
      </c>
      <c r="J248" s="23">
        <f t="shared" si="62"/>
        <v>38730</v>
      </c>
    </row>
    <row r="249" spans="2:10" x14ac:dyDescent="0.2">
      <c r="B249" s="32">
        <f t="shared" si="67"/>
        <v>241</v>
      </c>
      <c r="C249" s="10">
        <v>210</v>
      </c>
      <c r="D249" s="10"/>
      <c r="E249" s="10"/>
      <c r="F249" s="10"/>
      <c r="G249" s="10" t="s">
        <v>21</v>
      </c>
      <c r="H249" s="24">
        <f>H250</f>
        <v>18025</v>
      </c>
      <c r="I249" s="24">
        <f t="shared" ref="I249:I250" si="81">I250</f>
        <v>0</v>
      </c>
      <c r="J249" s="24">
        <f t="shared" si="62"/>
        <v>18025</v>
      </c>
    </row>
    <row r="250" spans="2:10" x14ac:dyDescent="0.2">
      <c r="B250" s="32">
        <f t="shared" si="67"/>
        <v>242</v>
      </c>
      <c r="C250" s="3"/>
      <c r="D250" s="3">
        <v>212</v>
      </c>
      <c r="E250" s="3"/>
      <c r="F250" s="3"/>
      <c r="G250" s="3" t="s">
        <v>22</v>
      </c>
      <c r="H250" s="25">
        <f>H251</f>
        <v>18025</v>
      </c>
      <c r="I250" s="25">
        <f t="shared" si="81"/>
        <v>0</v>
      </c>
      <c r="J250" s="25">
        <f t="shared" si="62"/>
        <v>18025</v>
      </c>
    </row>
    <row r="251" spans="2:10" x14ac:dyDescent="0.2">
      <c r="B251" s="32">
        <f t="shared" si="67"/>
        <v>243</v>
      </c>
      <c r="C251" s="4"/>
      <c r="D251" s="4"/>
      <c r="E251" s="4">
        <v>212003</v>
      </c>
      <c r="F251" s="4"/>
      <c r="G251" s="4" t="s">
        <v>23</v>
      </c>
      <c r="H251" s="26">
        <v>18025</v>
      </c>
      <c r="I251" s="26"/>
      <c r="J251" s="26">
        <f t="shared" si="62"/>
        <v>18025</v>
      </c>
    </row>
    <row r="252" spans="2:10" x14ac:dyDescent="0.2">
      <c r="B252" s="32">
        <f t="shared" si="67"/>
        <v>244</v>
      </c>
      <c r="C252" s="10">
        <v>220</v>
      </c>
      <c r="D252" s="10"/>
      <c r="E252" s="10"/>
      <c r="F252" s="10"/>
      <c r="G252" s="10" t="s">
        <v>225</v>
      </c>
      <c r="H252" s="24">
        <f>H253</f>
        <v>20000</v>
      </c>
      <c r="I252" s="24">
        <f t="shared" ref="I252:I253" si="82">I253</f>
        <v>0</v>
      </c>
      <c r="J252" s="24">
        <f t="shared" si="62"/>
        <v>20000</v>
      </c>
    </row>
    <row r="253" spans="2:10" x14ac:dyDescent="0.2">
      <c r="B253" s="32">
        <f t="shared" si="67"/>
        <v>245</v>
      </c>
      <c r="C253" s="3"/>
      <c r="D253" s="3">
        <v>223</v>
      </c>
      <c r="E253" s="3"/>
      <c r="F253" s="3"/>
      <c r="G253" s="3" t="s">
        <v>25</v>
      </c>
      <c r="H253" s="25">
        <f>H254</f>
        <v>20000</v>
      </c>
      <c r="I253" s="25">
        <f t="shared" si="82"/>
        <v>0</v>
      </c>
      <c r="J253" s="25">
        <f t="shared" si="62"/>
        <v>20000</v>
      </c>
    </row>
    <row r="254" spans="2:10" x14ac:dyDescent="0.2">
      <c r="B254" s="32">
        <f t="shared" si="67"/>
        <v>246</v>
      </c>
      <c r="C254" s="4"/>
      <c r="D254" s="4"/>
      <c r="E254" s="4">
        <v>223002</v>
      </c>
      <c r="F254" s="4"/>
      <c r="G254" s="4" t="s">
        <v>69</v>
      </c>
      <c r="H254" s="26">
        <v>20000</v>
      </c>
      <c r="I254" s="26"/>
      <c r="J254" s="26">
        <f t="shared" si="62"/>
        <v>20000</v>
      </c>
    </row>
    <row r="255" spans="2:10" x14ac:dyDescent="0.2">
      <c r="B255" s="32">
        <f t="shared" si="67"/>
        <v>247</v>
      </c>
      <c r="C255" s="10">
        <v>240</v>
      </c>
      <c r="D255" s="10"/>
      <c r="E255" s="10"/>
      <c r="F255" s="10"/>
      <c r="G255" s="10" t="s">
        <v>175</v>
      </c>
      <c r="H255" s="24">
        <f>H256</f>
        <v>5</v>
      </c>
      <c r="I255" s="24">
        <f t="shared" ref="I255:I256" si="83">I256</f>
        <v>0</v>
      </c>
      <c r="J255" s="24">
        <f t="shared" si="62"/>
        <v>5</v>
      </c>
    </row>
    <row r="256" spans="2:10" x14ac:dyDescent="0.2">
      <c r="B256" s="32">
        <f t="shared" si="67"/>
        <v>248</v>
      </c>
      <c r="C256" s="3"/>
      <c r="D256" s="3">
        <v>242</v>
      </c>
      <c r="E256" s="3"/>
      <c r="F256" s="3"/>
      <c r="G256" s="3" t="s">
        <v>174</v>
      </c>
      <c r="H256" s="25">
        <f>H257</f>
        <v>5</v>
      </c>
      <c r="I256" s="25">
        <f t="shared" si="83"/>
        <v>0</v>
      </c>
      <c r="J256" s="25">
        <f t="shared" si="62"/>
        <v>5</v>
      </c>
    </row>
    <row r="257" spans="2:10" x14ac:dyDescent="0.2">
      <c r="B257" s="32">
        <f t="shared" si="67"/>
        <v>249</v>
      </c>
      <c r="C257" s="4"/>
      <c r="D257" s="4"/>
      <c r="E257" s="4">
        <v>242</v>
      </c>
      <c r="F257" s="4"/>
      <c r="G257" s="4" t="s">
        <v>174</v>
      </c>
      <c r="H257" s="26">
        <v>5</v>
      </c>
      <c r="I257" s="26"/>
      <c r="J257" s="26">
        <f t="shared" si="62"/>
        <v>5</v>
      </c>
    </row>
    <row r="258" spans="2:10" x14ac:dyDescent="0.2">
      <c r="B258" s="32">
        <f t="shared" si="67"/>
        <v>250</v>
      </c>
      <c r="C258" s="10">
        <v>290</v>
      </c>
      <c r="D258" s="10"/>
      <c r="E258" s="10"/>
      <c r="F258" s="10"/>
      <c r="G258" s="10" t="s">
        <v>176</v>
      </c>
      <c r="H258" s="24">
        <f>H259</f>
        <v>700</v>
      </c>
      <c r="I258" s="24">
        <f t="shared" ref="I258:I259" si="84">I259</f>
        <v>0</v>
      </c>
      <c r="J258" s="24">
        <f t="shared" si="62"/>
        <v>700</v>
      </c>
    </row>
    <row r="259" spans="2:10" x14ac:dyDescent="0.2">
      <c r="B259" s="32">
        <f t="shared" si="67"/>
        <v>251</v>
      </c>
      <c r="C259" s="3"/>
      <c r="D259" s="3">
        <v>292</v>
      </c>
      <c r="E259" s="3"/>
      <c r="F259" s="3"/>
      <c r="G259" s="3" t="s">
        <v>177</v>
      </c>
      <c r="H259" s="25">
        <f>H260</f>
        <v>700</v>
      </c>
      <c r="I259" s="25">
        <f t="shared" si="84"/>
        <v>0</v>
      </c>
      <c r="J259" s="25">
        <f t="shared" si="62"/>
        <v>700</v>
      </c>
    </row>
    <row r="260" spans="2:10" ht="13.5" thickBot="1" x14ac:dyDescent="0.25">
      <c r="B260" s="32">
        <f t="shared" si="67"/>
        <v>252</v>
      </c>
      <c r="C260" s="4"/>
      <c r="D260" s="4"/>
      <c r="E260" s="4">
        <v>292012</v>
      </c>
      <c r="F260" s="4"/>
      <c r="G260" s="4" t="s">
        <v>7</v>
      </c>
      <c r="H260" s="26">
        <v>700</v>
      </c>
      <c r="I260" s="26"/>
      <c r="J260" s="26">
        <f t="shared" ref="J260:J331" si="85">H260+I260</f>
        <v>700</v>
      </c>
    </row>
    <row r="261" spans="2:10" ht="15.75" thickBot="1" x14ac:dyDescent="0.3">
      <c r="B261" s="32">
        <f t="shared" si="67"/>
        <v>253</v>
      </c>
      <c r="C261" s="17">
        <v>9</v>
      </c>
      <c r="D261" s="17"/>
      <c r="E261" s="17"/>
      <c r="F261" s="17"/>
      <c r="G261" s="17" t="s">
        <v>278</v>
      </c>
      <c r="H261" s="23">
        <f>H274+H271+H265+H262</f>
        <v>9910</v>
      </c>
      <c r="I261" s="23">
        <f t="shared" ref="I261" si="86">I274+I271+I265+I262</f>
        <v>6000</v>
      </c>
      <c r="J261" s="23">
        <f t="shared" si="85"/>
        <v>15910</v>
      </c>
    </row>
    <row r="262" spans="2:10" x14ac:dyDescent="0.2">
      <c r="B262" s="32">
        <f t="shared" si="67"/>
        <v>254</v>
      </c>
      <c r="C262" s="10">
        <v>210</v>
      </c>
      <c r="D262" s="10"/>
      <c r="E262" s="10"/>
      <c r="F262" s="10"/>
      <c r="G262" s="10" t="s">
        <v>21</v>
      </c>
      <c r="H262" s="24">
        <f>H263</f>
        <v>2705</v>
      </c>
      <c r="I262" s="24">
        <f t="shared" ref="I262:I263" si="87">I263</f>
        <v>0</v>
      </c>
      <c r="J262" s="24">
        <f t="shared" si="85"/>
        <v>2705</v>
      </c>
    </row>
    <row r="263" spans="2:10" x14ac:dyDescent="0.2">
      <c r="B263" s="32">
        <f t="shared" si="67"/>
        <v>255</v>
      </c>
      <c r="C263" s="3"/>
      <c r="D263" s="3">
        <v>212</v>
      </c>
      <c r="E263" s="3"/>
      <c r="F263" s="3"/>
      <c r="G263" s="3" t="s">
        <v>22</v>
      </c>
      <c r="H263" s="25">
        <f>H264</f>
        <v>2705</v>
      </c>
      <c r="I263" s="25">
        <f t="shared" si="87"/>
        <v>0</v>
      </c>
      <c r="J263" s="25">
        <f t="shared" si="85"/>
        <v>2705</v>
      </c>
    </row>
    <row r="264" spans="2:10" x14ac:dyDescent="0.2">
      <c r="B264" s="32">
        <f t="shared" si="67"/>
        <v>256</v>
      </c>
      <c r="C264" s="4"/>
      <c r="D264" s="4"/>
      <c r="E264" s="4">
        <v>212003</v>
      </c>
      <c r="F264" s="4"/>
      <c r="G264" s="4" t="s">
        <v>23</v>
      </c>
      <c r="H264" s="26">
        <v>2705</v>
      </c>
      <c r="I264" s="26"/>
      <c r="J264" s="26">
        <f t="shared" si="85"/>
        <v>2705</v>
      </c>
    </row>
    <row r="265" spans="2:10" x14ac:dyDescent="0.2">
      <c r="B265" s="32">
        <f t="shared" si="67"/>
        <v>257</v>
      </c>
      <c r="C265" s="10">
        <v>220</v>
      </c>
      <c r="D265" s="10"/>
      <c r="E265" s="10"/>
      <c r="F265" s="10"/>
      <c r="G265" s="10" t="s">
        <v>225</v>
      </c>
      <c r="H265" s="24">
        <f>H266</f>
        <v>6500</v>
      </c>
      <c r="I265" s="24">
        <f t="shared" ref="I265" si="88">I266</f>
        <v>6000</v>
      </c>
      <c r="J265" s="24">
        <f t="shared" si="85"/>
        <v>12500</v>
      </c>
    </row>
    <row r="266" spans="2:10" x14ac:dyDescent="0.2">
      <c r="B266" s="32">
        <f t="shared" si="67"/>
        <v>258</v>
      </c>
      <c r="C266" s="3"/>
      <c r="D266" s="3">
        <v>223</v>
      </c>
      <c r="E266" s="3"/>
      <c r="F266" s="3"/>
      <c r="G266" s="3" t="s">
        <v>25</v>
      </c>
      <c r="H266" s="25">
        <f>H270</f>
        <v>6500</v>
      </c>
      <c r="I266" s="25">
        <f>SUM(I267:I270)</f>
        <v>6000</v>
      </c>
      <c r="J266" s="25">
        <f t="shared" si="85"/>
        <v>12500</v>
      </c>
    </row>
    <row r="267" spans="2:10" x14ac:dyDescent="0.2">
      <c r="B267" s="32">
        <f t="shared" si="67"/>
        <v>259</v>
      </c>
      <c r="C267" s="3"/>
      <c r="D267" s="3"/>
      <c r="E267" s="4">
        <v>223001</v>
      </c>
      <c r="F267" s="3"/>
      <c r="G267" s="4" t="s">
        <v>279</v>
      </c>
      <c r="H267" s="25"/>
      <c r="I267" s="26">
        <v>4000</v>
      </c>
      <c r="J267" s="26">
        <f t="shared" ref="J267:J269" si="89">I267+H267</f>
        <v>4000</v>
      </c>
    </row>
    <row r="268" spans="2:10" x14ac:dyDescent="0.2">
      <c r="B268" s="32">
        <f t="shared" si="67"/>
        <v>260</v>
      </c>
      <c r="C268" s="3"/>
      <c r="D268" s="3"/>
      <c r="E268" s="4">
        <v>223001</v>
      </c>
      <c r="F268" s="3"/>
      <c r="G268" s="4" t="s">
        <v>280</v>
      </c>
      <c r="H268" s="25"/>
      <c r="I268" s="26">
        <v>1000</v>
      </c>
      <c r="J268" s="26">
        <f t="shared" si="89"/>
        <v>1000</v>
      </c>
    </row>
    <row r="269" spans="2:10" x14ac:dyDescent="0.2">
      <c r="B269" s="32">
        <f t="shared" si="67"/>
        <v>261</v>
      </c>
      <c r="C269" s="3"/>
      <c r="D269" s="3"/>
      <c r="E269" s="4">
        <v>223001</v>
      </c>
      <c r="F269" s="3"/>
      <c r="G269" s="4" t="s">
        <v>232</v>
      </c>
      <c r="H269" s="25"/>
      <c r="I269" s="26">
        <v>1000</v>
      </c>
      <c r="J269" s="26">
        <f t="shared" si="89"/>
        <v>1000</v>
      </c>
    </row>
    <row r="270" spans="2:10" x14ac:dyDescent="0.2">
      <c r="B270" s="32">
        <f t="shared" si="67"/>
        <v>262</v>
      </c>
      <c r="C270" s="4"/>
      <c r="D270" s="4"/>
      <c r="E270" s="4">
        <v>223002</v>
      </c>
      <c r="F270" s="4"/>
      <c r="G270" s="4" t="s">
        <v>69</v>
      </c>
      <c r="H270" s="26">
        <v>6500</v>
      </c>
      <c r="I270" s="26"/>
      <c r="J270" s="26">
        <f t="shared" si="85"/>
        <v>6500</v>
      </c>
    </row>
    <row r="271" spans="2:10" x14ac:dyDescent="0.2">
      <c r="B271" s="32">
        <f t="shared" ref="B271:B319" si="90">B270+1</f>
        <v>263</v>
      </c>
      <c r="C271" s="10">
        <v>240</v>
      </c>
      <c r="D271" s="10"/>
      <c r="E271" s="10"/>
      <c r="F271" s="10"/>
      <c r="G271" s="10" t="s">
        <v>175</v>
      </c>
      <c r="H271" s="24">
        <f>H272</f>
        <v>5</v>
      </c>
      <c r="I271" s="24">
        <f t="shared" ref="I271:I272" si="91">I272</f>
        <v>0</v>
      </c>
      <c r="J271" s="24">
        <f t="shared" si="85"/>
        <v>5</v>
      </c>
    </row>
    <row r="272" spans="2:10" x14ac:dyDescent="0.2">
      <c r="B272" s="32">
        <f t="shared" si="90"/>
        <v>264</v>
      </c>
      <c r="C272" s="3"/>
      <c r="D272" s="3">
        <v>242</v>
      </c>
      <c r="E272" s="3"/>
      <c r="F272" s="3"/>
      <c r="G272" s="3" t="s">
        <v>174</v>
      </c>
      <c r="H272" s="25">
        <f>H273</f>
        <v>5</v>
      </c>
      <c r="I272" s="25">
        <f t="shared" si="91"/>
        <v>0</v>
      </c>
      <c r="J272" s="25">
        <f t="shared" si="85"/>
        <v>5</v>
      </c>
    </row>
    <row r="273" spans="2:10" x14ac:dyDescent="0.2">
      <c r="B273" s="32">
        <f t="shared" si="90"/>
        <v>265</v>
      </c>
      <c r="C273" s="4"/>
      <c r="D273" s="4"/>
      <c r="E273" s="4">
        <v>242</v>
      </c>
      <c r="F273" s="4"/>
      <c r="G273" s="4" t="s">
        <v>174</v>
      </c>
      <c r="H273" s="26">
        <v>5</v>
      </c>
      <c r="I273" s="26"/>
      <c r="J273" s="26">
        <f t="shared" si="85"/>
        <v>5</v>
      </c>
    </row>
    <row r="274" spans="2:10" x14ac:dyDescent="0.2">
      <c r="B274" s="32">
        <f t="shared" si="90"/>
        <v>266</v>
      </c>
      <c r="C274" s="10">
        <v>290</v>
      </c>
      <c r="D274" s="10"/>
      <c r="E274" s="10"/>
      <c r="F274" s="10"/>
      <c r="G274" s="10" t="s">
        <v>176</v>
      </c>
      <c r="H274" s="24">
        <f>H275</f>
        <v>700</v>
      </c>
      <c r="I274" s="24">
        <f t="shared" ref="I274:I275" si="92">I275</f>
        <v>0</v>
      </c>
      <c r="J274" s="24">
        <f t="shared" si="85"/>
        <v>700</v>
      </c>
    </row>
    <row r="275" spans="2:10" x14ac:dyDescent="0.2">
      <c r="B275" s="32">
        <f t="shared" si="90"/>
        <v>267</v>
      </c>
      <c r="C275" s="3"/>
      <c r="D275" s="3">
        <v>292</v>
      </c>
      <c r="E275" s="3"/>
      <c r="F275" s="3"/>
      <c r="G275" s="3" t="s">
        <v>177</v>
      </c>
      <c r="H275" s="25">
        <f>H276</f>
        <v>700</v>
      </c>
      <c r="I275" s="25">
        <f t="shared" si="92"/>
        <v>0</v>
      </c>
      <c r="J275" s="25">
        <f t="shared" si="85"/>
        <v>700</v>
      </c>
    </row>
    <row r="276" spans="2:10" ht="13.5" thickBot="1" x14ac:dyDescent="0.25">
      <c r="B276" s="32">
        <f t="shared" si="90"/>
        <v>268</v>
      </c>
      <c r="C276" s="4"/>
      <c r="D276" s="4"/>
      <c r="E276" s="4">
        <v>292012</v>
      </c>
      <c r="F276" s="4"/>
      <c r="G276" s="4" t="s">
        <v>7</v>
      </c>
      <c r="H276" s="26">
        <v>700</v>
      </c>
      <c r="I276" s="26"/>
      <c r="J276" s="26">
        <f t="shared" si="85"/>
        <v>700</v>
      </c>
    </row>
    <row r="277" spans="2:10" ht="15.75" thickBot="1" x14ac:dyDescent="0.3">
      <c r="B277" s="32">
        <f t="shared" si="90"/>
        <v>269</v>
      </c>
      <c r="C277" s="17">
        <v>10</v>
      </c>
      <c r="D277" s="17"/>
      <c r="E277" s="17"/>
      <c r="F277" s="17"/>
      <c r="G277" s="17" t="s">
        <v>257</v>
      </c>
      <c r="H277" s="23">
        <f>H288+H285+H281+H278</f>
        <v>10070</v>
      </c>
      <c r="I277" s="23">
        <f t="shared" ref="I277" si="93">I288+I285+I281+I278</f>
        <v>11000</v>
      </c>
      <c r="J277" s="23">
        <f t="shared" si="85"/>
        <v>21070</v>
      </c>
    </row>
    <row r="278" spans="2:10" x14ac:dyDescent="0.2">
      <c r="B278" s="32">
        <f t="shared" si="90"/>
        <v>270</v>
      </c>
      <c r="C278" s="10">
        <v>210</v>
      </c>
      <c r="D278" s="10"/>
      <c r="E278" s="10"/>
      <c r="F278" s="10"/>
      <c r="G278" s="10" t="s">
        <v>21</v>
      </c>
      <c r="H278" s="24">
        <f>H279</f>
        <v>5000</v>
      </c>
      <c r="I278" s="24">
        <f t="shared" ref="I278:I279" si="94">I279</f>
        <v>0</v>
      </c>
      <c r="J278" s="24">
        <f t="shared" si="85"/>
        <v>5000</v>
      </c>
    </row>
    <row r="279" spans="2:10" x14ac:dyDescent="0.2">
      <c r="B279" s="32">
        <f t="shared" si="90"/>
        <v>271</v>
      </c>
      <c r="C279" s="3"/>
      <c r="D279" s="3">
        <v>212</v>
      </c>
      <c r="E279" s="3"/>
      <c r="F279" s="3"/>
      <c r="G279" s="3" t="s">
        <v>22</v>
      </c>
      <c r="H279" s="25">
        <f>H280</f>
        <v>5000</v>
      </c>
      <c r="I279" s="25">
        <f t="shared" si="94"/>
        <v>0</v>
      </c>
      <c r="J279" s="25">
        <f t="shared" si="85"/>
        <v>5000</v>
      </c>
    </row>
    <row r="280" spans="2:10" x14ac:dyDescent="0.2">
      <c r="B280" s="32">
        <f t="shared" si="90"/>
        <v>272</v>
      </c>
      <c r="C280" s="4"/>
      <c r="D280" s="4"/>
      <c r="E280" s="4">
        <v>212003</v>
      </c>
      <c r="F280" s="4"/>
      <c r="G280" s="4" t="s">
        <v>23</v>
      </c>
      <c r="H280" s="26">
        <v>5000</v>
      </c>
      <c r="I280" s="26"/>
      <c r="J280" s="26">
        <f t="shared" si="85"/>
        <v>5000</v>
      </c>
    </row>
    <row r="281" spans="2:10" x14ac:dyDescent="0.2">
      <c r="B281" s="32">
        <f t="shared" si="90"/>
        <v>273</v>
      </c>
      <c r="C281" s="10">
        <v>220</v>
      </c>
      <c r="D281" s="10"/>
      <c r="E281" s="10"/>
      <c r="F281" s="10"/>
      <c r="G281" s="10" t="s">
        <v>225</v>
      </c>
      <c r="H281" s="24">
        <f>H282</f>
        <v>4565</v>
      </c>
      <c r="I281" s="24">
        <f t="shared" ref="I281" si="95">I282</f>
        <v>11000</v>
      </c>
      <c r="J281" s="24">
        <f t="shared" si="85"/>
        <v>15565</v>
      </c>
    </row>
    <row r="282" spans="2:10" x14ac:dyDescent="0.2">
      <c r="B282" s="32">
        <f t="shared" si="90"/>
        <v>274</v>
      </c>
      <c r="C282" s="3"/>
      <c r="D282" s="3">
        <v>223</v>
      </c>
      <c r="E282" s="3"/>
      <c r="F282" s="3"/>
      <c r="G282" s="3" t="s">
        <v>25</v>
      </c>
      <c r="H282" s="25">
        <f>H284</f>
        <v>4565</v>
      </c>
      <c r="I282" s="25">
        <f>I283+I284</f>
        <v>11000</v>
      </c>
      <c r="J282" s="25">
        <f t="shared" si="85"/>
        <v>15565</v>
      </c>
    </row>
    <row r="283" spans="2:10" x14ac:dyDescent="0.2">
      <c r="B283" s="32">
        <f t="shared" si="90"/>
        <v>275</v>
      </c>
      <c r="C283" s="3"/>
      <c r="D283" s="3"/>
      <c r="E283" s="4">
        <v>223001</v>
      </c>
      <c r="F283" s="3"/>
      <c r="G283" s="4" t="s">
        <v>667</v>
      </c>
      <c r="H283" s="25"/>
      <c r="I283" s="26">
        <v>11000</v>
      </c>
      <c r="J283" s="26">
        <f>I283+H283</f>
        <v>11000</v>
      </c>
    </row>
    <row r="284" spans="2:10" x14ac:dyDescent="0.2">
      <c r="B284" s="32">
        <f t="shared" si="90"/>
        <v>276</v>
      </c>
      <c r="C284" s="4"/>
      <c r="D284" s="4"/>
      <c r="E284" s="4">
        <v>223002</v>
      </c>
      <c r="F284" s="4"/>
      <c r="G284" s="4" t="s">
        <v>69</v>
      </c>
      <c r="H284" s="26">
        <v>4565</v>
      </c>
      <c r="I284" s="26"/>
      <c r="J284" s="26">
        <f t="shared" si="85"/>
        <v>4565</v>
      </c>
    </row>
    <row r="285" spans="2:10" x14ac:dyDescent="0.2">
      <c r="B285" s="32">
        <f t="shared" si="90"/>
        <v>277</v>
      </c>
      <c r="C285" s="10">
        <v>240</v>
      </c>
      <c r="D285" s="10"/>
      <c r="E285" s="10"/>
      <c r="F285" s="10"/>
      <c r="G285" s="10" t="s">
        <v>175</v>
      </c>
      <c r="H285" s="24">
        <f>H286</f>
        <v>5</v>
      </c>
      <c r="I285" s="24">
        <f t="shared" ref="I285:I286" si="96">I286</f>
        <v>0</v>
      </c>
      <c r="J285" s="24">
        <f t="shared" si="85"/>
        <v>5</v>
      </c>
    </row>
    <row r="286" spans="2:10" x14ac:dyDescent="0.2">
      <c r="B286" s="32">
        <f t="shared" si="90"/>
        <v>278</v>
      </c>
      <c r="C286" s="3"/>
      <c r="D286" s="3">
        <v>242</v>
      </c>
      <c r="E286" s="3"/>
      <c r="F286" s="3"/>
      <c r="G286" s="3" t="s">
        <v>174</v>
      </c>
      <c r="H286" s="25">
        <f>H287</f>
        <v>5</v>
      </c>
      <c r="I286" s="25">
        <f t="shared" si="96"/>
        <v>0</v>
      </c>
      <c r="J286" s="25">
        <f t="shared" si="85"/>
        <v>5</v>
      </c>
    </row>
    <row r="287" spans="2:10" x14ac:dyDescent="0.2">
      <c r="B287" s="32">
        <f t="shared" si="90"/>
        <v>279</v>
      </c>
      <c r="C287" s="4"/>
      <c r="D287" s="4"/>
      <c r="E287" s="4">
        <v>242</v>
      </c>
      <c r="F287" s="4"/>
      <c r="G287" s="4" t="s">
        <v>174</v>
      </c>
      <c r="H287" s="26">
        <v>5</v>
      </c>
      <c r="I287" s="26"/>
      <c r="J287" s="26">
        <f t="shared" si="85"/>
        <v>5</v>
      </c>
    </row>
    <row r="288" spans="2:10" x14ac:dyDescent="0.2">
      <c r="B288" s="32">
        <f t="shared" si="90"/>
        <v>280</v>
      </c>
      <c r="C288" s="10">
        <v>290</v>
      </c>
      <c r="D288" s="10"/>
      <c r="E288" s="10"/>
      <c r="F288" s="10"/>
      <c r="G288" s="10" t="s">
        <v>176</v>
      </c>
      <c r="H288" s="24">
        <f>H289</f>
        <v>500</v>
      </c>
      <c r="I288" s="24">
        <f t="shared" ref="I288:I289" si="97">I289</f>
        <v>0</v>
      </c>
      <c r="J288" s="24">
        <f t="shared" si="85"/>
        <v>500</v>
      </c>
    </row>
    <row r="289" spans="2:10" x14ac:dyDescent="0.2">
      <c r="B289" s="32">
        <f t="shared" si="90"/>
        <v>281</v>
      </c>
      <c r="C289" s="3"/>
      <c r="D289" s="3">
        <v>292</v>
      </c>
      <c r="E289" s="3"/>
      <c r="F289" s="3"/>
      <c r="G289" s="3" t="s">
        <v>177</v>
      </c>
      <c r="H289" s="25">
        <f>H290</f>
        <v>500</v>
      </c>
      <c r="I289" s="25">
        <f t="shared" si="97"/>
        <v>0</v>
      </c>
      <c r="J289" s="25">
        <f t="shared" si="85"/>
        <v>500</v>
      </c>
    </row>
    <row r="290" spans="2:10" ht="13.5" thickBot="1" x14ac:dyDescent="0.25">
      <c r="B290" s="32">
        <f t="shared" si="90"/>
        <v>282</v>
      </c>
      <c r="C290" s="4"/>
      <c r="D290" s="4"/>
      <c r="E290" s="4">
        <v>292012</v>
      </c>
      <c r="F290" s="4"/>
      <c r="G290" s="4" t="s">
        <v>7</v>
      </c>
      <c r="H290" s="26">
        <v>500</v>
      </c>
      <c r="I290" s="26"/>
      <c r="J290" s="26">
        <f t="shared" si="85"/>
        <v>500</v>
      </c>
    </row>
    <row r="291" spans="2:10" ht="15.75" thickBot="1" x14ac:dyDescent="0.3">
      <c r="B291" s="32">
        <f t="shared" si="90"/>
        <v>283</v>
      </c>
      <c r="C291" s="17">
        <v>11</v>
      </c>
      <c r="D291" s="17"/>
      <c r="E291" s="17"/>
      <c r="F291" s="17"/>
      <c r="G291" s="17" t="s">
        <v>275</v>
      </c>
      <c r="H291" s="23">
        <f>H303+H300+H295+H292</f>
        <v>47610</v>
      </c>
      <c r="I291" s="23">
        <f t="shared" ref="I291" si="98">I303+I300+I295+I292</f>
        <v>14645</v>
      </c>
      <c r="J291" s="23">
        <f t="shared" si="85"/>
        <v>62255</v>
      </c>
    </row>
    <row r="292" spans="2:10" x14ac:dyDescent="0.2">
      <c r="B292" s="32">
        <f t="shared" si="90"/>
        <v>284</v>
      </c>
      <c r="C292" s="10">
        <v>210</v>
      </c>
      <c r="D292" s="10"/>
      <c r="E292" s="10"/>
      <c r="F292" s="10"/>
      <c r="G292" s="10" t="s">
        <v>21</v>
      </c>
      <c r="H292" s="24">
        <f>H293</f>
        <v>37000</v>
      </c>
      <c r="I292" s="24">
        <f t="shared" ref="I292:I293" si="99">I293</f>
        <v>0</v>
      </c>
      <c r="J292" s="24">
        <f t="shared" si="85"/>
        <v>37000</v>
      </c>
    </row>
    <row r="293" spans="2:10" x14ac:dyDescent="0.2">
      <c r="B293" s="32">
        <f t="shared" si="90"/>
        <v>285</v>
      </c>
      <c r="C293" s="3"/>
      <c r="D293" s="3">
        <v>212</v>
      </c>
      <c r="E293" s="3"/>
      <c r="F293" s="3"/>
      <c r="G293" s="3" t="s">
        <v>22</v>
      </c>
      <c r="H293" s="25">
        <f>H294</f>
        <v>37000</v>
      </c>
      <c r="I293" s="25">
        <f t="shared" si="99"/>
        <v>0</v>
      </c>
      <c r="J293" s="25">
        <f t="shared" si="85"/>
        <v>37000</v>
      </c>
    </row>
    <row r="294" spans="2:10" x14ac:dyDescent="0.2">
      <c r="B294" s="32">
        <f t="shared" si="90"/>
        <v>286</v>
      </c>
      <c r="C294" s="4"/>
      <c r="D294" s="4"/>
      <c r="E294" s="4">
        <v>212003</v>
      </c>
      <c r="F294" s="4"/>
      <c r="G294" s="4" t="s">
        <v>23</v>
      </c>
      <c r="H294" s="26">
        <v>37000</v>
      </c>
      <c r="I294" s="26"/>
      <c r="J294" s="26">
        <f t="shared" si="85"/>
        <v>37000</v>
      </c>
    </row>
    <row r="295" spans="2:10" x14ac:dyDescent="0.2">
      <c r="B295" s="32">
        <f t="shared" si="90"/>
        <v>287</v>
      </c>
      <c r="C295" s="10">
        <v>220</v>
      </c>
      <c r="D295" s="10"/>
      <c r="E295" s="10"/>
      <c r="F295" s="10"/>
      <c r="G295" s="10" t="s">
        <v>225</v>
      </c>
      <c r="H295" s="24">
        <f>H296</f>
        <v>10305</v>
      </c>
      <c r="I295" s="24">
        <f t="shared" ref="I295" si="100">I296</f>
        <v>14645</v>
      </c>
      <c r="J295" s="24">
        <f t="shared" si="85"/>
        <v>24950</v>
      </c>
    </row>
    <row r="296" spans="2:10" x14ac:dyDescent="0.2">
      <c r="B296" s="32">
        <f t="shared" si="90"/>
        <v>288</v>
      </c>
      <c r="C296" s="3"/>
      <c r="D296" s="3">
        <v>223</v>
      </c>
      <c r="E296" s="3"/>
      <c r="F296" s="3"/>
      <c r="G296" s="3" t="s">
        <v>25</v>
      </c>
      <c r="H296" s="25">
        <f>H299</f>
        <v>10305</v>
      </c>
      <c r="I296" s="25">
        <f>SUM(I297:I299)</f>
        <v>14645</v>
      </c>
      <c r="J296" s="25">
        <f t="shared" si="85"/>
        <v>24950</v>
      </c>
    </row>
    <row r="297" spans="2:10" x14ac:dyDescent="0.2">
      <c r="B297" s="32">
        <f t="shared" si="90"/>
        <v>289</v>
      </c>
      <c r="C297" s="3"/>
      <c r="D297" s="3"/>
      <c r="E297" s="4">
        <v>223001</v>
      </c>
      <c r="F297" s="3"/>
      <c r="G297" s="4" t="s">
        <v>668</v>
      </c>
      <c r="H297" s="25"/>
      <c r="I297" s="26">
        <v>12000</v>
      </c>
      <c r="J297" s="26">
        <f>I297+H297</f>
        <v>12000</v>
      </c>
    </row>
    <row r="298" spans="2:10" x14ac:dyDescent="0.2">
      <c r="B298" s="32">
        <f t="shared" si="90"/>
        <v>290</v>
      </c>
      <c r="C298" s="3"/>
      <c r="D298" s="3"/>
      <c r="E298" s="4">
        <v>223001</v>
      </c>
      <c r="F298" s="3"/>
      <c r="G298" s="4" t="s">
        <v>669</v>
      </c>
      <c r="H298" s="25"/>
      <c r="I298" s="26">
        <v>2645</v>
      </c>
      <c r="J298" s="26">
        <f>I298+H298</f>
        <v>2645</v>
      </c>
    </row>
    <row r="299" spans="2:10" x14ac:dyDescent="0.2">
      <c r="B299" s="32">
        <f t="shared" si="90"/>
        <v>291</v>
      </c>
      <c r="C299" s="4"/>
      <c r="D299" s="4"/>
      <c r="E299" s="4">
        <v>223002</v>
      </c>
      <c r="F299" s="4"/>
      <c r="G299" s="4" t="s">
        <v>69</v>
      </c>
      <c r="H299" s="26">
        <v>10305</v>
      </c>
      <c r="I299" s="26"/>
      <c r="J299" s="26">
        <f t="shared" si="85"/>
        <v>10305</v>
      </c>
    </row>
    <row r="300" spans="2:10" x14ac:dyDescent="0.2">
      <c r="B300" s="32">
        <f t="shared" si="90"/>
        <v>292</v>
      </c>
      <c r="C300" s="10">
        <v>240</v>
      </c>
      <c r="D300" s="10"/>
      <c r="E300" s="10"/>
      <c r="F300" s="10"/>
      <c r="G300" s="10" t="s">
        <v>175</v>
      </c>
      <c r="H300" s="24">
        <f>H301</f>
        <v>5</v>
      </c>
      <c r="I300" s="24">
        <f t="shared" ref="I300:I301" si="101">I301</f>
        <v>0</v>
      </c>
      <c r="J300" s="24">
        <f t="shared" si="85"/>
        <v>5</v>
      </c>
    </row>
    <row r="301" spans="2:10" x14ac:dyDescent="0.2">
      <c r="B301" s="32">
        <f t="shared" si="90"/>
        <v>293</v>
      </c>
      <c r="C301" s="3"/>
      <c r="D301" s="3">
        <v>242</v>
      </c>
      <c r="E301" s="3"/>
      <c r="F301" s="3"/>
      <c r="G301" s="3" t="s">
        <v>174</v>
      </c>
      <c r="H301" s="25">
        <f>H302</f>
        <v>5</v>
      </c>
      <c r="I301" s="25">
        <f t="shared" si="101"/>
        <v>0</v>
      </c>
      <c r="J301" s="25">
        <f t="shared" si="85"/>
        <v>5</v>
      </c>
    </row>
    <row r="302" spans="2:10" x14ac:dyDescent="0.2">
      <c r="B302" s="32">
        <f t="shared" si="90"/>
        <v>294</v>
      </c>
      <c r="C302" s="4"/>
      <c r="D302" s="4"/>
      <c r="E302" s="4">
        <v>242</v>
      </c>
      <c r="F302" s="4"/>
      <c r="G302" s="4" t="s">
        <v>174</v>
      </c>
      <c r="H302" s="26">
        <v>5</v>
      </c>
      <c r="I302" s="26"/>
      <c r="J302" s="26">
        <f t="shared" si="85"/>
        <v>5</v>
      </c>
    </row>
    <row r="303" spans="2:10" x14ac:dyDescent="0.2">
      <c r="B303" s="32">
        <f t="shared" si="90"/>
        <v>295</v>
      </c>
      <c r="C303" s="10">
        <v>290</v>
      </c>
      <c r="D303" s="10"/>
      <c r="E303" s="10"/>
      <c r="F303" s="10"/>
      <c r="G303" s="10" t="s">
        <v>176</v>
      </c>
      <c r="H303" s="24">
        <f>H304</f>
        <v>300</v>
      </c>
      <c r="I303" s="24">
        <f t="shared" ref="I303:I304" si="102">I304</f>
        <v>0</v>
      </c>
      <c r="J303" s="24">
        <f t="shared" si="85"/>
        <v>300</v>
      </c>
    </row>
    <row r="304" spans="2:10" x14ac:dyDescent="0.2">
      <c r="B304" s="32">
        <f t="shared" si="90"/>
        <v>296</v>
      </c>
      <c r="C304" s="3"/>
      <c r="D304" s="3">
        <v>292</v>
      </c>
      <c r="E304" s="3"/>
      <c r="F304" s="3"/>
      <c r="G304" s="3" t="s">
        <v>177</v>
      </c>
      <c r="H304" s="25">
        <f>H305</f>
        <v>300</v>
      </c>
      <c r="I304" s="25">
        <f t="shared" si="102"/>
        <v>0</v>
      </c>
      <c r="J304" s="25">
        <f t="shared" si="85"/>
        <v>300</v>
      </c>
    </row>
    <row r="305" spans="2:10" ht="13.5" thickBot="1" x14ac:dyDescent="0.25">
      <c r="B305" s="32">
        <f t="shared" si="90"/>
        <v>297</v>
      </c>
      <c r="C305" s="4"/>
      <c r="D305" s="4"/>
      <c r="E305" s="4">
        <v>292012</v>
      </c>
      <c r="F305" s="4"/>
      <c r="G305" s="4" t="s">
        <v>7</v>
      </c>
      <c r="H305" s="26">
        <v>300</v>
      </c>
      <c r="I305" s="26"/>
      <c r="J305" s="26">
        <f t="shared" si="85"/>
        <v>300</v>
      </c>
    </row>
    <row r="306" spans="2:10" ht="15.75" thickBot="1" x14ac:dyDescent="0.3">
      <c r="B306" s="32">
        <f t="shared" si="90"/>
        <v>298</v>
      </c>
      <c r="C306" s="17">
        <v>12</v>
      </c>
      <c r="D306" s="17"/>
      <c r="E306" s="17"/>
      <c r="F306" s="17"/>
      <c r="G306" s="17" t="s">
        <v>274</v>
      </c>
      <c r="H306" s="23">
        <f>H317+H314+H310+H307</f>
        <v>11710</v>
      </c>
      <c r="I306" s="23">
        <f t="shared" ref="I306" si="103">I317+I314+I310+I307</f>
        <v>8200</v>
      </c>
      <c r="J306" s="23">
        <f t="shared" si="85"/>
        <v>19910</v>
      </c>
    </row>
    <row r="307" spans="2:10" x14ac:dyDescent="0.2">
      <c r="B307" s="32">
        <f t="shared" si="90"/>
        <v>299</v>
      </c>
      <c r="C307" s="10">
        <v>210</v>
      </c>
      <c r="D307" s="10"/>
      <c r="E307" s="10"/>
      <c r="F307" s="10"/>
      <c r="G307" s="10" t="s">
        <v>21</v>
      </c>
      <c r="H307" s="24">
        <f>H308</f>
        <v>3000</v>
      </c>
      <c r="I307" s="24">
        <f t="shared" ref="I307:I308" si="104">I308</f>
        <v>0</v>
      </c>
      <c r="J307" s="24">
        <f t="shared" si="85"/>
        <v>3000</v>
      </c>
    </row>
    <row r="308" spans="2:10" x14ac:dyDescent="0.2">
      <c r="B308" s="32">
        <f t="shared" si="90"/>
        <v>300</v>
      </c>
      <c r="C308" s="3"/>
      <c r="D308" s="3">
        <v>212</v>
      </c>
      <c r="E308" s="3"/>
      <c r="F308" s="3"/>
      <c r="G308" s="3" t="s">
        <v>22</v>
      </c>
      <c r="H308" s="25">
        <f>H309</f>
        <v>3000</v>
      </c>
      <c r="I308" s="25">
        <f t="shared" si="104"/>
        <v>0</v>
      </c>
      <c r="J308" s="25">
        <f t="shared" si="85"/>
        <v>3000</v>
      </c>
    </row>
    <row r="309" spans="2:10" x14ac:dyDescent="0.2">
      <c r="B309" s="32">
        <f t="shared" si="90"/>
        <v>301</v>
      </c>
      <c r="C309" s="4"/>
      <c r="D309" s="4"/>
      <c r="E309" s="4">
        <v>212003</v>
      </c>
      <c r="F309" s="4"/>
      <c r="G309" s="4" t="s">
        <v>23</v>
      </c>
      <c r="H309" s="26">
        <v>3000</v>
      </c>
      <c r="I309" s="26"/>
      <c r="J309" s="26">
        <f t="shared" si="85"/>
        <v>3000</v>
      </c>
    </row>
    <row r="310" spans="2:10" x14ac:dyDescent="0.2">
      <c r="B310" s="32">
        <f t="shared" si="90"/>
        <v>302</v>
      </c>
      <c r="C310" s="10">
        <v>220</v>
      </c>
      <c r="D310" s="10"/>
      <c r="E310" s="10"/>
      <c r="F310" s="10"/>
      <c r="G310" s="10" t="s">
        <v>225</v>
      </c>
      <c r="H310" s="24">
        <f>H311</f>
        <v>8205</v>
      </c>
      <c r="I310" s="24">
        <f t="shared" ref="I310" si="105">I311</f>
        <v>8200</v>
      </c>
      <c r="J310" s="24">
        <f t="shared" si="85"/>
        <v>16405</v>
      </c>
    </row>
    <row r="311" spans="2:10" x14ac:dyDescent="0.2">
      <c r="B311" s="32">
        <f t="shared" si="90"/>
        <v>303</v>
      </c>
      <c r="C311" s="3"/>
      <c r="D311" s="3">
        <v>223</v>
      </c>
      <c r="E311" s="3"/>
      <c r="F311" s="3"/>
      <c r="G311" s="3" t="s">
        <v>25</v>
      </c>
      <c r="H311" s="25">
        <f>H313</f>
        <v>8205</v>
      </c>
      <c r="I311" s="25">
        <f>SUM(I312:I313)</f>
        <v>8200</v>
      </c>
      <c r="J311" s="25">
        <f t="shared" si="85"/>
        <v>16405</v>
      </c>
    </row>
    <row r="312" spans="2:10" x14ac:dyDescent="0.2">
      <c r="B312" s="32">
        <f t="shared" si="90"/>
        <v>304</v>
      </c>
      <c r="C312" s="3"/>
      <c r="D312" s="3"/>
      <c r="E312" s="4">
        <v>223001</v>
      </c>
      <c r="F312" s="3"/>
      <c r="G312" s="4" t="s">
        <v>667</v>
      </c>
      <c r="H312" s="25"/>
      <c r="I312" s="26">
        <v>8200</v>
      </c>
      <c r="J312" s="26">
        <f>I312+H312</f>
        <v>8200</v>
      </c>
    </row>
    <row r="313" spans="2:10" x14ac:dyDescent="0.2">
      <c r="B313" s="32">
        <f t="shared" si="90"/>
        <v>305</v>
      </c>
      <c r="C313" s="4"/>
      <c r="D313" s="4"/>
      <c r="E313" s="4">
        <v>223002</v>
      </c>
      <c r="F313" s="4"/>
      <c r="G313" s="4" t="s">
        <v>69</v>
      </c>
      <c r="H313" s="26">
        <v>8205</v>
      </c>
      <c r="I313" s="26"/>
      <c r="J313" s="26">
        <f t="shared" si="85"/>
        <v>8205</v>
      </c>
    </row>
    <row r="314" spans="2:10" x14ac:dyDescent="0.2">
      <c r="B314" s="32">
        <f t="shared" si="90"/>
        <v>306</v>
      </c>
      <c r="C314" s="10">
        <v>240</v>
      </c>
      <c r="D314" s="10"/>
      <c r="E314" s="10"/>
      <c r="F314" s="10"/>
      <c r="G314" s="10" t="s">
        <v>175</v>
      </c>
      <c r="H314" s="24">
        <f>H315</f>
        <v>5</v>
      </c>
      <c r="I314" s="24">
        <f t="shared" ref="I314:I315" si="106">I315</f>
        <v>0</v>
      </c>
      <c r="J314" s="24">
        <f t="shared" si="85"/>
        <v>5</v>
      </c>
    </row>
    <row r="315" spans="2:10" x14ac:dyDescent="0.2">
      <c r="B315" s="32">
        <f t="shared" si="90"/>
        <v>307</v>
      </c>
      <c r="C315" s="3"/>
      <c r="D315" s="3">
        <v>242</v>
      </c>
      <c r="E315" s="3"/>
      <c r="F315" s="3"/>
      <c r="G315" s="3" t="s">
        <v>174</v>
      </c>
      <c r="H315" s="25">
        <f>H316</f>
        <v>5</v>
      </c>
      <c r="I315" s="25">
        <f t="shared" si="106"/>
        <v>0</v>
      </c>
      <c r="J315" s="25">
        <f t="shared" si="85"/>
        <v>5</v>
      </c>
    </row>
    <row r="316" spans="2:10" x14ac:dyDescent="0.2">
      <c r="B316" s="32">
        <f t="shared" si="90"/>
        <v>308</v>
      </c>
      <c r="C316" s="4"/>
      <c r="D316" s="4"/>
      <c r="E316" s="4">
        <v>242</v>
      </c>
      <c r="F316" s="4"/>
      <c r="G316" s="4" t="s">
        <v>174</v>
      </c>
      <c r="H316" s="26">
        <v>5</v>
      </c>
      <c r="I316" s="26"/>
      <c r="J316" s="26">
        <f t="shared" si="85"/>
        <v>5</v>
      </c>
    </row>
    <row r="317" spans="2:10" x14ac:dyDescent="0.2">
      <c r="B317" s="32">
        <f t="shared" si="90"/>
        <v>309</v>
      </c>
      <c r="C317" s="10">
        <v>290</v>
      </c>
      <c r="D317" s="10"/>
      <c r="E317" s="10"/>
      <c r="F317" s="10"/>
      <c r="G317" s="10" t="s">
        <v>176</v>
      </c>
      <c r="H317" s="24">
        <f>H318</f>
        <v>500</v>
      </c>
      <c r="I317" s="24">
        <f t="shared" ref="I317:I318" si="107">I318</f>
        <v>0</v>
      </c>
      <c r="J317" s="24">
        <f t="shared" si="85"/>
        <v>500</v>
      </c>
    </row>
    <row r="318" spans="2:10" x14ac:dyDescent="0.2">
      <c r="B318" s="32">
        <f t="shared" si="90"/>
        <v>310</v>
      </c>
      <c r="C318" s="3"/>
      <c r="D318" s="3">
        <v>292</v>
      </c>
      <c r="E318" s="3"/>
      <c r="F318" s="3"/>
      <c r="G318" s="3" t="s">
        <v>177</v>
      </c>
      <c r="H318" s="25">
        <f>H319</f>
        <v>500</v>
      </c>
      <c r="I318" s="25">
        <f t="shared" si="107"/>
        <v>0</v>
      </c>
      <c r="J318" s="25">
        <f t="shared" si="85"/>
        <v>500</v>
      </c>
    </row>
    <row r="319" spans="2:10" ht="13.5" thickBot="1" x14ac:dyDescent="0.25">
      <c r="B319" s="32">
        <f t="shared" si="90"/>
        <v>311</v>
      </c>
      <c r="C319" s="4"/>
      <c r="D319" s="4"/>
      <c r="E319" s="4">
        <v>292012</v>
      </c>
      <c r="F319" s="4"/>
      <c r="G319" s="4" t="s">
        <v>7</v>
      </c>
      <c r="H319" s="26">
        <v>500</v>
      </c>
      <c r="I319" s="26"/>
      <c r="J319" s="26">
        <f t="shared" si="85"/>
        <v>500</v>
      </c>
    </row>
    <row r="320" spans="2:10" ht="15.75" thickBot="1" x14ac:dyDescent="0.3">
      <c r="B320" s="32">
        <f t="shared" ref="B320:B337" si="108">B319+1</f>
        <v>312</v>
      </c>
      <c r="C320" s="17">
        <v>13</v>
      </c>
      <c r="D320" s="17"/>
      <c r="E320" s="17"/>
      <c r="F320" s="17"/>
      <c r="G320" s="17" t="s">
        <v>256</v>
      </c>
      <c r="H320" s="23">
        <f>H331+H328+H324+H321</f>
        <v>10710</v>
      </c>
      <c r="I320" s="23">
        <f t="shared" ref="I320" si="109">I331+I328+I324+I321</f>
        <v>8300</v>
      </c>
      <c r="J320" s="23">
        <f t="shared" si="85"/>
        <v>19010</v>
      </c>
    </row>
    <row r="321" spans="2:10" x14ac:dyDescent="0.2">
      <c r="B321" s="32">
        <f t="shared" si="108"/>
        <v>313</v>
      </c>
      <c r="C321" s="10">
        <v>210</v>
      </c>
      <c r="D321" s="10"/>
      <c r="E321" s="10"/>
      <c r="F321" s="10"/>
      <c r="G321" s="10" t="s">
        <v>21</v>
      </c>
      <c r="H321" s="24">
        <f>H322</f>
        <v>6000</v>
      </c>
      <c r="I321" s="24">
        <f t="shared" ref="I321:I322" si="110">I322</f>
        <v>0</v>
      </c>
      <c r="J321" s="24">
        <f t="shared" si="85"/>
        <v>6000</v>
      </c>
    </row>
    <row r="322" spans="2:10" x14ac:dyDescent="0.2">
      <c r="B322" s="32">
        <f t="shared" si="108"/>
        <v>314</v>
      </c>
      <c r="C322" s="3"/>
      <c r="D322" s="3">
        <v>212</v>
      </c>
      <c r="E322" s="3"/>
      <c r="F322" s="3"/>
      <c r="G322" s="3" t="s">
        <v>22</v>
      </c>
      <c r="H322" s="25">
        <f>H323</f>
        <v>6000</v>
      </c>
      <c r="I322" s="25">
        <f t="shared" si="110"/>
        <v>0</v>
      </c>
      <c r="J322" s="25">
        <f t="shared" si="85"/>
        <v>6000</v>
      </c>
    </row>
    <row r="323" spans="2:10" x14ac:dyDescent="0.2">
      <c r="B323" s="32">
        <f t="shared" si="108"/>
        <v>315</v>
      </c>
      <c r="C323" s="4"/>
      <c r="D323" s="4"/>
      <c r="E323" s="4">
        <v>212003</v>
      </c>
      <c r="F323" s="4"/>
      <c r="G323" s="4" t="s">
        <v>23</v>
      </c>
      <c r="H323" s="26">
        <v>6000</v>
      </c>
      <c r="I323" s="26"/>
      <c r="J323" s="26">
        <f t="shared" si="85"/>
        <v>6000</v>
      </c>
    </row>
    <row r="324" spans="2:10" x14ac:dyDescent="0.2">
      <c r="B324" s="32">
        <f t="shared" si="108"/>
        <v>316</v>
      </c>
      <c r="C324" s="10">
        <v>220</v>
      </c>
      <c r="D324" s="10"/>
      <c r="E324" s="10"/>
      <c r="F324" s="10"/>
      <c r="G324" s="10" t="s">
        <v>225</v>
      </c>
      <c r="H324" s="24">
        <f>H325</f>
        <v>4405</v>
      </c>
      <c r="I324" s="24">
        <f t="shared" ref="I324" si="111">I325</f>
        <v>8300</v>
      </c>
      <c r="J324" s="24">
        <f t="shared" si="85"/>
        <v>12705</v>
      </c>
    </row>
    <row r="325" spans="2:10" x14ac:dyDescent="0.2">
      <c r="B325" s="32">
        <f t="shared" si="108"/>
        <v>317</v>
      </c>
      <c r="C325" s="3"/>
      <c r="D325" s="3">
        <v>223</v>
      </c>
      <c r="E325" s="3"/>
      <c r="F325" s="3"/>
      <c r="G325" s="3" t="s">
        <v>25</v>
      </c>
      <c r="H325" s="25">
        <f>H327</f>
        <v>4405</v>
      </c>
      <c r="I325" s="25">
        <f>SUM(I326:I327)</f>
        <v>8300</v>
      </c>
      <c r="J325" s="25">
        <f t="shared" si="85"/>
        <v>12705</v>
      </c>
    </row>
    <row r="326" spans="2:10" x14ac:dyDescent="0.2">
      <c r="B326" s="32">
        <f t="shared" si="108"/>
        <v>318</v>
      </c>
      <c r="C326" s="3"/>
      <c r="D326" s="3"/>
      <c r="E326" s="4">
        <v>223001</v>
      </c>
      <c r="F326" s="3"/>
      <c r="G326" s="4" t="s">
        <v>667</v>
      </c>
      <c r="H326" s="25"/>
      <c r="I326" s="26">
        <v>8300</v>
      </c>
      <c r="J326" s="26">
        <f>I326+H326</f>
        <v>8300</v>
      </c>
    </row>
    <row r="327" spans="2:10" x14ac:dyDescent="0.2">
      <c r="B327" s="32">
        <f t="shared" si="108"/>
        <v>319</v>
      </c>
      <c r="C327" s="4"/>
      <c r="D327" s="4"/>
      <c r="E327" s="4">
        <v>223002</v>
      </c>
      <c r="F327" s="4"/>
      <c r="G327" s="4" t="s">
        <v>69</v>
      </c>
      <c r="H327" s="26">
        <v>4405</v>
      </c>
      <c r="I327" s="26"/>
      <c r="J327" s="26">
        <f t="shared" si="85"/>
        <v>4405</v>
      </c>
    </row>
    <row r="328" spans="2:10" x14ac:dyDescent="0.2">
      <c r="B328" s="32">
        <f t="shared" si="108"/>
        <v>320</v>
      </c>
      <c r="C328" s="10">
        <v>240</v>
      </c>
      <c r="D328" s="10"/>
      <c r="E328" s="10"/>
      <c r="F328" s="10"/>
      <c r="G328" s="10" t="s">
        <v>175</v>
      </c>
      <c r="H328" s="24">
        <f>H329</f>
        <v>5</v>
      </c>
      <c r="I328" s="24">
        <f t="shared" ref="I328:I329" si="112">I329</f>
        <v>0</v>
      </c>
      <c r="J328" s="24">
        <f t="shared" si="85"/>
        <v>5</v>
      </c>
    </row>
    <row r="329" spans="2:10" x14ac:dyDescent="0.2">
      <c r="B329" s="32">
        <f t="shared" si="108"/>
        <v>321</v>
      </c>
      <c r="C329" s="3"/>
      <c r="D329" s="3">
        <v>242</v>
      </c>
      <c r="E329" s="3"/>
      <c r="F329" s="3"/>
      <c r="G329" s="3" t="s">
        <v>174</v>
      </c>
      <c r="H329" s="25">
        <f>H330</f>
        <v>5</v>
      </c>
      <c r="I329" s="25">
        <f t="shared" si="112"/>
        <v>0</v>
      </c>
      <c r="J329" s="25">
        <f t="shared" si="85"/>
        <v>5</v>
      </c>
    </row>
    <row r="330" spans="2:10" x14ac:dyDescent="0.2">
      <c r="B330" s="32">
        <f t="shared" si="108"/>
        <v>322</v>
      </c>
      <c r="C330" s="4"/>
      <c r="D330" s="4"/>
      <c r="E330" s="4">
        <v>242</v>
      </c>
      <c r="F330" s="4"/>
      <c r="G330" s="4" t="s">
        <v>174</v>
      </c>
      <c r="H330" s="26">
        <v>5</v>
      </c>
      <c r="I330" s="26"/>
      <c r="J330" s="26">
        <f t="shared" si="85"/>
        <v>5</v>
      </c>
    </row>
    <row r="331" spans="2:10" x14ac:dyDescent="0.2">
      <c r="B331" s="32">
        <f t="shared" si="108"/>
        <v>323</v>
      </c>
      <c r="C331" s="10">
        <v>290</v>
      </c>
      <c r="D331" s="10"/>
      <c r="E331" s="10"/>
      <c r="F331" s="10"/>
      <c r="G331" s="10" t="s">
        <v>176</v>
      </c>
      <c r="H331" s="24">
        <f>H332</f>
        <v>300</v>
      </c>
      <c r="I331" s="24">
        <f t="shared" ref="I331:I332" si="113">I332</f>
        <v>0</v>
      </c>
      <c r="J331" s="24">
        <f t="shared" si="85"/>
        <v>300</v>
      </c>
    </row>
    <row r="332" spans="2:10" x14ac:dyDescent="0.2">
      <c r="B332" s="32">
        <f t="shared" si="108"/>
        <v>324</v>
      </c>
      <c r="C332" s="3"/>
      <c r="D332" s="3">
        <v>292</v>
      </c>
      <c r="E332" s="3"/>
      <c r="F332" s="3"/>
      <c r="G332" s="3" t="s">
        <v>177</v>
      </c>
      <c r="H332" s="25">
        <f>H333</f>
        <v>300</v>
      </c>
      <c r="I332" s="25">
        <f t="shared" si="113"/>
        <v>0</v>
      </c>
      <c r="J332" s="25">
        <f t="shared" ref="J332:J408" si="114">H332+I332</f>
        <v>300</v>
      </c>
    </row>
    <row r="333" spans="2:10" ht="13.5" thickBot="1" x14ac:dyDescent="0.25">
      <c r="B333" s="32">
        <f t="shared" si="108"/>
        <v>325</v>
      </c>
      <c r="C333" s="4"/>
      <c r="D333" s="4"/>
      <c r="E333" s="4">
        <v>292012</v>
      </c>
      <c r="F333" s="4"/>
      <c r="G333" s="4" t="s">
        <v>7</v>
      </c>
      <c r="H333" s="26">
        <v>300</v>
      </c>
      <c r="I333" s="26"/>
      <c r="J333" s="26">
        <f t="shared" si="114"/>
        <v>300</v>
      </c>
    </row>
    <row r="334" spans="2:10" ht="15.75" thickBot="1" x14ac:dyDescent="0.3">
      <c r="B334" s="32">
        <f t="shared" si="108"/>
        <v>326</v>
      </c>
      <c r="C334" s="17">
        <v>14</v>
      </c>
      <c r="D334" s="17"/>
      <c r="E334" s="17"/>
      <c r="F334" s="17"/>
      <c r="G334" s="17" t="s">
        <v>266</v>
      </c>
      <c r="H334" s="23">
        <f>H338+H335</f>
        <v>91010</v>
      </c>
      <c r="I334" s="23">
        <f t="shared" ref="I334" si="115">I338+I335</f>
        <v>0</v>
      </c>
      <c r="J334" s="23">
        <f t="shared" si="114"/>
        <v>91010</v>
      </c>
    </row>
    <row r="335" spans="2:10" x14ac:dyDescent="0.2">
      <c r="B335" s="32">
        <f t="shared" si="108"/>
        <v>327</v>
      </c>
      <c r="C335" s="10">
        <v>220</v>
      </c>
      <c r="D335" s="10"/>
      <c r="E335" s="10"/>
      <c r="F335" s="10"/>
      <c r="G335" s="10" t="s">
        <v>225</v>
      </c>
      <c r="H335" s="24">
        <f>H336</f>
        <v>91005</v>
      </c>
      <c r="I335" s="24">
        <f t="shared" ref="I335:I336" si="116">I336</f>
        <v>0</v>
      </c>
      <c r="J335" s="24">
        <f t="shared" si="114"/>
        <v>91005</v>
      </c>
    </row>
    <row r="336" spans="2:10" x14ac:dyDescent="0.2">
      <c r="B336" s="32">
        <f t="shared" si="108"/>
        <v>328</v>
      </c>
      <c r="C336" s="3"/>
      <c r="D336" s="3">
        <v>223</v>
      </c>
      <c r="E336" s="3"/>
      <c r="F336" s="3"/>
      <c r="G336" s="3" t="s">
        <v>25</v>
      </c>
      <c r="H336" s="25">
        <f>H337</f>
        <v>91005</v>
      </c>
      <c r="I336" s="25">
        <f t="shared" si="116"/>
        <v>0</v>
      </c>
      <c r="J336" s="25">
        <f t="shared" si="114"/>
        <v>91005</v>
      </c>
    </row>
    <row r="337" spans="2:10" x14ac:dyDescent="0.2">
      <c r="B337" s="32">
        <f t="shared" si="108"/>
        <v>329</v>
      </c>
      <c r="C337" s="4"/>
      <c r="D337" s="4"/>
      <c r="E337" s="4">
        <v>223001</v>
      </c>
      <c r="F337" s="4"/>
      <c r="G337" s="4" t="s">
        <v>26</v>
      </c>
      <c r="H337" s="26">
        <v>91005</v>
      </c>
      <c r="I337" s="26"/>
      <c r="J337" s="26">
        <f t="shared" si="114"/>
        <v>91005</v>
      </c>
    </row>
    <row r="338" spans="2:10" x14ac:dyDescent="0.2">
      <c r="B338" s="32">
        <f t="shared" ref="B338:B414" si="117">B337+1</f>
        <v>330</v>
      </c>
      <c r="C338" s="10">
        <v>240</v>
      </c>
      <c r="D338" s="10"/>
      <c r="E338" s="10"/>
      <c r="F338" s="10"/>
      <c r="G338" s="10" t="s">
        <v>175</v>
      </c>
      <c r="H338" s="24">
        <f>H339</f>
        <v>5</v>
      </c>
      <c r="I338" s="24">
        <f t="shared" ref="I338:I339" si="118">I339</f>
        <v>0</v>
      </c>
      <c r="J338" s="24">
        <f t="shared" si="114"/>
        <v>5</v>
      </c>
    </row>
    <row r="339" spans="2:10" x14ac:dyDescent="0.2">
      <c r="B339" s="32">
        <f t="shared" si="117"/>
        <v>331</v>
      </c>
      <c r="C339" s="3"/>
      <c r="D339" s="3">
        <v>242</v>
      </c>
      <c r="E339" s="3"/>
      <c r="F339" s="3"/>
      <c r="G339" s="3" t="s">
        <v>174</v>
      </c>
      <c r="H339" s="25">
        <f>H340</f>
        <v>5</v>
      </c>
      <c r="I339" s="25">
        <f t="shared" si="118"/>
        <v>0</v>
      </c>
      <c r="J339" s="25">
        <f t="shared" si="114"/>
        <v>5</v>
      </c>
    </row>
    <row r="340" spans="2:10" x14ac:dyDescent="0.2">
      <c r="B340" s="32">
        <f t="shared" si="117"/>
        <v>332</v>
      </c>
      <c r="C340" s="4"/>
      <c r="D340" s="4"/>
      <c r="E340" s="4">
        <v>242</v>
      </c>
      <c r="F340" s="4"/>
      <c r="G340" s="4" t="s">
        <v>174</v>
      </c>
      <c r="H340" s="26">
        <v>5</v>
      </c>
      <c r="I340" s="26"/>
      <c r="J340" s="26">
        <f t="shared" si="114"/>
        <v>5</v>
      </c>
    </row>
    <row r="341" spans="2:10" ht="16.5" thickBot="1" x14ac:dyDescent="0.3">
      <c r="B341" s="32">
        <f t="shared" si="117"/>
        <v>333</v>
      </c>
      <c r="C341" s="16">
        <v>300</v>
      </c>
      <c r="D341" s="16"/>
      <c r="E341" s="16"/>
      <c r="F341" s="16"/>
      <c r="G341" s="16" t="s">
        <v>229</v>
      </c>
      <c r="H341" s="22">
        <f>H407+H402+H396+H391+H382+H375+H370+H342</f>
        <v>7782323</v>
      </c>
      <c r="I341" s="22">
        <f>I407+I402+I396+I391+I382+I375+I370+I342+I365+I361</f>
        <v>270294</v>
      </c>
      <c r="J341" s="22">
        <f t="shared" si="114"/>
        <v>8052617</v>
      </c>
    </row>
    <row r="342" spans="2:10" ht="15.75" thickBot="1" x14ac:dyDescent="0.3">
      <c r="B342" s="32">
        <f t="shared" si="117"/>
        <v>334</v>
      </c>
      <c r="C342" s="17"/>
      <c r="D342" s="17"/>
      <c r="E342" s="17"/>
      <c r="F342" s="17"/>
      <c r="G342" s="17" t="s">
        <v>286</v>
      </c>
      <c r="H342" s="23">
        <f>H343</f>
        <v>7711178</v>
      </c>
      <c r="I342" s="23">
        <f t="shared" ref="I342" si="119">I343</f>
        <v>51229</v>
      </c>
      <c r="J342" s="23">
        <f t="shared" si="114"/>
        <v>7762407</v>
      </c>
    </row>
    <row r="343" spans="2:10" x14ac:dyDescent="0.2">
      <c r="B343" s="32">
        <f t="shared" si="117"/>
        <v>335</v>
      </c>
      <c r="C343" s="10">
        <v>310</v>
      </c>
      <c r="D343" s="10"/>
      <c r="E343" s="10"/>
      <c r="F343" s="10"/>
      <c r="G343" s="10" t="s">
        <v>230</v>
      </c>
      <c r="H343" s="24">
        <f>H345+H344</f>
        <v>7711178</v>
      </c>
      <c r="I343" s="24">
        <f t="shared" ref="I343" si="120">I345+I344</f>
        <v>51229</v>
      </c>
      <c r="J343" s="24">
        <f t="shared" si="114"/>
        <v>7762407</v>
      </c>
    </row>
    <row r="344" spans="2:10" x14ac:dyDescent="0.2">
      <c r="B344" s="32">
        <f t="shared" si="117"/>
        <v>336</v>
      </c>
      <c r="C344" s="3"/>
      <c r="D344" s="3">
        <v>311</v>
      </c>
      <c r="E344" s="3"/>
      <c r="F344" s="3"/>
      <c r="G344" s="3" t="s">
        <v>607</v>
      </c>
      <c r="H344" s="25">
        <v>2000</v>
      </c>
      <c r="I344" s="25"/>
      <c r="J344" s="25">
        <f t="shared" si="114"/>
        <v>2000</v>
      </c>
    </row>
    <row r="345" spans="2:10" x14ac:dyDescent="0.2">
      <c r="B345" s="32">
        <f t="shared" si="117"/>
        <v>337</v>
      </c>
      <c r="C345" s="3"/>
      <c r="D345" s="3">
        <v>312</v>
      </c>
      <c r="E345" s="3"/>
      <c r="F345" s="3"/>
      <c r="G345" s="3" t="s">
        <v>192</v>
      </c>
      <c r="H345" s="25">
        <f>H346+H351</f>
        <v>7709178</v>
      </c>
      <c r="I345" s="25">
        <f t="shared" ref="I345" si="121">I346+I351</f>
        <v>51229</v>
      </c>
      <c r="J345" s="25">
        <f t="shared" si="114"/>
        <v>7760407</v>
      </c>
    </row>
    <row r="346" spans="2:10" x14ac:dyDescent="0.2">
      <c r="B346" s="32">
        <f t="shared" si="117"/>
        <v>338</v>
      </c>
      <c r="C346" s="4"/>
      <c r="D346" s="4"/>
      <c r="E346" s="4">
        <v>312001</v>
      </c>
      <c r="F346" s="4"/>
      <c r="G346" s="4" t="s">
        <v>8</v>
      </c>
      <c r="H346" s="26">
        <f>SUM(H347:H350)</f>
        <v>906101</v>
      </c>
      <c r="I346" s="26">
        <f t="shared" ref="I346" si="122">SUM(I347:I350)</f>
        <v>3099</v>
      </c>
      <c r="J346" s="26">
        <f t="shared" si="114"/>
        <v>909200</v>
      </c>
    </row>
    <row r="347" spans="2:10" x14ac:dyDescent="0.2">
      <c r="B347" s="32">
        <f t="shared" si="117"/>
        <v>339</v>
      </c>
      <c r="C347" s="5"/>
      <c r="D347" s="5"/>
      <c r="E347" s="5"/>
      <c r="F347" s="5"/>
      <c r="G347" s="5" t="s">
        <v>411</v>
      </c>
      <c r="H347" s="27">
        <f>833090+13438</f>
        <v>846528</v>
      </c>
      <c r="I347" s="27"/>
      <c r="J347" s="27">
        <f t="shared" si="114"/>
        <v>846528</v>
      </c>
    </row>
    <row r="348" spans="2:10" x14ac:dyDescent="0.2">
      <c r="B348" s="32">
        <f t="shared" si="117"/>
        <v>340</v>
      </c>
      <c r="C348" s="5"/>
      <c r="D348" s="5"/>
      <c r="E348" s="5"/>
      <c r="F348" s="5"/>
      <c r="G348" s="5" t="s">
        <v>182</v>
      </c>
      <c r="H348" s="27">
        <v>12000</v>
      </c>
      <c r="I348" s="27"/>
      <c r="J348" s="27">
        <f t="shared" si="114"/>
        <v>12000</v>
      </c>
    </row>
    <row r="349" spans="2:10" x14ac:dyDescent="0.2">
      <c r="B349" s="32">
        <f t="shared" si="117"/>
        <v>341</v>
      </c>
      <c r="C349" s="5"/>
      <c r="D349" s="5"/>
      <c r="E349" s="5"/>
      <c r="F349" s="5"/>
      <c r="G349" s="5" t="s">
        <v>557</v>
      </c>
      <c r="H349" s="27">
        <v>3300</v>
      </c>
      <c r="I349" s="27">
        <v>3099</v>
      </c>
      <c r="J349" s="27">
        <f t="shared" si="114"/>
        <v>6399</v>
      </c>
    </row>
    <row r="350" spans="2:10" x14ac:dyDescent="0.2">
      <c r="B350" s="32">
        <f t="shared" si="117"/>
        <v>342</v>
      </c>
      <c r="C350" s="5"/>
      <c r="D350" s="5"/>
      <c r="E350" s="5"/>
      <c r="F350" s="5"/>
      <c r="G350" s="5" t="s">
        <v>558</v>
      </c>
      <c r="H350" s="27">
        <v>44273</v>
      </c>
      <c r="I350" s="27"/>
      <c r="J350" s="27">
        <f t="shared" si="114"/>
        <v>44273</v>
      </c>
    </row>
    <row r="351" spans="2:10" x14ac:dyDescent="0.2">
      <c r="B351" s="32">
        <f t="shared" si="117"/>
        <v>343</v>
      </c>
      <c r="C351" s="4"/>
      <c r="D351" s="4"/>
      <c r="E351" s="4">
        <v>312012</v>
      </c>
      <c r="F351" s="4"/>
      <c r="G351" s="4" t="s">
        <v>9</v>
      </c>
      <c r="H351" s="26">
        <f>SUM(H352:H360)</f>
        <v>6803077</v>
      </c>
      <c r="I351" s="26">
        <f t="shared" ref="I351" si="123">SUM(I352:I360)</f>
        <v>48130</v>
      </c>
      <c r="J351" s="26">
        <f t="shared" si="114"/>
        <v>6851207</v>
      </c>
    </row>
    <row r="352" spans="2:10" x14ac:dyDescent="0.2">
      <c r="B352" s="32">
        <f t="shared" si="117"/>
        <v>344</v>
      </c>
      <c r="C352" s="5"/>
      <c r="D352" s="5"/>
      <c r="E352" s="5"/>
      <c r="F352" s="5"/>
      <c r="G352" s="5" t="s">
        <v>412</v>
      </c>
      <c r="H352" s="27">
        <v>6479800</v>
      </c>
      <c r="I352" s="27">
        <f>57620-6095-3395</f>
        <v>48130</v>
      </c>
      <c r="J352" s="27">
        <f t="shared" si="114"/>
        <v>6527930</v>
      </c>
    </row>
    <row r="353" spans="2:10" x14ac:dyDescent="0.2">
      <c r="B353" s="32">
        <f t="shared" si="117"/>
        <v>345</v>
      </c>
      <c r="C353" s="5"/>
      <c r="D353" s="5"/>
      <c r="E353" s="5"/>
      <c r="F353" s="5"/>
      <c r="G353" s="5" t="s">
        <v>413</v>
      </c>
      <c r="H353" s="27">
        <v>81340</v>
      </c>
      <c r="I353" s="27"/>
      <c r="J353" s="27">
        <f t="shared" si="114"/>
        <v>81340</v>
      </c>
    </row>
    <row r="354" spans="2:10" x14ac:dyDescent="0.2">
      <c r="B354" s="32">
        <f t="shared" si="117"/>
        <v>346</v>
      </c>
      <c r="C354" s="5"/>
      <c r="D354" s="5"/>
      <c r="E354" s="5"/>
      <c r="F354" s="5"/>
      <c r="G354" s="5" t="s">
        <v>414</v>
      </c>
      <c r="H354" s="27">
        <f>87000+8772</f>
        <v>95772</v>
      </c>
      <c r="I354" s="27"/>
      <c r="J354" s="27">
        <f t="shared" si="114"/>
        <v>95772</v>
      </c>
    </row>
    <row r="355" spans="2:10" x14ac:dyDescent="0.2">
      <c r="B355" s="32">
        <f t="shared" si="117"/>
        <v>347</v>
      </c>
      <c r="C355" s="5"/>
      <c r="D355" s="5"/>
      <c r="E355" s="5"/>
      <c r="F355" s="5"/>
      <c r="G355" s="5" t="s">
        <v>415</v>
      </c>
      <c r="H355" s="27">
        <v>52000</v>
      </c>
      <c r="I355" s="27"/>
      <c r="J355" s="27">
        <f t="shared" si="114"/>
        <v>52000</v>
      </c>
    </row>
    <row r="356" spans="2:10" x14ac:dyDescent="0.2">
      <c r="B356" s="32">
        <f t="shared" si="117"/>
        <v>348</v>
      </c>
      <c r="C356" s="5"/>
      <c r="D356" s="5"/>
      <c r="E356" s="5"/>
      <c r="F356" s="5"/>
      <c r="G356" s="5" t="s">
        <v>416</v>
      </c>
      <c r="H356" s="78">
        <v>38805</v>
      </c>
      <c r="I356" s="78"/>
      <c r="J356" s="78">
        <f t="shared" si="114"/>
        <v>38805</v>
      </c>
    </row>
    <row r="357" spans="2:10" x14ac:dyDescent="0.2">
      <c r="B357" s="32">
        <f t="shared" si="117"/>
        <v>349</v>
      </c>
      <c r="C357" s="5"/>
      <c r="D357" s="5"/>
      <c r="E357" s="5"/>
      <c r="F357" s="5"/>
      <c r="G357" s="5" t="s">
        <v>417</v>
      </c>
      <c r="H357" s="27">
        <v>18500</v>
      </c>
      <c r="I357" s="27"/>
      <c r="J357" s="27">
        <f t="shared" si="114"/>
        <v>18500</v>
      </c>
    </row>
    <row r="358" spans="2:10" x14ac:dyDescent="0.2">
      <c r="B358" s="32">
        <f t="shared" si="117"/>
        <v>350</v>
      </c>
      <c r="C358" s="5"/>
      <c r="D358" s="5"/>
      <c r="E358" s="5"/>
      <c r="F358" s="5"/>
      <c r="G358" s="5" t="s">
        <v>418</v>
      </c>
      <c r="H358" s="27">
        <v>24500</v>
      </c>
      <c r="I358" s="27"/>
      <c r="J358" s="27">
        <f t="shared" si="114"/>
        <v>24500</v>
      </c>
    </row>
    <row r="359" spans="2:10" x14ac:dyDescent="0.2">
      <c r="B359" s="32">
        <f t="shared" si="117"/>
        <v>351</v>
      </c>
      <c r="C359" s="5"/>
      <c r="D359" s="5"/>
      <c r="E359" s="5"/>
      <c r="F359" s="5"/>
      <c r="G359" s="5" t="s">
        <v>528</v>
      </c>
      <c r="H359" s="27">
        <v>7135</v>
      </c>
      <c r="I359" s="27"/>
      <c r="J359" s="27">
        <f t="shared" si="114"/>
        <v>7135</v>
      </c>
    </row>
    <row r="360" spans="2:10" ht="13.5" thickBot="1" x14ac:dyDescent="0.25">
      <c r="B360" s="32">
        <f t="shared" si="117"/>
        <v>352</v>
      </c>
      <c r="C360" s="5"/>
      <c r="D360" s="5"/>
      <c r="E360" s="5"/>
      <c r="F360" s="5"/>
      <c r="G360" s="5" t="s">
        <v>646</v>
      </c>
      <c r="H360" s="27">
        <v>5225</v>
      </c>
      <c r="I360" s="27"/>
      <c r="J360" s="27">
        <f t="shared" si="114"/>
        <v>5225</v>
      </c>
    </row>
    <row r="361" spans="2:10" ht="15.75" thickBot="1" x14ac:dyDescent="0.3">
      <c r="B361" s="32">
        <f t="shared" si="117"/>
        <v>353</v>
      </c>
      <c r="C361" s="17">
        <v>1</v>
      </c>
      <c r="D361" s="17"/>
      <c r="E361" s="17"/>
      <c r="F361" s="17"/>
      <c r="G361" s="17" t="s">
        <v>321</v>
      </c>
      <c r="H361" s="23">
        <f>H362</f>
        <v>0</v>
      </c>
      <c r="I361" s="23">
        <f t="shared" ref="I361" si="124">I362</f>
        <v>2500</v>
      </c>
      <c r="J361" s="23">
        <f t="shared" si="114"/>
        <v>2500</v>
      </c>
    </row>
    <row r="362" spans="2:10" x14ac:dyDescent="0.2">
      <c r="B362" s="32">
        <f t="shared" si="117"/>
        <v>354</v>
      </c>
      <c r="C362" s="10">
        <v>310</v>
      </c>
      <c r="D362" s="10"/>
      <c r="E362" s="10"/>
      <c r="F362" s="10"/>
      <c r="G362" s="10" t="s">
        <v>230</v>
      </c>
      <c r="H362" s="24">
        <f>H363</f>
        <v>0</v>
      </c>
      <c r="I362" s="24">
        <f>I363</f>
        <v>2500</v>
      </c>
      <c r="J362" s="24">
        <f t="shared" si="114"/>
        <v>2500</v>
      </c>
    </row>
    <row r="363" spans="2:10" x14ac:dyDescent="0.2">
      <c r="B363" s="32">
        <f t="shared" si="117"/>
        <v>355</v>
      </c>
      <c r="C363" s="3"/>
      <c r="D363" s="3">
        <v>312</v>
      </c>
      <c r="E363" s="3"/>
      <c r="F363" s="3"/>
      <c r="G363" s="3" t="s">
        <v>192</v>
      </c>
      <c r="H363" s="25">
        <f>H364</f>
        <v>0</v>
      </c>
      <c r="I363" s="25">
        <f>I364</f>
        <v>2500</v>
      </c>
      <c r="J363" s="25">
        <f t="shared" si="114"/>
        <v>2500</v>
      </c>
    </row>
    <row r="364" spans="2:10" ht="13.5" thickBot="1" x14ac:dyDescent="0.25">
      <c r="B364" s="32">
        <f t="shared" si="117"/>
        <v>356</v>
      </c>
      <c r="C364" s="4"/>
      <c r="D364" s="4"/>
      <c r="E364" s="4"/>
      <c r="F364" s="4"/>
      <c r="G364" s="4" t="s">
        <v>675</v>
      </c>
      <c r="H364" s="26">
        <v>0</v>
      </c>
      <c r="I364" s="26">
        <v>2500</v>
      </c>
      <c r="J364" s="26">
        <f t="shared" si="114"/>
        <v>2500</v>
      </c>
    </row>
    <row r="365" spans="2:10" ht="15.75" thickBot="1" x14ac:dyDescent="0.3">
      <c r="B365" s="32">
        <f t="shared" si="117"/>
        <v>357</v>
      </c>
      <c r="C365" s="17">
        <v>5</v>
      </c>
      <c r="D365" s="17"/>
      <c r="E365" s="17"/>
      <c r="F365" s="17"/>
      <c r="G365" s="17" t="s">
        <v>267</v>
      </c>
      <c r="H365" s="23">
        <f t="shared" ref="H365:I367" si="125">H366</f>
        <v>0</v>
      </c>
      <c r="I365" s="23">
        <f t="shared" si="125"/>
        <v>284427</v>
      </c>
      <c r="J365" s="23">
        <f t="shared" si="114"/>
        <v>284427</v>
      </c>
    </row>
    <row r="366" spans="2:10" x14ac:dyDescent="0.2">
      <c r="B366" s="32">
        <f t="shared" si="117"/>
        <v>358</v>
      </c>
      <c r="C366" s="10">
        <v>310</v>
      </c>
      <c r="D366" s="10"/>
      <c r="E366" s="10"/>
      <c r="F366" s="10"/>
      <c r="G366" s="10" t="s">
        <v>230</v>
      </c>
      <c r="H366" s="24">
        <f t="shared" si="125"/>
        <v>0</v>
      </c>
      <c r="I366" s="24">
        <f t="shared" si="125"/>
        <v>284427</v>
      </c>
      <c r="J366" s="24">
        <f t="shared" ref="J366:J369" si="126">H366+I366</f>
        <v>284427</v>
      </c>
    </row>
    <row r="367" spans="2:10" x14ac:dyDescent="0.2">
      <c r="B367" s="32">
        <f t="shared" si="117"/>
        <v>359</v>
      </c>
      <c r="C367" s="3"/>
      <c r="D367" s="3">
        <v>312</v>
      </c>
      <c r="E367" s="3"/>
      <c r="F367" s="3"/>
      <c r="G367" s="3" t="s">
        <v>192</v>
      </c>
      <c r="H367" s="25">
        <f t="shared" si="125"/>
        <v>0</v>
      </c>
      <c r="I367" s="25">
        <f t="shared" si="125"/>
        <v>284427</v>
      </c>
      <c r="J367" s="25">
        <f t="shared" si="126"/>
        <v>284427</v>
      </c>
    </row>
    <row r="368" spans="2:10" x14ac:dyDescent="0.2">
      <c r="B368" s="32">
        <f t="shared" si="117"/>
        <v>360</v>
      </c>
      <c r="C368" s="4"/>
      <c r="D368" s="4"/>
      <c r="E368" s="4">
        <v>312001</v>
      </c>
      <c r="F368" s="4"/>
      <c r="G368" s="4" t="s">
        <v>8</v>
      </c>
      <c r="H368" s="26">
        <v>0</v>
      </c>
      <c r="I368" s="26">
        <f>I369</f>
        <v>284427</v>
      </c>
      <c r="J368" s="26">
        <f t="shared" si="126"/>
        <v>284427</v>
      </c>
    </row>
    <row r="369" spans="2:10" ht="13.5" thickBot="1" x14ac:dyDescent="0.25">
      <c r="B369" s="32">
        <f t="shared" si="117"/>
        <v>361</v>
      </c>
      <c r="C369" s="197"/>
      <c r="D369" s="197"/>
      <c r="E369" s="197"/>
      <c r="F369" s="197"/>
      <c r="G369" s="197" t="s">
        <v>676</v>
      </c>
      <c r="H369" s="198">
        <v>0</v>
      </c>
      <c r="I369" s="198">
        <v>284427</v>
      </c>
      <c r="J369" s="198">
        <f t="shared" si="126"/>
        <v>284427</v>
      </c>
    </row>
    <row r="370" spans="2:10" ht="15.75" thickBot="1" x14ac:dyDescent="0.3">
      <c r="B370" s="32">
        <f t="shared" si="117"/>
        <v>362</v>
      </c>
      <c r="C370" s="195">
        <v>6</v>
      </c>
      <c r="D370" s="195"/>
      <c r="E370" s="195"/>
      <c r="F370" s="195"/>
      <c r="G370" s="195" t="s">
        <v>83</v>
      </c>
      <c r="H370" s="196">
        <f>H371</f>
        <v>11000</v>
      </c>
      <c r="I370" s="196">
        <f t="shared" ref="I370:I373" si="127">I371</f>
        <v>-11000</v>
      </c>
      <c r="J370" s="196">
        <f t="shared" si="114"/>
        <v>0</v>
      </c>
    </row>
    <row r="371" spans="2:10" x14ac:dyDescent="0.2">
      <c r="B371" s="32">
        <f t="shared" si="117"/>
        <v>363</v>
      </c>
      <c r="C371" s="10">
        <v>310</v>
      </c>
      <c r="D371" s="10"/>
      <c r="E371" s="10"/>
      <c r="F371" s="10"/>
      <c r="G371" s="10" t="s">
        <v>230</v>
      </c>
      <c r="H371" s="24">
        <f>H372</f>
        <v>11000</v>
      </c>
      <c r="I371" s="24">
        <f t="shared" si="127"/>
        <v>-11000</v>
      </c>
      <c r="J371" s="24">
        <f t="shared" si="114"/>
        <v>0</v>
      </c>
    </row>
    <row r="372" spans="2:10" x14ac:dyDescent="0.2">
      <c r="B372" s="32">
        <f t="shared" si="117"/>
        <v>364</v>
      </c>
      <c r="C372" s="3"/>
      <c r="D372" s="3">
        <v>312</v>
      </c>
      <c r="E372" s="3"/>
      <c r="F372" s="3"/>
      <c r="G372" s="3" t="s">
        <v>192</v>
      </c>
      <c r="H372" s="25">
        <f>H373</f>
        <v>11000</v>
      </c>
      <c r="I372" s="25">
        <f t="shared" si="127"/>
        <v>-11000</v>
      </c>
      <c r="J372" s="25">
        <f t="shared" si="114"/>
        <v>0</v>
      </c>
    </row>
    <row r="373" spans="2:10" x14ac:dyDescent="0.2">
      <c r="B373" s="32">
        <f t="shared" si="117"/>
        <v>365</v>
      </c>
      <c r="C373" s="4"/>
      <c r="D373" s="4"/>
      <c r="E373" s="4">
        <v>312007</v>
      </c>
      <c r="F373" s="4"/>
      <c r="G373" s="4" t="s">
        <v>60</v>
      </c>
      <c r="H373" s="26">
        <f>H374</f>
        <v>11000</v>
      </c>
      <c r="I373" s="26">
        <f t="shared" si="127"/>
        <v>-11000</v>
      </c>
      <c r="J373" s="26">
        <f t="shared" si="114"/>
        <v>0</v>
      </c>
    </row>
    <row r="374" spans="2:10" ht="13.5" thickBot="1" x14ac:dyDescent="0.25">
      <c r="B374" s="32">
        <f t="shared" si="117"/>
        <v>366</v>
      </c>
      <c r="C374" s="5"/>
      <c r="D374" s="5"/>
      <c r="E374" s="5"/>
      <c r="F374" s="5" t="s">
        <v>268</v>
      </c>
      <c r="G374" s="5" t="s">
        <v>231</v>
      </c>
      <c r="H374" s="27">
        <v>11000</v>
      </c>
      <c r="I374" s="27">
        <v>-11000</v>
      </c>
      <c r="J374" s="27">
        <f t="shared" si="114"/>
        <v>0</v>
      </c>
    </row>
    <row r="375" spans="2:10" ht="15.75" thickBot="1" x14ac:dyDescent="0.3">
      <c r="B375" s="32">
        <f t="shared" si="117"/>
        <v>367</v>
      </c>
      <c r="C375" s="17">
        <v>7</v>
      </c>
      <c r="D375" s="17"/>
      <c r="E375" s="17"/>
      <c r="F375" s="17"/>
      <c r="G375" s="17" t="s">
        <v>324</v>
      </c>
      <c r="H375" s="23">
        <f>H376</f>
        <v>12000</v>
      </c>
      <c r="I375" s="23">
        <f>I376+I377</f>
        <v>-11055</v>
      </c>
      <c r="J375" s="23">
        <f t="shared" si="114"/>
        <v>945</v>
      </c>
    </row>
    <row r="376" spans="2:10" x14ac:dyDescent="0.2">
      <c r="B376" s="32">
        <f t="shared" si="117"/>
        <v>368</v>
      </c>
      <c r="C376" s="10">
        <v>310</v>
      </c>
      <c r="D376" s="10"/>
      <c r="E376" s="10"/>
      <c r="F376" s="10"/>
      <c r="G376" s="10" t="s">
        <v>230</v>
      </c>
      <c r="H376" s="24">
        <f>H379</f>
        <v>12000</v>
      </c>
      <c r="I376" s="24">
        <f>I379</f>
        <v>-12000</v>
      </c>
      <c r="J376" s="24">
        <f t="shared" si="114"/>
        <v>0</v>
      </c>
    </row>
    <row r="377" spans="2:10" x14ac:dyDescent="0.2">
      <c r="B377" s="32">
        <f t="shared" si="117"/>
        <v>369</v>
      </c>
      <c r="C377" s="3"/>
      <c r="D377" s="3">
        <v>311</v>
      </c>
      <c r="E377" s="3"/>
      <c r="F377" s="3"/>
      <c r="G377" s="3" t="s">
        <v>228</v>
      </c>
      <c r="H377" s="25">
        <f>H378</f>
        <v>0</v>
      </c>
      <c r="I377" s="25">
        <f t="shared" ref="I377:I380" si="128">I378</f>
        <v>945</v>
      </c>
      <c r="J377" s="25">
        <f t="shared" ref="J377:J378" si="129">H377+I377</f>
        <v>945</v>
      </c>
    </row>
    <row r="378" spans="2:10" x14ac:dyDescent="0.2">
      <c r="B378" s="32">
        <f t="shared" si="117"/>
        <v>370</v>
      </c>
      <c r="C378" s="4"/>
      <c r="D378" s="4"/>
      <c r="E378" s="4"/>
      <c r="F378" s="4"/>
      <c r="G378" s="4" t="s">
        <v>673</v>
      </c>
      <c r="H378" s="26">
        <v>0</v>
      </c>
      <c r="I378" s="26">
        <v>945</v>
      </c>
      <c r="J378" s="26">
        <f t="shared" si="129"/>
        <v>945</v>
      </c>
    </row>
    <row r="379" spans="2:10" x14ac:dyDescent="0.2">
      <c r="B379" s="32">
        <f t="shared" si="117"/>
        <v>371</v>
      </c>
      <c r="C379" s="3"/>
      <c r="D379" s="3">
        <v>312</v>
      </c>
      <c r="E379" s="3"/>
      <c r="F379" s="3"/>
      <c r="G379" s="3" t="s">
        <v>192</v>
      </c>
      <c r="H379" s="25">
        <f>H380</f>
        <v>12000</v>
      </c>
      <c r="I379" s="25">
        <f t="shared" si="128"/>
        <v>-12000</v>
      </c>
      <c r="J379" s="25">
        <f t="shared" si="114"/>
        <v>0</v>
      </c>
    </row>
    <row r="380" spans="2:10" x14ac:dyDescent="0.2">
      <c r="B380" s="32">
        <f t="shared" si="117"/>
        <v>372</v>
      </c>
      <c r="C380" s="4"/>
      <c r="D380" s="4"/>
      <c r="E380" s="4">
        <v>312007</v>
      </c>
      <c r="F380" s="4"/>
      <c r="G380" s="4" t="s">
        <v>60</v>
      </c>
      <c r="H380" s="26">
        <f>H381</f>
        <v>12000</v>
      </c>
      <c r="I380" s="26">
        <f t="shared" si="128"/>
        <v>-12000</v>
      </c>
      <c r="J380" s="26">
        <f t="shared" si="114"/>
        <v>0</v>
      </c>
    </row>
    <row r="381" spans="2:10" ht="13.5" thickBot="1" x14ac:dyDescent="0.25">
      <c r="B381" s="32">
        <f t="shared" si="117"/>
        <v>373</v>
      </c>
      <c r="C381" s="5"/>
      <c r="D381" s="5"/>
      <c r="E381" s="5"/>
      <c r="F381" s="5"/>
      <c r="G381" s="5" t="s">
        <v>231</v>
      </c>
      <c r="H381" s="27">
        <v>12000</v>
      </c>
      <c r="I381" s="27">
        <v>-12000</v>
      </c>
      <c r="J381" s="27">
        <f t="shared" si="114"/>
        <v>0</v>
      </c>
    </row>
    <row r="382" spans="2:10" ht="15.75" thickBot="1" x14ac:dyDescent="0.3">
      <c r="B382" s="32">
        <f t="shared" si="117"/>
        <v>374</v>
      </c>
      <c r="C382" s="17">
        <v>9</v>
      </c>
      <c r="D382" s="17"/>
      <c r="E382" s="17"/>
      <c r="F382" s="17"/>
      <c r="G382" s="17" t="s">
        <v>278</v>
      </c>
      <c r="H382" s="23">
        <f>H383</f>
        <v>6000</v>
      </c>
      <c r="I382" s="23">
        <f t="shared" ref="I382:I386" si="130">I383</f>
        <v>-4500</v>
      </c>
      <c r="J382" s="23">
        <f t="shared" si="114"/>
        <v>1500</v>
      </c>
    </row>
    <row r="383" spans="2:10" x14ac:dyDescent="0.2">
      <c r="B383" s="32">
        <f t="shared" si="117"/>
        <v>375</v>
      </c>
      <c r="C383" s="10">
        <v>310</v>
      </c>
      <c r="D383" s="10"/>
      <c r="E383" s="10"/>
      <c r="F383" s="10"/>
      <c r="G383" s="10" t="s">
        <v>230</v>
      </c>
      <c r="H383" s="24">
        <f>H386</f>
        <v>6000</v>
      </c>
      <c r="I383" s="24">
        <f>I386+I384</f>
        <v>-4500</v>
      </c>
      <c r="J383" s="24">
        <f t="shared" si="114"/>
        <v>1500</v>
      </c>
    </row>
    <row r="384" spans="2:10" x14ac:dyDescent="0.2">
      <c r="B384" s="32">
        <f t="shared" si="117"/>
        <v>376</v>
      </c>
      <c r="C384" s="3"/>
      <c r="D384" s="3">
        <v>311</v>
      </c>
      <c r="E384" s="3"/>
      <c r="F384" s="3"/>
      <c r="G384" s="3" t="s">
        <v>228</v>
      </c>
      <c r="H384" s="25">
        <f>H385</f>
        <v>0</v>
      </c>
      <c r="I384" s="25">
        <f t="shared" ref="I384" si="131">I385</f>
        <v>1500</v>
      </c>
      <c r="J384" s="25">
        <f t="shared" si="114"/>
        <v>1500</v>
      </c>
    </row>
    <row r="385" spans="2:10" x14ac:dyDescent="0.2">
      <c r="B385" s="32">
        <f t="shared" si="117"/>
        <v>377</v>
      </c>
      <c r="C385" s="4"/>
      <c r="D385" s="4"/>
      <c r="E385" s="4"/>
      <c r="F385" s="4"/>
      <c r="G385" s="4" t="s">
        <v>673</v>
      </c>
      <c r="H385" s="26">
        <v>0</v>
      </c>
      <c r="I385" s="26">
        <v>1500</v>
      </c>
      <c r="J385" s="26">
        <f t="shared" si="114"/>
        <v>1500</v>
      </c>
    </row>
    <row r="386" spans="2:10" x14ac:dyDescent="0.2">
      <c r="B386" s="32">
        <f t="shared" si="117"/>
        <v>378</v>
      </c>
      <c r="C386" s="3"/>
      <c r="D386" s="3">
        <v>312</v>
      </c>
      <c r="E386" s="3"/>
      <c r="F386" s="3"/>
      <c r="G386" s="3" t="s">
        <v>192</v>
      </c>
      <c r="H386" s="25">
        <f>H387</f>
        <v>6000</v>
      </c>
      <c r="I386" s="25">
        <f t="shared" si="130"/>
        <v>-6000</v>
      </c>
      <c r="J386" s="25">
        <f t="shared" si="114"/>
        <v>0</v>
      </c>
    </row>
    <row r="387" spans="2:10" x14ac:dyDescent="0.2">
      <c r="B387" s="32">
        <f t="shared" si="117"/>
        <v>379</v>
      </c>
      <c r="C387" s="4"/>
      <c r="D387" s="4"/>
      <c r="E387" s="4">
        <v>312007</v>
      </c>
      <c r="F387" s="4"/>
      <c r="G387" s="4" t="s">
        <v>60</v>
      </c>
      <c r="H387" s="26">
        <f>H390+H389+H388</f>
        <v>6000</v>
      </c>
      <c r="I387" s="26">
        <f t="shared" ref="I387" si="132">I390+I389+I388</f>
        <v>-6000</v>
      </c>
      <c r="J387" s="26">
        <f t="shared" si="114"/>
        <v>0</v>
      </c>
    </row>
    <row r="388" spans="2:10" x14ac:dyDescent="0.2">
      <c r="B388" s="32">
        <f t="shared" si="117"/>
        <v>380</v>
      </c>
      <c r="C388" s="5"/>
      <c r="D388" s="5"/>
      <c r="E388" s="5"/>
      <c r="F388" s="5">
        <v>1</v>
      </c>
      <c r="G388" s="5" t="s">
        <v>279</v>
      </c>
      <c r="H388" s="27">
        <v>4000</v>
      </c>
      <c r="I388" s="27">
        <v>-4000</v>
      </c>
      <c r="J388" s="27">
        <f t="shared" si="114"/>
        <v>0</v>
      </c>
    </row>
    <row r="389" spans="2:10" x14ac:dyDescent="0.2">
      <c r="B389" s="32">
        <f t="shared" si="117"/>
        <v>381</v>
      </c>
      <c r="C389" s="5"/>
      <c r="D389" s="5"/>
      <c r="E389" s="5"/>
      <c r="F389" s="5">
        <v>6</v>
      </c>
      <c r="G389" s="5" t="s">
        <v>280</v>
      </c>
      <c r="H389" s="27">
        <v>1000</v>
      </c>
      <c r="I389" s="27">
        <v>-1000</v>
      </c>
      <c r="J389" s="27">
        <f t="shared" si="114"/>
        <v>0</v>
      </c>
    </row>
    <row r="390" spans="2:10" ht="13.5" thickBot="1" x14ac:dyDescent="0.25">
      <c r="B390" s="32">
        <f t="shared" si="117"/>
        <v>382</v>
      </c>
      <c r="C390" s="5"/>
      <c r="D390" s="5"/>
      <c r="E390" s="5"/>
      <c r="F390" s="5">
        <v>8</v>
      </c>
      <c r="G390" s="5" t="s">
        <v>232</v>
      </c>
      <c r="H390" s="27">
        <v>1000</v>
      </c>
      <c r="I390" s="27">
        <v>-1000</v>
      </c>
      <c r="J390" s="27">
        <f t="shared" si="114"/>
        <v>0</v>
      </c>
    </row>
    <row r="391" spans="2:10" ht="15.75" thickBot="1" x14ac:dyDescent="0.3">
      <c r="B391" s="32">
        <f t="shared" si="117"/>
        <v>383</v>
      </c>
      <c r="C391" s="17">
        <v>10</v>
      </c>
      <c r="D391" s="17"/>
      <c r="E391" s="17"/>
      <c r="F391" s="17"/>
      <c r="G391" s="17" t="s">
        <v>257</v>
      </c>
      <c r="H391" s="23">
        <f>H392</f>
        <v>11000</v>
      </c>
      <c r="I391" s="23">
        <f t="shared" ref="I391:I394" si="133">I392</f>
        <v>-11000</v>
      </c>
      <c r="J391" s="23">
        <f t="shared" si="114"/>
        <v>0</v>
      </c>
    </row>
    <row r="392" spans="2:10" x14ac:dyDescent="0.2">
      <c r="B392" s="32">
        <f t="shared" si="117"/>
        <v>384</v>
      </c>
      <c r="C392" s="10">
        <v>310</v>
      </c>
      <c r="D392" s="10"/>
      <c r="E392" s="10"/>
      <c r="F392" s="10"/>
      <c r="G392" s="10" t="s">
        <v>230</v>
      </c>
      <c r="H392" s="24">
        <f>H393</f>
        <v>11000</v>
      </c>
      <c r="I392" s="24">
        <f t="shared" si="133"/>
        <v>-11000</v>
      </c>
      <c r="J392" s="24">
        <f t="shared" si="114"/>
        <v>0</v>
      </c>
    </row>
    <row r="393" spans="2:10" x14ac:dyDescent="0.2">
      <c r="B393" s="32">
        <f t="shared" si="117"/>
        <v>385</v>
      </c>
      <c r="C393" s="3"/>
      <c r="D393" s="3">
        <v>312</v>
      </c>
      <c r="E393" s="3"/>
      <c r="F393" s="3"/>
      <c r="G393" s="3" t="s">
        <v>192</v>
      </c>
      <c r="H393" s="25">
        <f>H394</f>
        <v>11000</v>
      </c>
      <c r="I393" s="25">
        <f t="shared" si="133"/>
        <v>-11000</v>
      </c>
      <c r="J393" s="25">
        <f t="shared" si="114"/>
        <v>0</v>
      </c>
    </row>
    <row r="394" spans="2:10" x14ac:dyDescent="0.2">
      <c r="B394" s="32">
        <f t="shared" si="117"/>
        <v>386</v>
      </c>
      <c r="C394" s="4"/>
      <c r="D394" s="4"/>
      <c r="E394" s="4">
        <v>312007</v>
      </c>
      <c r="F394" s="4"/>
      <c r="G394" s="4" t="s">
        <v>60</v>
      </c>
      <c r="H394" s="26">
        <f>H395</f>
        <v>11000</v>
      </c>
      <c r="I394" s="26">
        <f t="shared" si="133"/>
        <v>-11000</v>
      </c>
      <c r="J394" s="26">
        <f t="shared" si="114"/>
        <v>0</v>
      </c>
    </row>
    <row r="395" spans="2:10" ht="13.5" thickBot="1" x14ac:dyDescent="0.25">
      <c r="B395" s="32">
        <f t="shared" si="117"/>
        <v>387</v>
      </c>
      <c r="C395" s="5"/>
      <c r="D395" s="5"/>
      <c r="E395" s="5"/>
      <c r="F395" s="5" t="s">
        <v>318</v>
      </c>
      <c r="G395" s="5" t="s">
        <v>319</v>
      </c>
      <c r="H395" s="27">
        <v>11000</v>
      </c>
      <c r="I395" s="27">
        <v>-11000</v>
      </c>
      <c r="J395" s="27">
        <f t="shared" si="114"/>
        <v>0</v>
      </c>
    </row>
    <row r="396" spans="2:10" ht="15.75" thickBot="1" x14ac:dyDescent="0.3">
      <c r="B396" s="32">
        <f t="shared" si="117"/>
        <v>388</v>
      </c>
      <c r="C396" s="17">
        <v>11</v>
      </c>
      <c r="D396" s="17"/>
      <c r="E396" s="17"/>
      <c r="F396" s="17"/>
      <c r="G396" s="17" t="s">
        <v>275</v>
      </c>
      <c r="H396" s="23">
        <f>H397</f>
        <v>14645</v>
      </c>
      <c r="I396" s="23">
        <f t="shared" ref="I396:I398" si="134">I397</f>
        <v>-14645</v>
      </c>
      <c r="J396" s="23">
        <f t="shared" si="114"/>
        <v>0</v>
      </c>
    </row>
    <row r="397" spans="2:10" x14ac:dyDescent="0.2">
      <c r="B397" s="32">
        <f t="shared" si="117"/>
        <v>389</v>
      </c>
      <c r="C397" s="10">
        <v>310</v>
      </c>
      <c r="D397" s="10"/>
      <c r="E397" s="10"/>
      <c r="F397" s="10"/>
      <c r="G397" s="10" t="s">
        <v>230</v>
      </c>
      <c r="H397" s="24">
        <f>H398</f>
        <v>14645</v>
      </c>
      <c r="I397" s="24">
        <f t="shared" si="134"/>
        <v>-14645</v>
      </c>
      <c r="J397" s="24">
        <f t="shared" si="114"/>
        <v>0</v>
      </c>
    </row>
    <row r="398" spans="2:10" x14ac:dyDescent="0.2">
      <c r="B398" s="32">
        <f t="shared" si="117"/>
        <v>390</v>
      </c>
      <c r="C398" s="3"/>
      <c r="D398" s="3">
        <v>312</v>
      </c>
      <c r="E398" s="3"/>
      <c r="F398" s="3"/>
      <c r="G398" s="3" t="s">
        <v>192</v>
      </c>
      <c r="H398" s="25">
        <f>H399</f>
        <v>14645</v>
      </c>
      <c r="I398" s="25">
        <f t="shared" si="134"/>
        <v>-14645</v>
      </c>
      <c r="J398" s="25">
        <f t="shared" si="114"/>
        <v>0</v>
      </c>
    </row>
    <row r="399" spans="2:10" x14ac:dyDescent="0.2">
      <c r="B399" s="32">
        <f t="shared" si="117"/>
        <v>391</v>
      </c>
      <c r="C399" s="4"/>
      <c r="D399" s="4"/>
      <c r="E399" s="4">
        <v>312007</v>
      </c>
      <c r="F399" s="4"/>
      <c r="G399" s="4" t="s">
        <v>60</v>
      </c>
      <c r="H399" s="26">
        <f>H401+H400</f>
        <v>14645</v>
      </c>
      <c r="I399" s="26">
        <f t="shared" ref="I399" si="135">I401+I400</f>
        <v>-14645</v>
      </c>
      <c r="J399" s="26">
        <f t="shared" si="114"/>
        <v>0</v>
      </c>
    </row>
    <row r="400" spans="2:10" x14ac:dyDescent="0.2">
      <c r="B400" s="32">
        <f t="shared" si="117"/>
        <v>392</v>
      </c>
      <c r="C400" s="5"/>
      <c r="D400" s="5"/>
      <c r="E400" s="5"/>
      <c r="F400" s="5">
        <v>6001</v>
      </c>
      <c r="G400" s="5" t="s">
        <v>277</v>
      </c>
      <c r="H400" s="27">
        <v>12000</v>
      </c>
      <c r="I400" s="27">
        <v>-12000</v>
      </c>
      <c r="J400" s="27">
        <f t="shared" si="114"/>
        <v>0</v>
      </c>
    </row>
    <row r="401" spans="2:10" ht="13.5" thickBot="1" x14ac:dyDescent="0.25">
      <c r="B401" s="32">
        <f t="shared" si="117"/>
        <v>393</v>
      </c>
      <c r="C401" s="5"/>
      <c r="D401" s="5"/>
      <c r="E401" s="5"/>
      <c r="F401" s="5">
        <v>6002</v>
      </c>
      <c r="G401" s="5" t="s">
        <v>276</v>
      </c>
      <c r="H401" s="27">
        <v>2645</v>
      </c>
      <c r="I401" s="27">
        <v>-2645</v>
      </c>
      <c r="J401" s="27">
        <f t="shared" si="114"/>
        <v>0</v>
      </c>
    </row>
    <row r="402" spans="2:10" ht="15.75" thickBot="1" x14ac:dyDescent="0.3">
      <c r="B402" s="32">
        <f t="shared" si="117"/>
        <v>394</v>
      </c>
      <c r="C402" s="17">
        <v>12</v>
      </c>
      <c r="D402" s="17"/>
      <c r="E402" s="17"/>
      <c r="F402" s="17"/>
      <c r="G402" s="17" t="s">
        <v>274</v>
      </c>
      <c r="H402" s="23">
        <f>H403</f>
        <v>8200</v>
      </c>
      <c r="I402" s="23">
        <f t="shared" ref="I402:I405" si="136">I403</f>
        <v>-8200</v>
      </c>
      <c r="J402" s="23">
        <f t="shared" si="114"/>
        <v>0</v>
      </c>
    </row>
    <row r="403" spans="2:10" x14ac:dyDescent="0.2">
      <c r="B403" s="32">
        <f t="shared" si="117"/>
        <v>395</v>
      </c>
      <c r="C403" s="10">
        <v>310</v>
      </c>
      <c r="D403" s="10"/>
      <c r="E403" s="10"/>
      <c r="F403" s="10"/>
      <c r="G403" s="10" t="s">
        <v>230</v>
      </c>
      <c r="H403" s="24">
        <f>H404</f>
        <v>8200</v>
      </c>
      <c r="I403" s="24">
        <f t="shared" si="136"/>
        <v>-8200</v>
      </c>
      <c r="J403" s="24">
        <f t="shared" si="114"/>
        <v>0</v>
      </c>
    </row>
    <row r="404" spans="2:10" x14ac:dyDescent="0.2">
      <c r="B404" s="32">
        <f t="shared" si="117"/>
        <v>396</v>
      </c>
      <c r="C404" s="3"/>
      <c r="D404" s="3">
        <v>312</v>
      </c>
      <c r="E404" s="3"/>
      <c r="F404" s="3"/>
      <c r="G404" s="3" t="s">
        <v>192</v>
      </c>
      <c r="H404" s="25">
        <f>H405</f>
        <v>8200</v>
      </c>
      <c r="I404" s="25">
        <f t="shared" si="136"/>
        <v>-8200</v>
      </c>
      <c r="J404" s="25">
        <f t="shared" si="114"/>
        <v>0</v>
      </c>
    </row>
    <row r="405" spans="2:10" x14ac:dyDescent="0.2">
      <c r="B405" s="32">
        <f t="shared" si="117"/>
        <v>397</v>
      </c>
      <c r="C405" s="4"/>
      <c r="D405" s="4"/>
      <c r="E405" s="4">
        <v>312007</v>
      </c>
      <c r="F405" s="4"/>
      <c r="G405" s="4" t="s">
        <v>60</v>
      </c>
      <c r="H405" s="26">
        <f>H406</f>
        <v>8200</v>
      </c>
      <c r="I405" s="26">
        <f t="shared" si="136"/>
        <v>-8200</v>
      </c>
      <c r="J405" s="26">
        <f t="shared" si="114"/>
        <v>0</v>
      </c>
    </row>
    <row r="406" spans="2:10" ht="13.5" thickBot="1" x14ac:dyDescent="0.25">
      <c r="B406" s="32">
        <f t="shared" si="117"/>
        <v>398</v>
      </c>
      <c r="C406" s="5"/>
      <c r="D406" s="5"/>
      <c r="E406" s="5"/>
      <c r="F406" s="5" t="s">
        <v>73</v>
      </c>
      <c r="G406" s="5" t="s">
        <v>231</v>
      </c>
      <c r="H406" s="27">
        <v>8200</v>
      </c>
      <c r="I406" s="27">
        <v>-8200</v>
      </c>
      <c r="J406" s="27">
        <f t="shared" si="114"/>
        <v>0</v>
      </c>
    </row>
    <row r="407" spans="2:10" ht="15.75" thickBot="1" x14ac:dyDescent="0.3">
      <c r="B407" s="32">
        <f t="shared" si="117"/>
        <v>399</v>
      </c>
      <c r="C407" s="17">
        <v>13</v>
      </c>
      <c r="D407" s="17"/>
      <c r="E407" s="17"/>
      <c r="F407" s="17"/>
      <c r="G407" s="17" t="s">
        <v>256</v>
      </c>
      <c r="H407" s="23">
        <f>H408</f>
        <v>8300</v>
      </c>
      <c r="I407" s="23">
        <f t="shared" ref="I407:I411" si="137">I408</f>
        <v>-7462</v>
      </c>
      <c r="J407" s="23">
        <f t="shared" si="114"/>
        <v>838</v>
      </c>
    </row>
    <row r="408" spans="2:10" x14ac:dyDescent="0.2">
      <c r="B408" s="32">
        <f t="shared" si="117"/>
        <v>400</v>
      </c>
      <c r="C408" s="10">
        <v>310</v>
      </c>
      <c r="D408" s="10"/>
      <c r="E408" s="10"/>
      <c r="F408" s="10"/>
      <c r="G408" s="10" t="s">
        <v>230</v>
      </c>
      <c r="H408" s="24">
        <f>H411</f>
        <v>8300</v>
      </c>
      <c r="I408" s="24">
        <f>I411+I409</f>
        <v>-7462</v>
      </c>
      <c r="J408" s="24">
        <f t="shared" si="114"/>
        <v>838</v>
      </c>
    </row>
    <row r="409" spans="2:10" x14ac:dyDescent="0.2">
      <c r="B409" s="32">
        <f t="shared" si="117"/>
        <v>401</v>
      </c>
      <c r="C409" s="3"/>
      <c r="D409" s="3">
        <v>311</v>
      </c>
      <c r="E409" s="3"/>
      <c r="F409" s="3"/>
      <c r="G409" s="3" t="s">
        <v>228</v>
      </c>
      <c r="H409" s="25">
        <f>H410</f>
        <v>0</v>
      </c>
      <c r="I409" s="25">
        <f t="shared" ref="I409" si="138">I410</f>
        <v>838</v>
      </c>
      <c r="J409" s="25">
        <f t="shared" ref="J409:J410" si="139">H409+I409</f>
        <v>838</v>
      </c>
    </row>
    <row r="410" spans="2:10" x14ac:dyDescent="0.2">
      <c r="B410" s="32">
        <f t="shared" si="117"/>
        <v>402</v>
      </c>
      <c r="C410" s="4"/>
      <c r="D410" s="4"/>
      <c r="E410" s="4"/>
      <c r="F410" s="4"/>
      <c r="G410" s="4" t="s">
        <v>673</v>
      </c>
      <c r="H410" s="26">
        <v>0</v>
      </c>
      <c r="I410" s="26">
        <v>838</v>
      </c>
      <c r="J410" s="26">
        <f t="shared" si="139"/>
        <v>838</v>
      </c>
    </row>
    <row r="411" spans="2:10" x14ac:dyDescent="0.2">
      <c r="B411" s="32">
        <f t="shared" si="117"/>
        <v>403</v>
      </c>
      <c r="C411" s="3"/>
      <c r="D411" s="3">
        <v>312</v>
      </c>
      <c r="E411" s="3"/>
      <c r="F411" s="3"/>
      <c r="G411" s="3" t="s">
        <v>192</v>
      </c>
      <c r="H411" s="25">
        <f>H412</f>
        <v>8300</v>
      </c>
      <c r="I411" s="25">
        <f t="shared" si="137"/>
        <v>-8300</v>
      </c>
      <c r="J411" s="25">
        <f t="shared" ref="J411:J415" si="140">H411+I411</f>
        <v>0</v>
      </c>
    </row>
    <row r="412" spans="2:10" x14ac:dyDescent="0.2">
      <c r="B412" s="32">
        <f t="shared" si="117"/>
        <v>404</v>
      </c>
      <c r="C412" s="4"/>
      <c r="D412" s="4"/>
      <c r="E412" s="4">
        <v>312007</v>
      </c>
      <c r="F412" s="4"/>
      <c r="G412" s="4" t="s">
        <v>60</v>
      </c>
      <c r="H412" s="26">
        <f>H414+H413</f>
        <v>8300</v>
      </c>
      <c r="I412" s="26">
        <f t="shared" ref="I412" si="141">I414+I413</f>
        <v>-8300</v>
      </c>
      <c r="J412" s="26">
        <f t="shared" si="140"/>
        <v>0</v>
      </c>
    </row>
    <row r="413" spans="2:10" x14ac:dyDescent="0.2">
      <c r="B413" s="32">
        <f t="shared" si="117"/>
        <v>405</v>
      </c>
      <c r="C413" s="5"/>
      <c r="D413" s="5"/>
      <c r="E413" s="5"/>
      <c r="F413" s="5">
        <v>601</v>
      </c>
      <c r="G413" s="5" t="s">
        <v>231</v>
      </c>
      <c r="H413" s="27">
        <v>4100</v>
      </c>
      <c r="I413" s="27">
        <v>-4100</v>
      </c>
      <c r="J413" s="27">
        <f t="shared" si="140"/>
        <v>0</v>
      </c>
    </row>
    <row r="414" spans="2:10" x14ac:dyDescent="0.2">
      <c r="B414" s="32">
        <f t="shared" si="117"/>
        <v>406</v>
      </c>
      <c r="C414" s="5"/>
      <c r="D414" s="5"/>
      <c r="E414" s="5"/>
      <c r="F414" s="5">
        <v>602</v>
      </c>
      <c r="G414" s="5" t="s">
        <v>231</v>
      </c>
      <c r="H414" s="27">
        <v>4200</v>
      </c>
      <c r="I414" s="27">
        <v>-4200</v>
      </c>
      <c r="J414" s="27">
        <f t="shared" si="140"/>
        <v>0</v>
      </c>
    </row>
    <row r="415" spans="2:10" ht="15" x14ac:dyDescent="0.2">
      <c r="B415" s="32">
        <f>B414+1</f>
        <v>407</v>
      </c>
      <c r="C415" s="1"/>
      <c r="D415" s="1"/>
      <c r="E415" s="1"/>
      <c r="F415" s="1"/>
      <c r="G415" s="1" t="s">
        <v>120</v>
      </c>
      <c r="H415" s="28">
        <f>H341+H24+H8</f>
        <v>34567428</v>
      </c>
      <c r="I415" s="28">
        <f>I341+I24+I8</f>
        <v>57362</v>
      </c>
      <c r="J415" s="28">
        <f t="shared" si="140"/>
        <v>34624790</v>
      </c>
    </row>
    <row r="417" spans="2:10" ht="15" customHeight="1" x14ac:dyDescent="0.2">
      <c r="B417" s="200" t="s">
        <v>171</v>
      </c>
      <c r="C417" s="201"/>
      <c r="D417" s="201"/>
      <c r="E417" s="201"/>
      <c r="F417" s="201"/>
      <c r="G417" s="202"/>
      <c r="H417" s="218" t="s">
        <v>601</v>
      </c>
      <c r="I417" s="218" t="s">
        <v>657</v>
      </c>
      <c r="J417" s="218" t="s">
        <v>658</v>
      </c>
    </row>
    <row r="418" spans="2:10" ht="18" customHeight="1" x14ac:dyDescent="0.2">
      <c r="B418" s="203"/>
      <c r="C418" s="204"/>
      <c r="D418" s="204"/>
      <c r="E418" s="204"/>
      <c r="F418" s="204"/>
      <c r="G418" s="205"/>
      <c r="H418" s="219"/>
      <c r="I418" s="219"/>
      <c r="J418" s="219"/>
    </row>
    <row r="419" spans="2:10" ht="12.75" customHeight="1" x14ac:dyDescent="0.2">
      <c r="B419" s="206" t="s">
        <v>113</v>
      </c>
      <c r="C419" s="208" t="s">
        <v>115</v>
      </c>
      <c r="D419" s="210" t="s">
        <v>116</v>
      </c>
      <c r="E419" s="210" t="s">
        <v>118</v>
      </c>
      <c r="F419" s="210" t="s">
        <v>119</v>
      </c>
      <c r="G419" s="215" t="s">
        <v>117</v>
      </c>
      <c r="H419" s="219"/>
      <c r="I419" s="219"/>
      <c r="J419" s="219"/>
    </row>
    <row r="420" spans="2:10" ht="13.5" customHeight="1" thickBot="1" x14ac:dyDescent="0.25">
      <c r="B420" s="207"/>
      <c r="C420" s="209"/>
      <c r="D420" s="211"/>
      <c r="E420" s="211"/>
      <c r="F420" s="211"/>
      <c r="G420" s="216"/>
      <c r="H420" s="220"/>
      <c r="I420" s="220"/>
      <c r="J420" s="220"/>
    </row>
    <row r="421" spans="2:10" ht="17.25" thickTop="1" thickBot="1" x14ac:dyDescent="0.3">
      <c r="B421" s="32">
        <v>1</v>
      </c>
      <c r="C421" s="16">
        <v>200</v>
      </c>
      <c r="D421" s="16"/>
      <c r="E421" s="16"/>
      <c r="F421" s="16"/>
      <c r="G421" s="16" t="s">
        <v>170</v>
      </c>
      <c r="H421" s="22">
        <f>H422</f>
        <v>650000</v>
      </c>
      <c r="I421" s="22">
        <f t="shared" ref="I421:I422" si="142">I422</f>
        <v>0</v>
      </c>
      <c r="J421" s="22">
        <f t="shared" ref="J421:J436" si="143">H421+I421</f>
        <v>650000</v>
      </c>
    </row>
    <row r="422" spans="2:10" ht="15.75" thickBot="1" x14ac:dyDescent="0.3">
      <c r="B422" s="32">
        <f>B421+1</f>
        <v>2</v>
      </c>
      <c r="C422" s="17"/>
      <c r="D422" s="17"/>
      <c r="E422" s="17"/>
      <c r="F422" s="17"/>
      <c r="G422" s="17" t="s">
        <v>286</v>
      </c>
      <c r="H422" s="23">
        <f>H423</f>
        <v>650000</v>
      </c>
      <c r="I422" s="23">
        <f t="shared" si="142"/>
        <v>0</v>
      </c>
      <c r="J422" s="23">
        <f t="shared" si="143"/>
        <v>650000</v>
      </c>
    </row>
    <row r="423" spans="2:10" x14ac:dyDescent="0.2">
      <c r="B423" s="32">
        <f>B422+1</f>
        <v>3</v>
      </c>
      <c r="C423" s="10">
        <v>230</v>
      </c>
      <c r="D423" s="10"/>
      <c r="E423" s="10"/>
      <c r="F423" s="10"/>
      <c r="G423" s="10" t="s">
        <v>171</v>
      </c>
      <c r="H423" s="24">
        <f>H426+H424</f>
        <v>650000</v>
      </c>
      <c r="I423" s="24">
        <f t="shared" ref="I423" si="144">I426+I424</f>
        <v>0</v>
      </c>
      <c r="J423" s="24">
        <f t="shared" si="143"/>
        <v>650000</v>
      </c>
    </row>
    <row r="424" spans="2:10" x14ac:dyDescent="0.2">
      <c r="B424" s="32">
        <f>B423+1</f>
        <v>4</v>
      </c>
      <c r="C424" s="3"/>
      <c r="D424" s="3">
        <v>231</v>
      </c>
      <c r="E424" s="3"/>
      <c r="F424" s="3"/>
      <c r="G424" s="3" t="s">
        <v>41</v>
      </c>
      <c r="H424" s="25">
        <f>H425</f>
        <v>0</v>
      </c>
      <c r="I424" s="25">
        <f t="shared" ref="I424" si="145">I425</f>
        <v>0</v>
      </c>
      <c r="J424" s="25">
        <f t="shared" si="143"/>
        <v>0</v>
      </c>
    </row>
    <row r="425" spans="2:10" x14ac:dyDescent="0.2">
      <c r="B425" s="32">
        <f t="shared" ref="B425:B436" si="146">B424+1</f>
        <v>5</v>
      </c>
      <c r="C425" s="4"/>
      <c r="D425" s="4"/>
      <c r="E425" s="4">
        <v>231</v>
      </c>
      <c r="F425" s="4"/>
      <c r="G425" s="4" t="s">
        <v>41</v>
      </c>
      <c r="H425" s="26">
        <v>0</v>
      </c>
      <c r="I425" s="26"/>
      <c r="J425" s="26">
        <f t="shared" si="143"/>
        <v>0</v>
      </c>
    </row>
    <row r="426" spans="2:10" x14ac:dyDescent="0.2">
      <c r="B426" s="32">
        <f t="shared" si="146"/>
        <v>6</v>
      </c>
      <c r="C426" s="3"/>
      <c r="D426" s="3">
        <v>233</v>
      </c>
      <c r="E426" s="3"/>
      <c r="F426" s="3"/>
      <c r="G426" s="3" t="s">
        <v>172</v>
      </c>
      <c r="H426" s="25">
        <f>H427</f>
        <v>650000</v>
      </c>
      <c r="I426" s="25">
        <f t="shared" ref="I426" si="147">I427</f>
        <v>0</v>
      </c>
      <c r="J426" s="25">
        <f t="shared" si="143"/>
        <v>650000</v>
      </c>
    </row>
    <row r="427" spans="2:10" x14ac:dyDescent="0.2">
      <c r="B427" s="32">
        <f t="shared" si="146"/>
        <v>7</v>
      </c>
      <c r="C427" s="4"/>
      <c r="D427" s="4"/>
      <c r="E427" s="4">
        <v>233001</v>
      </c>
      <c r="F427" s="4"/>
      <c r="G427" s="4" t="s">
        <v>173</v>
      </c>
      <c r="H427" s="26">
        <f>300000+260000+90000</f>
        <v>650000</v>
      </c>
      <c r="I427" s="26"/>
      <c r="J427" s="26">
        <f t="shared" si="143"/>
        <v>650000</v>
      </c>
    </row>
    <row r="428" spans="2:10" ht="16.5" thickBot="1" x14ac:dyDescent="0.3">
      <c r="B428" s="32">
        <f t="shared" si="146"/>
        <v>8</v>
      </c>
      <c r="C428" s="16">
        <v>300</v>
      </c>
      <c r="D428" s="16"/>
      <c r="E428" s="16"/>
      <c r="F428" s="16"/>
      <c r="G428" s="16" t="s">
        <v>229</v>
      </c>
      <c r="H428" s="22">
        <f>H429</f>
        <v>0</v>
      </c>
      <c r="I428" s="22"/>
      <c r="J428" s="22">
        <f t="shared" si="143"/>
        <v>0</v>
      </c>
    </row>
    <row r="429" spans="2:10" ht="15.75" thickBot="1" x14ac:dyDescent="0.3">
      <c r="B429" s="32">
        <f t="shared" si="146"/>
        <v>9</v>
      </c>
      <c r="C429" s="17"/>
      <c r="D429" s="17"/>
      <c r="E429" s="17"/>
      <c r="F429" s="17"/>
      <c r="G429" s="17" t="s">
        <v>286</v>
      </c>
      <c r="H429" s="23">
        <f>H430</f>
        <v>0</v>
      </c>
      <c r="I429" s="23">
        <f t="shared" ref="I429" si="148">I430</f>
        <v>0</v>
      </c>
      <c r="J429" s="23">
        <f t="shared" si="143"/>
        <v>0</v>
      </c>
    </row>
    <row r="430" spans="2:10" x14ac:dyDescent="0.2">
      <c r="B430" s="32">
        <f t="shared" si="146"/>
        <v>10</v>
      </c>
      <c r="C430" s="10">
        <v>320</v>
      </c>
      <c r="D430" s="10"/>
      <c r="E430" s="10"/>
      <c r="F430" s="10"/>
      <c r="G430" s="10" t="s">
        <v>61</v>
      </c>
      <c r="H430" s="24">
        <f>H433+H431</f>
        <v>0</v>
      </c>
      <c r="I430" s="24">
        <f t="shared" ref="I430" si="149">I433+I431</f>
        <v>0</v>
      </c>
      <c r="J430" s="24">
        <f t="shared" si="143"/>
        <v>0</v>
      </c>
    </row>
    <row r="431" spans="2:10" x14ac:dyDescent="0.2">
      <c r="B431" s="32">
        <f t="shared" si="146"/>
        <v>11</v>
      </c>
      <c r="C431" s="3"/>
      <c r="D431" s="3">
        <v>321</v>
      </c>
      <c r="E431" s="3"/>
      <c r="F431" s="3"/>
      <c r="G431" s="3" t="s">
        <v>228</v>
      </c>
      <c r="H431" s="25">
        <f>H432</f>
        <v>0</v>
      </c>
      <c r="I431" s="25">
        <f t="shared" ref="I431" si="150">I432</f>
        <v>0</v>
      </c>
      <c r="J431" s="25">
        <f t="shared" si="143"/>
        <v>0</v>
      </c>
    </row>
    <row r="432" spans="2:10" x14ac:dyDescent="0.2">
      <c r="B432" s="32">
        <f t="shared" si="146"/>
        <v>12</v>
      </c>
      <c r="C432" s="4"/>
      <c r="D432" s="4"/>
      <c r="E432" s="4">
        <v>321</v>
      </c>
      <c r="F432" s="4"/>
      <c r="G432" s="4" t="s">
        <v>228</v>
      </c>
      <c r="H432" s="26">
        <v>0</v>
      </c>
      <c r="I432" s="26"/>
      <c r="J432" s="26">
        <f t="shared" si="143"/>
        <v>0</v>
      </c>
    </row>
    <row r="433" spans="2:10" x14ac:dyDescent="0.2">
      <c r="B433" s="32">
        <f t="shared" si="146"/>
        <v>13</v>
      </c>
      <c r="C433" s="3"/>
      <c r="D433" s="3">
        <v>322</v>
      </c>
      <c r="E433" s="3"/>
      <c r="F433" s="3"/>
      <c r="G433" s="3" t="s">
        <v>192</v>
      </c>
      <c r="H433" s="25">
        <f>H434</f>
        <v>0</v>
      </c>
      <c r="I433" s="25">
        <f t="shared" ref="I433:I434" si="151">I434</f>
        <v>0</v>
      </c>
      <c r="J433" s="25">
        <f t="shared" si="143"/>
        <v>0</v>
      </c>
    </row>
    <row r="434" spans="2:10" x14ac:dyDescent="0.2">
      <c r="B434" s="32">
        <f t="shared" si="146"/>
        <v>14</v>
      </c>
      <c r="C434" s="4"/>
      <c r="D434" s="4"/>
      <c r="E434" s="4">
        <v>322001</v>
      </c>
      <c r="F434" s="4"/>
      <c r="G434" s="4" t="s">
        <v>62</v>
      </c>
      <c r="H434" s="26">
        <f>H435</f>
        <v>0</v>
      </c>
      <c r="I434" s="26">
        <f t="shared" si="151"/>
        <v>0</v>
      </c>
      <c r="J434" s="26">
        <f t="shared" si="143"/>
        <v>0</v>
      </c>
    </row>
    <row r="435" spans="2:10" x14ac:dyDescent="0.2">
      <c r="B435" s="32">
        <f t="shared" si="146"/>
        <v>15</v>
      </c>
      <c r="C435" s="5"/>
      <c r="D435" s="5"/>
      <c r="E435" s="5"/>
      <c r="F435" s="5" t="s">
        <v>73</v>
      </c>
      <c r="G435" s="5" t="s">
        <v>62</v>
      </c>
      <c r="H435" s="27"/>
      <c r="I435" s="27"/>
      <c r="J435" s="27">
        <f t="shared" si="143"/>
        <v>0</v>
      </c>
    </row>
    <row r="436" spans="2:10" ht="15" x14ac:dyDescent="0.2">
      <c r="B436" s="32">
        <f t="shared" si="146"/>
        <v>16</v>
      </c>
      <c r="C436" s="1"/>
      <c r="D436" s="1"/>
      <c r="E436" s="1"/>
      <c r="F436" s="1"/>
      <c r="G436" s="1" t="s">
        <v>290</v>
      </c>
      <c r="H436" s="28">
        <f>H428+H421</f>
        <v>650000</v>
      </c>
      <c r="I436" s="28">
        <f t="shared" ref="I436" si="152">I428+I421</f>
        <v>0</v>
      </c>
      <c r="J436" s="28">
        <f t="shared" si="143"/>
        <v>650000</v>
      </c>
    </row>
    <row r="438" spans="2:10" ht="15" customHeight="1" x14ac:dyDescent="0.2">
      <c r="B438" s="200" t="s">
        <v>291</v>
      </c>
      <c r="C438" s="201"/>
      <c r="D438" s="201"/>
      <c r="E438" s="201"/>
      <c r="F438" s="201"/>
      <c r="G438" s="202"/>
      <c r="H438" s="218" t="s">
        <v>601</v>
      </c>
      <c r="I438" s="218" t="s">
        <v>657</v>
      </c>
      <c r="J438" s="218" t="s">
        <v>658</v>
      </c>
    </row>
    <row r="439" spans="2:10" ht="21" customHeight="1" x14ac:dyDescent="0.2">
      <c r="B439" s="203"/>
      <c r="C439" s="204"/>
      <c r="D439" s="204"/>
      <c r="E439" s="204"/>
      <c r="F439" s="204"/>
      <c r="G439" s="205"/>
      <c r="H439" s="219"/>
      <c r="I439" s="219"/>
      <c r="J439" s="219"/>
    </row>
    <row r="440" spans="2:10" ht="16.5" customHeight="1" x14ac:dyDescent="0.2">
      <c r="B440" s="206" t="s">
        <v>113</v>
      </c>
      <c r="C440" s="208" t="s">
        <v>115</v>
      </c>
      <c r="D440" s="210" t="s">
        <v>116</v>
      </c>
      <c r="E440" s="210" t="s">
        <v>118</v>
      </c>
      <c r="F440" s="210" t="s">
        <v>119</v>
      </c>
      <c r="G440" s="215" t="s">
        <v>117</v>
      </c>
      <c r="H440" s="219"/>
      <c r="I440" s="219"/>
      <c r="J440" s="219"/>
    </row>
    <row r="441" spans="2:10" ht="22.5" customHeight="1" thickBot="1" x14ac:dyDescent="0.25">
      <c r="B441" s="207"/>
      <c r="C441" s="209"/>
      <c r="D441" s="211"/>
      <c r="E441" s="211"/>
      <c r="F441" s="211"/>
      <c r="G441" s="216"/>
      <c r="H441" s="220"/>
      <c r="I441" s="220"/>
      <c r="J441" s="220"/>
    </row>
    <row r="442" spans="2:10" ht="15.75" thickTop="1" x14ac:dyDescent="0.2">
      <c r="B442" s="33">
        <v>1</v>
      </c>
      <c r="C442" s="1"/>
      <c r="D442" s="1"/>
      <c r="E442" s="1"/>
      <c r="F442" s="1"/>
      <c r="G442" s="1" t="s">
        <v>120</v>
      </c>
      <c r="H442" s="28">
        <f>H415</f>
        <v>34567428</v>
      </c>
      <c r="I442" s="28">
        <f t="shared" ref="I442" si="153">I415</f>
        <v>57362</v>
      </c>
      <c r="J442" s="28">
        <f t="shared" ref="J442:J444" si="154">H442+I442</f>
        <v>34624790</v>
      </c>
    </row>
    <row r="443" spans="2:10" ht="15.75" thickBot="1" x14ac:dyDescent="0.25">
      <c r="B443" s="33">
        <v>2</v>
      </c>
      <c r="C443" s="1"/>
      <c r="D443" s="1"/>
      <c r="E443" s="1"/>
      <c r="F443" s="1"/>
      <c r="G443" s="1" t="s">
        <v>290</v>
      </c>
      <c r="H443" s="28">
        <f>H436</f>
        <v>650000</v>
      </c>
      <c r="I443" s="28">
        <f t="shared" ref="I443" si="155">I436</f>
        <v>0</v>
      </c>
      <c r="J443" s="28">
        <f t="shared" si="154"/>
        <v>650000</v>
      </c>
    </row>
    <row r="444" spans="2:10" ht="15.75" thickTop="1" x14ac:dyDescent="0.2">
      <c r="B444" s="34">
        <v>3</v>
      </c>
      <c r="C444" s="12"/>
      <c r="D444" s="12"/>
      <c r="E444" s="12"/>
      <c r="F444" s="12"/>
      <c r="G444" s="12" t="s">
        <v>291</v>
      </c>
      <c r="H444" s="29">
        <f>H415+H436</f>
        <v>35217428</v>
      </c>
      <c r="I444" s="29">
        <f t="shared" ref="I444" si="156">I415+I436</f>
        <v>57362</v>
      </c>
      <c r="J444" s="29">
        <f t="shared" si="154"/>
        <v>35274790</v>
      </c>
    </row>
  </sheetData>
  <mergeCells count="34">
    <mergeCell ref="J438:J441"/>
    <mergeCell ref="A46:A47"/>
    <mergeCell ref="B417:G418"/>
    <mergeCell ref="B419:B420"/>
    <mergeCell ref="C419:C420"/>
    <mergeCell ref="D419:D420"/>
    <mergeCell ref="B3:J3"/>
    <mergeCell ref="I4:I7"/>
    <mergeCell ref="J4:J7"/>
    <mergeCell ref="I417:I420"/>
    <mergeCell ref="H438:H441"/>
    <mergeCell ref="H4:H7"/>
    <mergeCell ref="H417:H420"/>
    <mergeCell ref="B4:G5"/>
    <mergeCell ref="F6:F7"/>
    <mergeCell ref="G6:G7"/>
    <mergeCell ref="B6:B7"/>
    <mergeCell ref="C6:C7"/>
    <mergeCell ref="D6:D7"/>
    <mergeCell ref="E6:E7"/>
    <mergeCell ref="J417:J420"/>
    <mergeCell ref="I438:I441"/>
    <mergeCell ref="A7:A15"/>
    <mergeCell ref="B438:G439"/>
    <mergeCell ref="B440:B441"/>
    <mergeCell ref="C440:C441"/>
    <mergeCell ref="D440:D441"/>
    <mergeCell ref="E440:E441"/>
    <mergeCell ref="F74:F84"/>
    <mergeCell ref="F440:F441"/>
    <mergeCell ref="G440:G441"/>
    <mergeCell ref="E419:E420"/>
    <mergeCell ref="F419:F420"/>
    <mergeCell ref="G419:G420"/>
  </mergeCells>
  <phoneticPr fontId="1" type="noConversion"/>
  <pageMargins left="0.55118110236220474" right="0.35433070866141736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T2182"/>
  <sheetViews>
    <sheetView topLeftCell="A1946" zoomScale="90" zoomScaleNormal="90" workbookViewId="0">
      <selection activeCell="H1987" sqref="H1987"/>
    </sheetView>
  </sheetViews>
  <sheetFormatPr defaultRowHeight="12.75" x14ac:dyDescent="0.2"/>
  <cols>
    <col min="1" max="1" width="6.140625" style="20" customWidth="1"/>
    <col min="2" max="2" width="4.85546875" style="73" customWidth="1"/>
    <col min="3" max="3" width="4" customWidth="1"/>
    <col min="4" max="4" width="2.7109375" customWidth="1"/>
    <col min="5" max="5" width="6.28515625" customWidth="1"/>
    <col min="6" max="6" width="7.140625" style="19" customWidth="1"/>
    <col min="7" max="7" width="4.42578125" customWidth="1"/>
    <col min="8" max="8" width="44" customWidth="1"/>
    <col min="9" max="9" width="12.42578125" style="21" customWidth="1"/>
    <col min="10" max="10" width="10.5703125" style="21" customWidth="1"/>
    <col min="11" max="11" width="12.42578125" style="21" customWidth="1"/>
    <col min="12" max="12" width="0.5703125" style="175" customWidth="1"/>
    <col min="13" max="13" width="11.42578125" style="21" customWidth="1"/>
    <col min="14" max="14" width="10.85546875" style="21" customWidth="1"/>
    <col min="15" max="15" width="12" style="21" customWidth="1"/>
    <col min="16" max="16" width="0.5703125" style="175" customWidth="1"/>
    <col min="17" max="17" width="12.85546875" style="21" customWidth="1"/>
    <col min="18" max="18" width="10.85546875" customWidth="1"/>
    <col min="19" max="19" width="12.140625" customWidth="1"/>
  </cols>
  <sheetData>
    <row r="1" spans="2:19" ht="36" customHeight="1" x14ac:dyDescent="0.35">
      <c r="B1" s="234" t="s">
        <v>284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2:19" ht="12.75" customHeight="1" x14ac:dyDescent="0.2">
      <c r="B2" s="236" t="s">
        <v>285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82"/>
      <c r="O2" s="182"/>
      <c r="P2" s="183"/>
      <c r="Q2" s="222" t="s">
        <v>602</v>
      </c>
      <c r="R2" s="222" t="s">
        <v>657</v>
      </c>
      <c r="S2" s="222" t="s">
        <v>602</v>
      </c>
    </row>
    <row r="3" spans="2:19" ht="12.75" customHeight="1" x14ac:dyDescent="0.2">
      <c r="B3" s="238" t="s">
        <v>113</v>
      </c>
      <c r="C3" s="225" t="s">
        <v>121</v>
      </c>
      <c r="D3" s="225" t="s">
        <v>122</v>
      </c>
      <c r="E3" s="231" t="s">
        <v>126</v>
      </c>
      <c r="F3" s="225" t="s">
        <v>123</v>
      </c>
      <c r="G3" s="225" t="s">
        <v>124</v>
      </c>
      <c r="H3" s="240" t="s">
        <v>125</v>
      </c>
      <c r="I3" s="222" t="s">
        <v>599</v>
      </c>
      <c r="J3" s="222" t="s">
        <v>657</v>
      </c>
      <c r="K3" s="222" t="s">
        <v>659</v>
      </c>
      <c r="L3" s="168"/>
      <c r="M3" s="222" t="s">
        <v>600</v>
      </c>
      <c r="N3" s="222" t="s">
        <v>657</v>
      </c>
      <c r="O3" s="222" t="s">
        <v>660</v>
      </c>
      <c r="P3" s="169"/>
      <c r="Q3" s="223"/>
      <c r="R3" s="223"/>
      <c r="S3" s="223"/>
    </row>
    <row r="4" spans="2:19" x14ac:dyDescent="0.2">
      <c r="B4" s="238"/>
      <c r="C4" s="225"/>
      <c r="D4" s="225"/>
      <c r="E4" s="232"/>
      <c r="F4" s="225"/>
      <c r="G4" s="225"/>
      <c r="H4" s="240"/>
      <c r="I4" s="223"/>
      <c r="J4" s="223"/>
      <c r="K4" s="223"/>
      <c r="L4" s="169"/>
      <c r="M4" s="223"/>
      <c r="N4" s="223"/>
      <c r="O4" s="223"/>
      <c r="P4" s="169"/>
      <c r="Q4" s="223"/>
      <c r="R4" s="223"/>
      <c r="S4" s="223"/>
    </row>
    <row r="5" spans="2:19" x14ac:dyDescent="0.2">
      <c r="B5" s="238"/>
      <c r="C5" s="225"/>
      <c r="D5" s="225"/>
      <c r="E5" s="232"/>
      <c r="F5" s="225"/>
      <c r="G5" s="225"/>
      <c r="H5" s="240"/>
      <c r="I5" s="223"/>
      <c r="J5" s="223"/>
      <c r="K5" s="223"/>
      <c r="L5" s="169"/>
      <c r="M5" s="223"/>
      <c r="N5" s="223"/>
      <c r="O5" s="223"/>
      <c r="P5" s="169"/>
      <c r="Q5" s="223"/>
      <c r="R5" s="223"/>
      <c r="S5" s="223"/>
    </row>
    <row r="6" spans="2:19" ht="23.25" customHeight="1" thickBot="1" x14ac:dyDescent="0.25">
      <c r="B6" s="239"/>
      <c r="C6" s="226"/>
      <c r="D6" s="226"/>
      <c r="E6" s="233"/>
      <c r="F6" s="226"/>
      <c r="G6" s="226"/>
      <c r="H6" s="241"/>
      <c r="I6" s="224"/>
      <c r="J6" s="224"/>
      <c r="K6" s="224"/>
      <c r="L6" s="170"/>
      <c r="M6" s="224"/>
      <c r="N6" s="224"/>
      <c r="O6" s="224"/>
      <c r="P6" s="170"/>
      <c r="Q6" s="224"/>
      <c r="R6" s="224"/>
      <c r="S6" s="224"/>
    </row>
    <row r="7" spans="2:19" ht="16.5" thickTop="1" x14ac:dyDescent="0.2">
      <c r="B7" s="74">
        <v>1</v>
      </c>
      <c r="C7" s="242" t="s">
        <v>284</v>
      </c>
      <c r="D7" s="243"/>
      <c r="E7" s="243"/>
      <c r="F7" s="243"/>
      <c r="G7" s="243"/>
      <c r="H7" s="244"/>
      <c r="I7" s="107">
        <f>I76+I74+I68+I47+I32+I8</f>
        <v>517583</v>
      </c>
      <c r="J7" s="107">
        <f>J76+J74+J68+J47+J32+J8</f>
        <v>0</v>
      </c>
      <c r="K7" s="107">
        <f>I7+J7</f>
        <v>517583</v>
      </c>
      <c r="L7" s="171"/>
      <c r="M7" s="107">
        <f>M76+M74+M68+M47+M32+M8</f>
        <v>495970</v>
      </c>
      <c r="N7" s="107">
        <f>N76+N74+N68+N47+N32+N8</f>
        <v>0</v>
      </c>
      <c r="O7" s="107">
        <f>M7+N7</f>
        <v>495970</v>
      </c>
      <c r="P7" s="171"/>
      <c r="Q7" s="44">
        <f t="shared" ref="Q7:Q38" si="0">M7+I7</f>
        <v>1013553</v>
      </c>
      <c r="R7" s="44">
        <f t="shared" ref="R7:S22" si="1">N7+J7</f>
        <v>0</v>
      </c>
      <c r="S7" s="44">
        <f t="shared" si="1"/>
        <v>1013553</v>
      </c>
    </row>
    <row r="8" spans="2:19" ht="15" x14ac:dyDescent="0.2">
      <c r="B8" s="75">
        <f t="shared" ref="B8:B49" si="2">B7+1</f>
        <v>2</v>
      </c>
      <c r="C8" s="11">
        <v>1</v>
      </c>
      <c r="D8" s="230" t="s">
        <v>203</v>
      </c>
      <c r="E8" s="228"/>
      <c r="F8" s="228"/>
      <c r="G8" s="228"/>
      <c r="H8" s="229"/>
      <c r="I8" s="45">
        <f>I27+I22+I19+I16+I9</f>
        <v>177300</v>
      </c>
      <c r="J8" s="45">
        <f>J27+J22+J19+J16+J9</f>
        <v>0</v>
      </c>
      <c r="K8" s="45">
        <f t="shared" ref="K8:K71" si="3">I8+J8</f>
        <v>177300</v>
      </c>
      <c r="L8" s="172"/>
      <c r="M8" s="45">
        <f>M27+M22+M19+M16+M9</f>
        <v>0</v>
      </c>
      <c r="N8" s="45">
        <f>N27+N22+N19+N16+N9</f>
        <v>0</v>
      </c>
      <c r="O8" s="45">
        <f t="shared" ref="O8:O71" si="4">M8+N8</f>
        <v>0</v>
      </c>
      <c r="P8" s="172"/>
      <c r="Q8" s="45">
        <f t="shared" si="0"/>
        <v>177300</v>
      </c>
      <c r="R8" s="45">
        <f t="shared" si="1"/>
        <v>0</v>
      </c>
      <c r="S8" s="45">
        <f t="shared" si="1"/>
        <v>177300</v>
      </c>
    </row>
    <row r="9" spans="2:19" ht="15" x14ac:dyDescent="0.25">
      <c r="B9" s="75">
        <f t="shared" si="2"/>
        <v>3</v>
      </c>
      <c r="C9" s="2"/>
      <c r="D9" s="2">
        <v>1</v>
      </c>
      <c r="E9" s="227" t="s">
        <v>218</v>
      </c>
      <c r="F9" s="228"/>
      <c r="G9" s="228"/>
      <c r="H9" s="229"/>
      <c r="I9" s="46">
        <f>I10</f>
        <v>15500</v>
      </c>
      <c r="J9" s="46">
        <f>J10</f>
        <v>0</v>
      </c>
      <c r="K9" s="46">
        <f t="shared" si="3"/>
        <v>15500</v>
      </c>
      <c r="L9" s="173"/>
      <c r="M9" s="46">
        <f>M10</f>
        <v>0</v>
      </c>
      <c r="N9" s="46">
        <f>N10</f>
        <v>0</v>
      </c>
      <c r="O9" s="46">
        <f t="shared" si="4"/>
        <v>0</v>
      </c>
      <c r="P9" s="173"/>
      <c r="Q9" s="46">
        <f t="shared" si="0"/>
        <v>15500</v>
      </c>
      <c r="R9" s="46">
        <f t="shared" si="1"/>
        <v>0</v>
      </c>
      <c r="S9" s="46">
        <f t="shared" si="1"/>
        <v>15500</v>
      </c>
    </row>
    <row r="10" spans="2:19" x14ac:dyDescent="0.2">
      <c r="B10" s="75">
        <f t="shared" si="2"/>
        <v>4</v>
      </c>
      <c r="C10" s="15"/>
      <c r="D10" s="15"/>
      <c r="E10" s="15"/>
      <c r="F10" s="52" t="s">
        <v>75</v>
      </c>
      <c r="G10" s="15">
        <v>630</v>
      </c>
      <c r="H10" s="15" t="s">
        <v>129</v>
      </c>
      <c r="I10" s="49">
        <f>I15+I14+I13+I12+I11</f>
        <v>15500</v>
      </c>
      <c r="J10" s="49">
        <f>J15+J14+J13+J12+J11</f>
        <v>0</v>
      </c>
      <c r="K10" s="49">
        <f t="shared" si="3"/>
        <v>15500</v>
      </c>
      <c r="L10" s="123"/>
      <c r="M10" s="49">
        <f>M15+M14+M13+M12+M11</f>
        <v>0</v>
      </c>
      <c r="N10" s="49">
        <f>N15+N14+N13+N12+N11</f>
        <v>0</v>
      </c>
      <c r="O10" s="49">
        <f t="shared" si="4"/>
        <v>0</v>
      </c>
      <c r="P10" s="123"/>
      <c r="Q10" s="49">
        <f t="shared" si="0"/>
        <v>15500</v>
      </c>
      <c r="R10" s="49">
        <f t="shared" si="1"/>
        <v>0</v>
      </c>
      <c r="S10" s="49">
        <f t="shared" si="1"/>
        <v>15500</v>
      </c>
    </row>
    <row r="11" spans="2:19" x14ac:dyDescent="0.2">
      <c r="B11" s="75">
        <f t="shared" si="2"/>
        <v>5</v>
      </c>
      <c r="C11" s="4"/>
      <c r="D11" s="4"/>
      <c r="E11" s="4"/>
      <c r="F11" s="53" t="s">
        <v>75</v>
      </c>
      <c r="G11" s="4">
        <v>631</v>
      </c>
      <c r="H11" s="4" t="s">
        <v>135</v>
      </c>
      <c r="I11" s="26">
        <v>2000</v>
      </c>
      <c r="J11" s="26"/>
      <c r="K11" s="26">
        <f t="shared" si="3"/>
        <v>2000</v>
      </c>
      <c r="L11" s="76"/>
      <c r="M11" s="26"/>
      <c r="N11" s="26"/>
      <c r="O11" s="26">
        <f t="shared" si="4"/>
        <v>0</v>
      </c>
      <c r="P11" s="76"/>
      <c r="Q11" s="26">
        <f t="shared" si="0"/>
        <v>2000</v>
      </c>
      <c r="R11" s="26">
        <f t="shared" si="1"/>
        <v>0</v>
      </c>
      <c r="S11" s="26">
        <f t="shared" si="1"/>
        <v>2000</v>
      </c>
    </row>
    <row r="12" spans="2:19" x14ac:dyDescent="0.2">
      <c r="B12" s="75">
        <f t="shared" si="2"/>
        <v>6</v>
      </c>
      <c r="C12" s="4"/>
      <c r="D12" s="4"/>
      <c r="E12" s="4"/>
      <c r="F12" s="53" t="s">
        <v>75</v>
      </c>
      <c r="G12" s="4">
        <v>633</v>
      </c>
      <c r="H12" s="4" t="s">
        <v>133</v>
      </c>
      <c r="I12" s="26">
        <v>8000</v>
      </c>
      <c r="J12" s="26"/>
      <c r="K12" s="26">
        <f t="shared" si="3"/>
        <v>8000</v>
      </c>
      <c r="L12" s="76"/>
      <c r="M12" s="26"/>
      <c r="N12" s="26"/>
      <c r="O12" s="26">
        <f t="shared" si="4"/>
        <v>0</v>
      </c>
      <c r="P12" s="76"/>
      <c r="Q12" s="26">
        <f t="shared" si="0"/>
        <v>8000</v>
      </c>
      <c r="R12" s="26">
        <f t="shared" si="1"/>
        <v>0</v>
      </c>
      <c r="S12" s="26">
        <f t="shared" si="1"/>
        <v>8000</v>
      </c>
    </row>
    <row r="13" spans="2:19" x14ac:dyDescent="0.2">
      <c r="B13" s="75">
        <f t="shared" si="2"/>
        <v>7</v>
      </c>
      <c r="C13" s="4"/>
      <c r="D13" s="4"/>
      <c r="E13" s="4"/>
      <c r="F13" s="53" t="s">
        <v>75</v>
      </c>
      <c r="G13" s="4">
        <v>634</v>
      </c>
      <c r="H13" s="4" t="s">
        <v>138</v>
      </c>
      <c r="I13" s="26">
        <v>500</v>
      </c>
      <c r="J13" s="26"/>
      <c r="K13" s="26">
        <f t="shared" si="3"/>
        <v>500</v>
      </c>
      <c r="L13" s="76"/>
      <c r="M13" s="26"/>
      <c r="N13" s="26"/>
      <c r="O13" s="26">
        <f t="shared" si="4"/>
        <v>0</v>
      </c>
      <c r="P13" s="76"/>
      <c r="Q13" s="26">
        <f t="shared" si="0"/>
        <v>500</v>
      </c>
      <c r="R13" s="26">
        <f t="shared" si="1"/>
        <v>0</v>
      </c>
      <c r="S13" s="26">
        <f t="shared" si="1"/>
        <v>500</v>
      </c>
    </row>
    <row r="14" spans="2:19" x14ac:dyDescent="0.2">
      <c r="B14" s="75">
        <f t="shared" si="2"/>
        <v>8</v>
      </c>
      <c r="C14" s="4"/>
      <c r="D14" s="4"/>
      <c r="E14" s="4"/>
      <c r="F14" s="53" t="s">
        <v>75</v>
      </c>
      <c r="G14" s="4">
        <v>636</v>
      </c>
      <c r="H14" s="4" t="s">
        <v>134</v>
      </c>
      <c r="I14" s="26">
        <v>500</v>
      </c>
      <c r="J14" s="26"/>
      <c r="K14" s="26">
        <f t="shared" si="3"/>
        <v>500</v>
      </c>
      <c r="L14" s="76"/>
      <c r="M14" s="26"/>
      <c r="N14" s="26"/>
      <c r="O14" s="26">
        <f t="shared" si="4"/>
        <v>0</v>
      </c>
      <c r="P14" s="76"/>
      <c r="Q14" s="26">
        <f t="shared" si="0"/>
        <v>500</v>
      </c>
      <c r="R14" s="26">
        <f t="shared" si="1"/>
        <v>0</v>
      </c>
      <c r="S14" s="26">
        <f t="shared" si="1"/>
        <v>500</v>
      </c>
    </row>
    <row r="15" spans="2:19" x14ac:dyDescent="0.2">
      <c r="B15" s="75">
        <f t="shared" si="2"/>
        <v>9</v>
      </c>
      <c r="C15" s="4"/>
      <c r="D15" s="4"/>
      <c r="E15" s="4"/>
      <c r="F15" s="53" t="s">
        <v>75</v>
      </c>
      <c r="G15" s="4">
        <v>637</v>
      </c>
      <c r="H15" s="4" t="s">
        <v>130</v>
      </c>
      <c r="I15" s="26">
        <v>4500</v>
      </c>
      <c r="J15" s="26"/>
      <c r="K15" s="26">
        <f t="shared" si="3"/>
        <v>4500</v>
      </c>
      <c r="L15" s="76"/>
      <c r="M15" s="26"/>
      <c r="N15" s="26"/>
      <c r="O15" s="26">
        <f t="shared" si="4"/>
        <v>0</v>
      </c>
      <c r="P15" s="76"/>
      <c r="Q15" s="26">
        <f t="shared" si="0"/>
        <v>4500</v>
      </c>
      <c r="R15" s="26">
        <f t="shared" si="1"/>
        <v>0</v>
      </c>
      <c r="S15" s="26">
        <f t="shared" si="1"/>
        <v>4500</v>
      </c>
    </row>
    <row r="16" spans="2:19" ht="14.25" customHeight="1" x14ac:dyDescent="0.25">
      <c r="B16" s="75">
        <f t="shared" si="2"/>
        <v>10</v>
      </c>
      <c r="C16" s="2"/>
      <c r="D16" s="2">
        <v>2</v>
      </c>
      <c r="E16" s="227" t="s">
        <v>16</v>
      </c>
      <c r="F16" s="228"/>
      <c r="G16" s="228"/>
      <c r="H16" s="229"/>
      <c r="I16" s="46">
        <f>I17</f>
        <v>500</v>
      </c>
      <c r="J16" s="46">
        <f>J17</f>
        <v>0</v>
      </c>
      <c r="K16" s="46">
        <f t="shared" si="3"/>
        <v>500</v>
      </c>
      <c r="L16" s="173"/>
      <c r="M16" s="46">
        <f>M17</f>
        <v>0</v>
      </c>
      <c r="N16" s="46">
        <f>N17</f>
        <v>0</v>
      </c>
      <c r="O16" s="46">
        <f t="shared" si="4"/>
        <v>0</v>
      </c>
      <c r="P16" s="173"/>
      <c r="Q16" s="46">
        <f t="shared" si="0"/>
        <v>500</v>
      </c>
      <c r="R16" s="46">
        <f t="shared" si="1"/>
        <v>0</v>
      </c>
      <c r="S16" s="46">
        <f t="shared" si="1"/>
        <v>500</v>
      </c>
    </row>
    <row r="17" spans="1:19" x14ac:dyDescent="0.2">
      <c r="B17" s="75">
        <f t="shared" si="2"/>
        <v>11</v>
      </c>
      <c r="C17" s="15"/>
      <c r="D17" s="15"/>
      <c r="E17" s="15"/>
      <c r="F17" s="52" t="s">
        <v>75</v>
      </c>
      <c r="G17" s="15">
        <v>630</v>
      </c>
      <c r="H17" s="15" t="s">
        <v>129</v>
      </c>
      <c r="I17" s="49">
        <f>I18</f>
        <v>500</v>
      </c>
      <c r="J17" s="49">
        <f>J18</f>
        <v>0</v>
      </c>
      <c r="K17" s="49">
        <f t="shared" si="3"/>
        <v>500</v>
      </c>
      <c r="L17" s="123"/>
      <c r="M17" s="49">
        <f>M18</f>
        <v>0</v>
      </c>
      <c r="N17" s="49">
        <f>N18</f>
        <v>0</v>
      </c>
      <c r="O17" s="49">
        <f t="shared" si="4"/>
        <v>0</v>
      </c>
      <c r="P17" s="123"/>
      <c r="Q17" s="49">
        <f t="shared" si="0"/>
        <v>500</v>
      </c>
      <c r="R17" s="49">
        <f t="shared" si="1"/>
        <v>0</v>
      </c>
      <c r="S17" s="49">
        <f t="shared" si="1"/>
        <v>500</v>
      </c>
    </row>
    <row r="18" spans="1:19" x14ac:dyDescent="0.2">
      <c r="B18" s="75">
        <f t="shared" si="2"/>
        <v>12</v>
      </c>
      <c r="C18" s="4"/>
      <c r="D18" s="4"/>
      <c r="E18" s="4"/>
      <c r="F18" s="53" t="s">
        <v>75</v>
      </c>
      <c r="G18" s="4">
        <v>633</v>
      </c>
      <c r="H18" s="4" t="s">
        <v>133</v>
      </c>
      <c r="I18" s="26">
        <v>500</v>
      </c>
      <c r="J18" s="26"/>
      <c r="K18" s="26">
        <f t="shared" si="3"/>
        <v>500</v>
      </c>
      <c r="L18" s="76"/>
      <c r="M18" s="26"/>
      <c r="N18" s="26"/>
      <c r="O18" s="26">
        <f t="shared" si="4"/>
        <v>0</v>
      </c>
      <c r="P18" s="76"/>
      <c r="Q18" s="26">
        <f t="shared" si="0"/>
        <v>500</v>
      </c>
      <c r="R18" s="26">
        <f t="shared" si="1"/>
        <v>0</v>
      </c>
      <c r="S18" s="26">
        <f t="shared" si="1"/>
        <v>500</v>
      </c>
    </row>
    <row r="19" spans="1:19" ht="15" x14ac:dyDescent="0.25">
      <c r="B19" s="75">
        <f t="shared" si="2"/>
        <v>13</v>
      </c>
      <c r="C19" s="2"/>
      <c r="D19" s="2">
        <v>3</v>
      </c>
      <c r="E19" s="227" t="s">
        <v>17</v>
      </c>
      <c r="F19" s="228"/>
      <c r="G19" s="228"/>
      <c r="H19" s="229"/>
      <c r="I19" s="46">
        <f>I20</f>
        <v>500</v>
      </c>
      <c r="J19" s="46">
        <f>J20</f>
        <v>0</v>
      </c>
      <c r="K19" s="46">
        <f t="shared" si="3"/>
        <v>500</v>
      </c>
      <c r="L19" s="173"/>
      <c r="M19" s="46">
        <f>M20</f>
        <v>0</v>
      </c>
      <c r="N19" s="46">
        <f>N20</f>
        <v>0</v>
      </c>
      <c r="O19" s="46">
        <f t="shared" si="4"/>
        <v>0</v>
      </c>
      <c r="P19" s="173"/>
      <c r="Q19" s="46">
        <f t="shared" si="0"/>
        <v>500</v>
      </c>
      <c r="R19" s="46">
        <f t="shared" si="1"/>
        <v>0</v>
      </c>
      <c r="S19" s="46">
        <f t="shared" si="1"/>
        <v>500</v>
      </c>
    </row>
    <row r="20" spans="1:19" x14ac:dyDescent="0.2">
      <c r="B20" s="75">
        <f t="shared" si="2"/>
        <v>14</v>
      </c>
      <c r="C20" s="15"/>
      <c r="D20" s="15"/>
      <c r="E20" s="15"/>
      <c r="F20" s="52" t="s">
        <v>75</v>
      </c>
      <c r="G20" s="15">
        <v>630</v>
      </c>
      <c r="H20" s="15" t="s">
        <v>129</v>
      </c>
      <c r="I20" s="49">
        <f>I21</f>
        <v>500</v>
      </c>
      <c r="J20" s="49">
        <f>J21</f>
        <v>0</v>
      </c>
      <c r="K20" s="49">
        <f t="shared" si="3"/>
        <v>500</v>
      </c>
      <c r="L20" s="123"/>
      <c r="M20" s="49">
        <f>M21</f>
        <v>0</v>
      </c>
      <c r="N20" s="49">
        <f>N21</f>
        <v>0</v>
      </c>
      <c r="O20" s="49">
        <f t="shared" si="4"/>
        <v>0</v>
      </c>
      <c r="P20" s="123"/>
      <c r="Q20" s="49">
        <f t="shared" si="0"/>
        <v>500</v>
      </c>
      <c r="R20" s="49">
        <f t="shared" si="1"/>
        <v>0</v>
      </c>
      <c r="S20" s="49">
        <f t="shared" si="1"/>
        <v>500</v>
      </c>
    </row>
    <row r="21" spans="1:19" x14ac:dyDescent="0.2">
      <c r="B21" s="75">
        <f t="shared" si="2"/>
        <v>15</v>
      </c>
      <c r="C21" s="4"/>
      <c r="D21" s="4"/>
      <c r="E21" s="4"/>
      <c r="F21" s="53" t="s">
        <v>75</v>
      </c>
      <c r="G21" s="4">
        <v>633</v>
      </c>
      <c r="H21" s="4" t="s">
        <v>133</v>
      </c>
      <c r="I21" s="26">
        <v>500</v>
      </c>
      <c r="J21" s="26"/>
      <c r="K21" s="26">
        <f t="shared" si="3"/>
        <v>500</v>
      </c>
      <c r="L21" s="76"/>
      <c r="M21" s="26"/>
      <c r="N21" s="26"/>
      <c r="O21" s="26">
        <f t="shared" si="4"/>
        <v>0</v>
      </c>
      <c r="P21" s="76"/>
      <c r="Q21" s="26">
        <f t="shared" si="0"/>
        <v>500</v>
      </c>
      <c r="R21" s="26">
        <f t="shared" si="1"/>
        <v>0</v>
      </c>
      <c r="S21" s="26">
        <f t="shared" si="1"/>
        <v>500</v>
      </c>
    </row>
    <row r="22" spans="1:19" ht="15" x14ac:dyDescent="0.25">
      <c r="B22" s="75">
        <f t="shared" si="2"/>
        <v>16</v>
      </c>
      <c r="C22" s="2"/>
      <c r="D22" s="2">
        <v>4</v>
      </c>
      <c r="E22" s="227" t="s">
        <v>28</v>
      </c>
      <c r="F22" s="228"/>
      <c r="G22" s="228"/>
      <c r="H22" s="229"/>
      <c r="I22" s="46">
        <f t="shared" ref="I22:N25" si="5">I23</f>
        <v>800</v>
      </c>
      <c r="J22" s="46">
        <f t="shared" si="5"/>
        <v>0</v>
      </c>
      <c r="K22" s="46">
        <f t="shared" si="3"/>
        <v>800</v>
      </c>
      <c r="L22" s="173"/>
      <c r="M22" s="46">
        <f t="shared" si="5"/>
        <v>0</v>
      </c>
      <c r="N22" s="46">
        <f t="shared" si="5"/>
        <v>0</v>
      </c>
      <c r="O22" s="46">
        <f t="shared" si="4"/>
        <v>0</v>
      </c>
      <c r="P22" s="173"/>
      <c r="Q22" s="46">
        <f t="shared" si="0"/>
        <v>800</v>
      </c>
      <c r="R22" s="46">
        <f t="shared" si="1"/>
        <v>0</v>
      </c>
      <c r="S22" s="46">
        <f t="shared" si="1"/>
        <v>800</v>
      </c>
    </row>
    <row r="23" spans="1:19" ht="15" hidden="1" x14ac:dyDescent="0.25">
      <c r="B23" s="75">
        <f t="shared" si="2"/>
        <v>17</v>
      </c>
      <c r="C23" s="18"/>
      <c r="D23" s="18"/>
      <c r="E23" s="18"/>
      <c r="F23" s="50"/>
      <c r="G23" s="18"/>
      <c r="H23" s="18" t="s">
        <v>286</v>
      </c>
      <c r="I23" s="47">
        <f t="shared" si="5"/>
        <v>800</v>
      </c>
      <c r="J23" s="47">
        <f t="shared" si="5"/>
        <v>0</v>
      </c>
      <c r="K23" s="47">
        <f t="shared" si="3"/>
        <v>800</v>
      </c>
      <c r="L23" s="174"/>
      <c r="M23" s="47">
        <f t="shared" si="5"/>
        <v>0</v>
      </c>
      <c r="N23" s="47">
        <f t="shared" si="5"/>
        <v>0</v>
      </c>
      <c r="O23" s="47">
        <f t="shared" si="4"/>
        <v>0</v>
      </c>
      <c r="P23" s="174"/>
      <c r="Q23" s="47">
        <f t="shared" si="0"/>
        <v>800</v>
      </c>
      <c r="R23" s="47">
        <f t="shared" ref="R23:S38" si="6">N23+J23</f>
        <v>0</v>
      </c>
      <c r="S23" s="47">
        <f t="shared" si="6"/>
        <v>800</v>
      </c>
    </row>
    <row r="24" spans="1:19" hidden="1" x14ac:dyDescent="0.2">
      <c r="B24" s="75">
        <f t="shared" si="2"/>
        <v>18</v>
      </c>
      <c r="C24" s="14"/>
      <c r="D24" s="14"/>
      <c r="E24" s="14" t="s">
        <v>73</v>
      </c>
      <c r="F24" s="51"/>
      <c r="G24" s="14"/>
      <c r="H24" s="14"/>
      <c r="I24" s="48">
        <f t="shared" si="5"/>
        <v>800</v>
      </c>
      <c r="J24" s="48">
        <f t="shared" si="5"/>
        <v>0</v>
      </c>
      <c r="K24" s="48">
        <f t="shared" si="3"/>
        <v>800</v>
      </c>
      <c r="L24" s="123"/>
      <c r="M24" s="48">
        <f t="shared" si="5"/>
        <v>0</v>
      </c>
      <c r="N24" s="48">
        <f t="shared" si="5"/>
        <v>0</v>
      </c>
      <c r="O24" s="48">
        <f t="shared" si="4"/>
        <v>0</v>
      </c>
      <c r="P24" s="123"/>
      <c r="Q24" s="48">
        <f t="shared" si="0"/>
        <v>800</v>
      </c>
      <c r="R24" s="48">
        <f t="shared" si="6"/>
        <v>0</v>
      </c>
      <c r="S24" s="48">
        <f t="shared" si="6"/>
        <v>800</v>
      </c>
    </row>
    <row r="25" spans="1:19" x14ac:dyDescent="0.2">
      <c r="B25" s="75">
        <f t="shared" si="2"/>
        <v>19</v>
      </c>
      <c r="C25" s="15"/>
      <c r="D25" s="15"/>
      <c r="E25" s="15"/>
      <c r="F25" s="52" t="s">
        <v>75</v>
      </c>
      <c r="G25" s="15">
        <v>630</v>
      </c>
      <c r="H25" s="15" t="s">
        <v>129</v>
      </c>
      <c r="I25" s="49">
        <f t="shared" si="5"/>
        <v>800</v>
      </c>
      <c r="J25" s="49">
        <f t="shared" si="5"/>
        <v>0</v>
      </c>
      <c r="K25" s="49">
        <f t="shared" si="3"/>
        <v>800</v>
      </c>
      <c r="L25" s="123"/>
      <c r="M25" s="49">
        <f t="shared" si="5"/>
        <v>0</v>
      </c>
      <c r="N25" s="49">
        <f t="shared" si="5"/>
        <v>0</v>
      </c>
      <c r="O25" s="49">
        <f t="shared" si="4"/>
        <v>0</v>
      </c>
      <c r="P25" s="123"/>
      <c r="Q25" s="49">
        <f t="shared" si="0"/>
        <v>800</v>
      </c>
      <c r="R25" s="49">
        <f t="shared" si="6"/>
        <v>0</v>
      </c>
      <c r="S25" s="49">
        <f t="shared" si="6"/>
        <v>800</v>
      </c>
    </row>
    <row r="26" spans="1:19" x14ac:dyDescent="0.2">
      <c r="B26" s="75">
        <f t="shared" si="2"/>
        <v>20</v>
      </c>
      <c r="C26" s="4"/>
      <c r="D26" s="4"/>
      <c r="E26" s="4"/>
      <c r="F26" s="53" t="s">
        <v>75</v>
      </c>
      <c r="G26" s="4">
        <v>637</v>
      </c>
      <c r="H26" s="4" t="s">
        <v>130</v>
      </c>
      <c r="I26" s="26">
        <v>800</v>
      </c>
      <c r="J26" s="26"/>
      <c r="K26" s="26">
        <f t="shared" si="3"/>
        <v>800</v>
      </c>
      <c r="L26" s="76"/>
      <c r="M26" s="26"/>
      <c r="N26" s="26"/>
      <c r="O26" s="26">
        <f t="shared" si="4"/>
        <v>0</v>
      </c>
      <c r="P26" s="76"/>
      <c r="Q26" s="26">
        <f t="shared" si="0"/>
        <v>800</v>
      </c>
      <c r="R26" s="26">
        <f t="shared" si="6"/>
        <v>0</v>
      </c>
      <c r="S26" s="26">
        <f t="shared" si="6"/>
        <v>800</v>
      </c>
    </row>
    <row r="27" spans="1:19" ht="15" x14ac:dyDescent="0.25">
      <c r="B27" s="75">
        <f t="shared" si="2"/>
        <v>21</v>
      </c>
      <c r="C27" s="2"/>
      <c r="D27" s="2">
        <v>5</v>
      </c>
      <c r="E27" s="227" t="s">
        <v>202</v>
      </c>
      <c r="F27" s="228"/>
      <c r="G27" s="228"/>
      <c r="H27" s="229"/>
      <c r="I27" s="46">
        <f>I28+I29</f>
        <v>160000</v>
      </c>
      <c r="J27" s="46">
        <f>J28+J29</f>
        <v>0</v>
      </c>
      <c r="K27" s="46">
        <f t="shared" si="3"/>
        <v>160000</v>
      </c>
      <c r="L27" s="173"/>
      <c r="M27" s="46">
        <f>M28+M29</f>
        <v>0</v>
      </c>
      <c r="N27" s="46">
        <f>N28+N29</f>
        <v>0</v>
      </c>
      <c r="O27" s="46">
        <f t="shared" si="4"/>
        <v>0</v>
      </c>
      <c r="P27" s="173"/>
      <c r="Q27" s="46">
        <f t="shared" si="0"/>
        <v>160000</v>
      </c>
      <c r="R27" s="46">
        <f t="shared" si="6"/>
        <v>0</v>
      </c>
      <c r="S27" s="46">
        <f t="shared" si="6"/>
        <v>160000</v>
      </c>
    </row>
    <row r="28" spans="1:19" x14ac:dyDescent="0.2">
      <c r="A28" s="66"/>
      <c r="B28" s="75">
        <f t="shared" si="2"/>
        <v>22</v>
      </c>
      <c r="C28" s="15"/>
      <c r="D28" s="15"/>
      <c r="E28" s="15"/>
      <c r="F28" s="52" t="s">
        <v>75</v>
      </c>
      <c r="G28" s="15">
        <v>620</v>
      </c>
      <c r="H28" s="15" t="s">
        <v>132</v>
      </c>
      <c r="I28" s="49">
        <v>38450</v>
      </c>
      <c r="J28" s="49"/>
      <c r="K28" s="49">
        <f t="shared" si="3"/>
        <v>38450</v>
      </c>
      <c r="L28" s="123"/>
      <c r="M28" s="49"/>
      <c r="N28" s="49"/>
      <c r="O28" s="49">
        <f t="shared" si="4"/>
        <v>0</v>
      </c>
      <c r="P28" s="123"/>
      <c r="Q28" s="49">
        <f t="shared" si="0"/>
        <v>38450</v>
      </c>
      <c r="R28" s="49">
        <f t="shared" si="6"/>
        <v>0</v>
      </c>
      <c r="S28" s="49">
        <f t="shared" si="6"/>
        <v>38450</v>
      </c>
    </row>
    <row r="29" spans="1:19" x14ac:dyDescent="0.2">
      <c r="A29" s="66"/>
      <c r="B29" s="75">
        <f t="shared" si="2"/>
        <v>23</v>
      </c>
      <c r="C29" s="15"/>
      <c r="D29" s="15"/>
      <c r="E29" s="15"/>
      <c r="F29" s="52" t="s">
        <v>75</v>
      </c>
      <c r="G29" s="15">
        <v>630</v>
      </c>
      <c r="H29" s="15" t="s">
        <v>129</v>
      </c>
      <c r="I29" s="49">
        <f>I31+I30</f>
        <v>121550</v>
      </c>
      <c r="J29" s="49">
        <f>J31+J30</f>
        <v>0</v>
      </c>
      <c r="K29" s="49">
        <f t="shared" si="3"/>
        <v>121550</v>
      </c>
      <c r="L29" s="123"/>
      <c r="M29" s="49">
        <f>M31+M30</f>
        <v>0</v>
      </c>
      <c r="N29" s="49">
        <f>N31+N30</f>
        <v>0</v>
      </c>
      <c r="O29" s="49">
        <f t="shared" si="4"/>
        <v>0</v>
      </c>
      <c r="P29" s="123"/>
      <c r="Q29" s="49">
        <f t="shared" si="0"/>
        <v>121550</v>
      </c>
      <c r="R29" s="49">
        <f t="shared" si="6"/>
        <v>0</v>
      </c>
      <c r="S29" s="49">
        <f t="shared" si="6"/>
        <v>121550</v>
      </c>
    </row>
    <row r="30" spans="1:19" x14ac:dyDescent="0.2">
      <c r="A30" s="66"/>
      <c r="B30" s="75">
        <f t="shared" si="2"/>
        <v>24</v>
      </c>
      <c r="C30" s="4"/>
      <c r="D30" s="4"/>
      <c r="E30" s="4"/>
      <c r="F30" s="53" t="s">
        <v>75</v>
      </c>
      <c r="G30" s="4">
        <v>632</v>
      </c>
      <c r="H30" s="4" t="s">
        <v>140</v>
      </c>
      <c r="I30" s="58">
        <v>11550</v>
      </c>
      <c r="J30" s="58"/>
      <c r="K30" s="58">
        <f t="shared" si="3"/>
        <v>11550</v>
      </c>
      <c r="L30" s="76"/>
      <c r="M30" s="26"/>
      <c r="N30" s="26"/>
      <c r="O30" s="26">
        <f t="shared" si="4"/>
        <v>0</v>
      </c>
      <c r="P30" s="76"/>
      <c r="Q30" s="26">
        <f t="shared" si="0"/>
        <v>11550</v>
      </c>
      <c r="R30" s="26">
        <f t="shared" si="6"/>
        <v>0</v>
      </c>
      <c r="S30" s="26">
        <f t="shared" si="6"/>
        <v>11550</v>
      </c>
    </row>
    <row r="31" spans="1:19" x14ac:dyDescent="0.2">
      <c r="A31" s="66"/>
      <c r="B31" s="75">
        <f t="shared" si="2"/>
        <v>25</v>
      </c>
      <c r="C31" s="4"/>
      <c r="D31" s="4"/>
      <c r="E31" s="4"/>
      <c r="F31" s="53" t="s">
        <v>75</v>
      </c>
      <c r="G31" s="4">
        <v>637</v>
      </c>
      <c r="H31" s="4" t="s">
        <v>130</v>
      </c>
      <c r="I31" s="26">
        <v>110000</v>
      </c>
      <c r="J31" s="26"/>
      <c r="K31" s="26">
        <f t="shared" si="3"/>
        <v>110000</v>
      </c>
      <c r="L31" s="76"/>
      <c r="M31" s="26"/>
      <c r="N31" s="26"/>
      <c r="O31" s="26">
        <f t="shared" si="4"/>
        <v>0</v>
      </c>
      <c r="P31" s="76"/>
      <c r="Q31" s="26">
        <f t="shared" si="0"/>
        <v>110000</v>
      </c>
      <c r="R31" s="26">
        <f t="shared" si="6"/>
        <v>0</v>
      </c>
      <c r="S31" s="26">
        <f t="shared" si="6"/>
        <v>110000</v>
      </c>
    </row>
    <row r="32" spans="1:19" ht="15" x14ac:dyDescent="0.2">
      <c r="A32" s="66"/>
      <c r="B32" s="75">
        <f t="shared" si="2"/>
        <v>26</v>
      </c>
      <c r="C32" s="11">
        <v>2</v>
      </c>
      <c r="D32" s="230" t="s">
        <v>217</v>
      </c>
      <c r="E32" s="228"/>
      <c r="F32" s="228"/>
      <c r="G32" s="228"/>
      <c r="H32" s="229"/>
      <c r="I32" s="45">
        <f>I33+I34</f>
        <v>150200</v>
      </c>
      <c r="J32" s="45">
        <f>J33+J34</f>
        <v>0</v>
      </c>
      <c r="K32" s="45">
        <f t="shared" si="3"/>
        <v>150200</v>
      </c>
      <c r="L32" s="172"/>
      <c r="M32" s="45">
        <f>M41</f>
        <v>45000</v>
      </c>
      <c r="N32" s="45">
        <f>N41</f>
        <v>0</v>
      </c>
      <c r="O32" s="45">
        <f t="shared" si="4"/>
        <v>45000</v>
      </c>
      <c r="P32" s="172"/>
      <c r="Q32" s="45">
        <f t="shared" si="0"/>
        <v>195200</v>
      </c>
      <c r="R32" s="45">
        <f t="shared" si="6"/>
        <v>0</v>
      </c>
      <c r="S32" s="45">
        <f t="shared" si="6"/>
        <v>195200</v>
      </c>
    </row>
    <row r="33" spans="1:19" x14ac:dyDescent="0.2">
      <c r="A33" s="66"/>
      <c r="B33" s="75">
        <f t="shared" si="2"/>
        <v>27</v>
      </c>
      <c r="C33" s="15"/>
      <c r="D33" s="15"/>
      <c r="E33" s="15"/>
      <c r="F33" s="52" t="s">
        <v>216</v>
      </c>
      <c r="G33" s="15">
        <v>620</v>
      </c>
      <c r="H33" s="15" t="s">
        <v>132</v>
      </c>
      <c r="I33" s="49">
        <f>9000+1200</f>
        <v>10200</v>
      </c>
      <c r="J33" s="49"/>
      <c r="K33" s="49">
        <f t="shared" si="3"/>
        <v>10200</v>
      </c>
      <c r="L33" s="123"/>
      <c r="M33" s="49"/>
      <c r="N33" s="49"/>
      <c r="O33" s="49">
        <f t="shared" si="4"/>
        <v>0</v>
      </c>
      <c r="P33" s="123"/>
      <c r="Q33" s="49">
        <f t="shared" si="0"/>
        <v>10200</v>
      </c>
      <c r="R33" s="49">
        <f t="shared" si="6"/>
        <v>0</v>
      </c>
      <c r="S33" s="49">
        <f t="shared" si="6"/>
        <v>10200</v>
      </c>
    </row>
    <row r="34" spans="1:19" x14ac:dyDescent="0.2">
      <c r="A34" s="66"/>
      <c r="B34" s="75">
        <f t="shared" si="2"/>
        <v>28</v>
      </c>
      <c r="C34" s="15"/>
      <c r="D34" s="15"/>
      <c r="E34" s="15"/>
      <c r="F34" s="52" t="s">
        <v>216</v>
      </c>
      <c r="G34" s="15">
        <v>630</v>
      </c>
      <c r="H34" s="15" t="s">
        <v>129</v>
      </c>
      <c r="I34" s="49">
        <f>I37+I36+I35</f>
        <v>140000</v>
      </c>
      <c r="J34" s="49">
        <f>J37+J36+J35</f>
        <v>0</v>
      </c>
      <c r="K34" s="49">
        <f t="shared" si="3"/>
        <v>140000</v>
      </c>
      <c r="L34" s="123"/>
      <c r="M34" s="49">
        <f>M37+M36</f>
        <v>0</v>
      </c>
      <c r="N34" s="49">
        <f>N37+N36</f>
        <v>0</v>
      </c>
      <c r="O34" s="49">
        <f t="shared" si="4"/>
        <v>0</v>
      </c>
      <c r="P34" s="123"/>
      <c r="Q34" s="49">
        <f t="shared" si="0"/>
        <v>140000</v>
      </c>
      <c r="R34" s="49">
        <f t="shared" si="6"/>
        <v>0</v>
      </c>
      <c r="S34" s="49">
        <f t="shared" si="6"/>
        <v>140000</v>
      </c>
    </row>
    <row r="35" spans="1:19" x14ac:dyDescent="0.2">
      <c r="A35" s="120"/>
      <c r="B35" s="75">
        <f t="shared" si="2"/>
        <v>29</v>
      </c>
      <c r="C35" s="15"/>
      <c r="D35" s="15"/>
      <c r="E35" s="15"/>
      <c r="F35" s="53" t="s">
        <v>216</v>
      </c>
      <c r="G35" s="4">
        <v>633</v>
      </c>
      <c r="H35" s="4" t="s">
        <v>133</v>
      </c>
      <c r="I35" s="26">
        <v>2800</v>
      </c>
      <c r="J35" s="26"/>
      <c r="K35" s="26">
        <f t="shared" si="3"/>
        <v>2800</v>
      </c>
      <c r="L35" s="76"/>
      <c r="M35" s="26"/>
      <c r="N35" s="26"/>
      <c r="O35" s="26">
        <f t="shared" si="4"/>
        <v>0</v>
      </c>
      <c r="P35" s="76"/>
      <c r="Q35" s="26">
        <f t="shared" si="0"/>
        <v>2800</v>
      </c>
      <c r="R35" s="26">
        <f t="shared" si="6"/>
        <v>0</v>
      </c>
      <c r="S35" s="26">
        <f t="shared" si="6"/>
        <v>2800</v>
      </c>
    </row>
    <row r="36" spans="1:19" x14ac:dyDescent="0.2">
      <c r="B36" s="75">
        <f t="shared" si="2"/>
        <v>30</v>
      </c>
      <c r="C36" s="4"/>
      <c r="D36" s="4"/>
      <c r="E36" s="4"/>
      <c r="F36" s="53" t="s">
        <v>216</v>
      </c>
      <c r="G36" s="4">
        <v>635</v>
      </c>
      <c r="H36" s="4" t="s">
        <v>139</v>
      </c>
      <c r="I36" s="26">
        <f>4000-2150</f>
        <v>1850</v>
      </c>
      <c r="J36" s="26"/>
      <c r="K36" s="26">
        <f t="shared" si="3"/>
        <v>1850</v>
      </c>
      <c r="L36" s="76"/>
      <c r="M36" s="26"/>
      <c r="N36" s="26"/>
      <c r="O36" s="26">
        <f t="shared" si="4"/>
        <v>0</v>
      </c>
      <c r="P36" s="76"/>
      <c r="Q36" s="26">
        <f t="shared" si="0"/>
        <v>1850</v>
      </c>
      <c r="R36" s="26">
        <f t="shared" si="6"/>
        <v>0</v>
      </c>
      <c r="S36" s="26">
        <f t="shared" si="6"/>
        <v>1850</v>
      </c>
    </row>
    <row r="37" spans="1:19" x14ac:dyDescent="0.2">
      <c r="B37" s="75">
        <f t="shared" si="2"/>
        <v>31</v>
      </c>
      <c r="C37" s="4"/>
      <c r="D37" s="4"/>
      <c r="E37" s="4"/>
      <c r="F37" s="53" t="s">
        <v>216</v>
      </c>
      <c r="G37" s="4">
        <v>637</v>
      </c>
      <c r="H37" s="4" t="s">
        <v>130</v>
      </c>
      <c r="I37" s="26">
        <f>I38+I39+I40</f>
        <v>135350</v>
      </c>
      <c r="J37" s="26"/>
      <c r="K37" s="26">
        <f t="shared" si="3"/>
        <v>135350</v>
      </c>
      <c r="L37" s="76"/>
      <c r="M37" s="26"/>
      <c r="N37" s="26"/>
      <c r="O37" s="26">
        <f t="shared" si="4"/>
        <v>0</v>
      </c>
      <c r="P37" s="76"/>
      <c r="Q37" s="26">
        <f t="shared" si="0"/>
        <v>135350</v>
      </c>
      <c r="R37" s="26">
        <f t="shared" si="6"/>
        <v>0</v>
      </c>
      <c r="S37" s="26">
        <f t="shared" si="6"/>
        <v>135350</v>
      </c>
    </row>
    <row r="38" spans="1:19" x14ac:dyDescent="0.2">
      <c r="B38" s="75">
        <f t="shared" si="2"/>
        <v>32</v>
      </c>
      <c r="C38" s="4"/>
      <c r="D38" s="4"/>
      <c r="E38" s="4"/>
      <c r="F38" s="53"/>
      <c r="G38" s="4"/>
      <c r="H38" s="4" t="s">
        <v>365</v>
      </c>
      <c r="I38" s="26">
        <f>25000+25000+6000-650</f>
        <v>55350</v>
      </c>
      <c r="J38" s="26"/>
      <c r="K38" s="26">
        <f t="shared" si="3"/>
        <v>55350</v>
      </c>
      <c r="L38" s="76"/>
      <c r="M38" s="26"/>
      <c r="N38" s="26"/>
      <c r="O38" s="26">
        <f t="shared" si="4"/>
        <v>0</v>
      </c>
      <c r="P38" s="76"/>
      <c r="Q38" s="26">
        <f t="shared" si="0"/>
        <v>55350</v>
      </c>
      <c r="R38" s="26">
        <f t="shared" si="6"/>
        <v>0</v>
      </c>
      <c r="S38" s="26">
        <f t="shared" si="6"/>
        <v>55350</v>
      </c>
    </row>
    <row r="39" spans="1:19" s="71" customFormat="1" ht="24" x14ac:dyDescent="0.2">
      <c r="A39" s="67"/>
      <c r="B39" s="75">
        <f t="shared" si="2"/>
        <v>33</v>
      </c>
      <c r="C39" s="79"/>
      <c r="D39" s="79"/>
      <c r="E39" s="79"/>
      <c r="F39" s="80"/>
      <c r="G39" s="79"/>
      <c r="H39" s="81" t="s">
        <v>366</v>
      </c>
      <c r="I39" s="62">
        <v>50000</v>
      </c>
      <c r="J39" s="62"/>
      <c r="K39" s="62">
        <f t="shared" si="3"/>
        <v>50000</v>
      </c>
      <c r="L39" s="161"/>
      <c r="M39" s="62"/>
      <c r="N39" s="62"/>
      <c r="O39" s="62">
        <f t="shared" si="4"/>
        <v>0</v>
      </c>
      <c r="P39" s="161"/>
      <c r="Q39" s="62">
        <f t="shared" ref="Q39:Q70" si="7">M39+I39</f>
        <v>50000</v>
      </c>
      <c r="R39" s="62">
        <f t="shared" ref="R39:S54" si="8">N39+J39</f>
        <v>0</v>
      </c>
      <c r="S39" s="62">
        <f t="shared" si="8"/>
        <v>50000</v>
      </c>
    </row>
    <row r="40" spans="1:19" x14ac:dyDescent="0.2">
      <c r="B40" s="75">
        <f t="shared" si="2"/>
        <v>34</v>
      </c>
      <c r="C40" s="4"/>
      <c r="D40" s="4"/>
      <c r="E40" s="4"/>
      <c r="F40" s="53"/>
      <c r="G40" s="4"/>
      <c r="H40" s="4" t="s">
        <v>367</v>
      </c>
      <c r="I40" s="26">
        <v>30000</v>
      </c>
      <c r="J40" s="26"/>
      <c r="K40" s="26">
        <f t="shared" si="3"/>
        <v>30000</v>
      </c>
      <c r="L40" s="76"/>
      <c r="M40" s="26"/>
      <c r="N40" s="26"/>
      <c r="O40" s="26">
        <f t="shared" si="4"/>
        <v>0</v>
      </c>
      <c r="P40" s="76"/>
      <c r="Q40" s="26">
        <f t="shared" si="7"/>
        <v>30000</v>
      </c>
      <c r="R40" s="26">
        <f t="shared" si="8"/>
        <v>0</v>
      </c>
      <c r="S40" s="26">
        <f t="shared" si="8"/>
        <v>30000</v>
      </c>
    </row>
    <row r="41" spans="1:19" x14ac:dyDescent="0.2">
      <c r="B41" s="75">
        <f t="shared" si="2"/>
        <v>35</v>
      </c>
      <c r="C41" s="15"/>
      <c r="D41" s="15"/>
      <c r="E41" s="15"/>
      <c r="F41" s="52" t="s">
        <v>216</v>
      </c>
      <c r="G41" s="15">
        <v>710</v>
      </c>
      <c r="H41" s="15" t="s">
        <v>185</v>
      </c>
      <c r="I41" s="49">
        <f>I44+I42</f>
        <v>0</v>
      </c>
      <c r="J41" s="49">
        <f>J44+J42</f>
        <v>0</v>
      </c>
      <c r="K41" s="49">
        <f t="shared" si="3"/>
        <v>0</v>
      </c>
      <c r="L41" s="123"/>
      <c r="M41" s="49">
        <f>M44+M42</f>
        <v>45000</v>
      </c>
      <c r="N41" s="49">
        <f>N44+N42</f>
        <v>0</v>
      </c>
      <c r="O41" s="49">
        <f t="shared" si="4"/>
        <v>45000</v>
      </c>
      <c r="P41" s="123"/>
      <c r="Q41" s="49">
        <f t="shared" si="7"/>
        <v>45000</v>
      </c>
      <c r="R41" s="49">
        <f t="shared" si="8"/>
        <v>0</v>
      </c>
      <c r="S41" s="49">
        <f t="shared" si="8"/>
        <v>45000</v>
      </c>
    </row>
    <row r="42" spans="1:19" x14ac:dyDescent="0.2">
      <c r="B42" s="75">
        <f t="shared" si="2"/>
        <v>36</v>
      </c>
      <c r="C42" s="4"/>
      <c r="D42" s="4"/>
      <c r="E42" s="4"/>
      <c r="F42" s="86" t="s">
        <v>216</v>
      </c>
      <c r="G42" s="87">
        <v>711</v>
      </c>
      <c r="H42" s="87" t="s">
        <v>224</v>
      </c>
      <c r="I42" s="88"/>
      <c r="J42" s="88"/>
      <c r="K42" s="88">
        <f t="shared" si="3"/>
        <v>0</v>
      </c>
      <c r="L42" s="76"/>
      <c r="M42" s="88">
        <f>M43</f>
        <v>25000</v>
      </c>
      <c r="N42" s="88">
        <f>N43</f>
        <v>0</v>
      </c>
      <c r="O42" s="88">
        <f t="shared" si="4"/>
        <v>25000</v>
      </c>
      <c r="P42" s="76"/>
      <c r="Q42" s="88">
        <f t="shared" si="7"/>
        <v>25000</v>
      </c>
      <c r="R42" s="88">
        <f t="shared" si="8"/>
        <v>0</v>
      </c>
      <c r="S42" s="88">
        <f t="shared" si="8"/>
        <v>25000</v>
      </c>
    </row>
    <row r="43" spans="1:19" s="71" customFormat="1" ht="24" x14ac:dyDescent="0.2">
      <c r="A43" s="67"/>
      <c r="B43" s="75">
        <f t="shared" si="2"/>
        <v>37</v>
      </c>
      <c r="C43" s="79"/>
      <c r="D43" s="79"/>
      <c r="E43" s="79"/>
      <c r="F43" s="80"/>
      <c r="G43" s="79"/>
      <c r="H43" s="81" t="s">
        <v>368</v>
      </c>
      <c r="I43" s="62"/>
      <c r="J43" s="62"/>
      <c r="K43" s="62">
        <f t="shared" si="3"/>
        <v>0</v>
      </c>
      <c r="L43" s="161"/>
      <c r="M43" s="62">
        <v>25000</v>
      </c>
      <c r="N43" s="62"/>
      <c r="O43" s="62">
        <f t="shared" si="4"/>
        <v>25000</v>
      </c>
      <c r="P43" s="161"/>
      <c r="Q43" s="62">
        <f t="shared" si="7"/>
        <v>25000</v>
      </c>
      <c r="R43" s="62">
        <f t="shared" si="8"/>
        <v>0</v>
      </c>
      <c r="S43" s="62">
        <f t="shared" si="8"/>
        <v>25000</v>
      </c>
    </row>
    <row r="44" spans="1:19" x14ac:dyDescent="0.2">
      <c r="B44" s="75">
        <f t="shared" si="2"/>
        <v>38</v>
      </c>
      <c r="C44" s="4"/>
      <c r="D44" s="4"/>
      <c r="E44" s="4"/>
      <c r="F44" s="86" t="s">
        <v>216</v>
      </c>
      <c r="G44" s="87">
        <v>716</v>
      </c>
      <c r="H44" s="87" t="s">
        <v>0</v>
      </c>
      <c r="I44" s="88"/>
      <c r="J44" s="88"/>
      <c r="K44" s="88">
        <f t="shared" si="3"/>
        <v>0</v>
      </c>
      <c r="L44" s="76"/>
      <c r="M44" s="88">
        <f>SUM(M45:M46)</f>
        <v>20000</v>
      </c>
      <c r="N44" s="88">
        <f>SUM(N45:N46)</f>
        <v>0</v>
      </c>
      <c r="O44" s="88">
        <f t="shared" si="4"/>
        <v>20000</v>
      </c>
      <c r="P44" s="76"/>
      <c r="Q44" s="88">
        <f t="shared" si="7"/>
        <v>20000</v>
      </c>
      <c r="R44" s="88">
        <f t="shared" si="8"/>
        <v>0</v>
      </c>
      <c r="S44" s="88">
        <f t="shared" si="8"/>
        <v>20000</v>
      </c>
    </row>
    <row r="45" spans="1:19" x14ac:dyDescent="0.2">
      <c r="B45" s="75">
        <f t="shared" si="2"/>
        <v>39</v>
      </c>
      <c r="C45" s="4"/>
      <c r="D45" s="54"/>
      <c r="E45" s="4"/>
      <c r="F45" s="53"/>
      <c r="G45" s="4"/>
      <c r="H45" s="38" t="s">
        <v>339</v>
      </c>
      <c r="I45" s="26"/>
      <c r="J45" s="26"/>
      <c r="K45" s="26">
        <f t="shared" si="3"/>
        <v>0</v>
      </c>
      <c r="L45" s="76"/>
      <c r="M45" s="26">
        <v>10000</v>
      </c>
      <c r="N45" s="26"/>
      <c r="O45" s="26">
        <f t="shared" si="4"/>
        <v>10000</v>
      </c>
      <c r="P45" s="76"/>
      <c r="Q45" s="26">
        <f t="shared" si="7"/>
        <v>10000</v>
      </c>
      <c r="R45" s="26">
        <f t="shared" si="8"/>
        <v>0</v>
      </c>
      <c r="S45" s="26">
        <f t="shared" si="8"/>
        <v>10000</v>
      </c>
    </row>
    <row r="46" spans="1:19" x14ac:dyDescent="0.2">
      <c r="B46" s="75">
        <f t="shared" si="2"/>
        <v>40</v>
      </c>
      <c r="C46" s="4"/>
      <c r="D46" s="54"/>
      <c r="E46" s="4"/>
      <c r="F46" s="53"/>
      <c r="G46" s="4"/>
      <c r="H46" s="38" t="s">
        <v>448</v>
      </c>
      <c r="I46" s="26"/>
      <c r="J46" s="26"/>
      <c r="K46" s="26">
        <f t="shared" si="3"/>
        <v>0</v>
      </c>
      <c r="L46" s="76"/>
      <c r="M46" s="26">
        <v>10000</v>
      </c>
      <c r="N46" s="26"/>
      <c r="O46" s="26">
        <f t="shared" si="4"/>
        <v>10000</v>
      </c>
      <c r="P46" s="76"/>
      <c r="Q46" s="26">
        <f t="shared" si="7"/>
        <v>10000</v>
      </c>
      <c r="R46" s="26">
        <f t="shared" si="8"/>
        <v>0</v>
      </c>
      <c r="S46" s="26">
        <f t="shared" si="8"/>
        <v>10000</v>
      </c>
    </row>
    <row r="47" spans="1:19" ht="15" x14ac:dyDescent="0.2">
      <c r="B47" s="75">
        <f t="shared" si="2"/>
        <v>41</v>
      </c>
      <c r="C47" s="11">
        <v>3</v>
      </c>
      <c r="D47" s="230" t="s">
        <v>142</v>
      </c>
      <c r="E47" s="228"/>
      <c r="F47" s="228"/>
      <c r="G47" s="228"/>
      <c r="H47" s="229"/>
      <c r="I47" s="45">
        <f>I49+I55+I48</f>
        <v>59500</v>
      </c>
      <c r="J47" s="45">
        <f>J49+J55+J48</f>
        <v>0</v>
      </c>
      <c r="K47" s="45">
        <f t="shared" si="3"/>
        <v>59500</v>
      </c>
      <c r="L47" s="172"/>
      <c r="M47" s="45">
        <f>M49+M55</f>
        <v>450970</v>
      </c>
      <c r="N47" s="45">
        <f>N49+N55</f>
        <v>0</v>
      </c>
      <c r="O47" s="45">
        <f t="shared" si="4"/>
        <v>450970</v>
      </c>
      <c r="P47" s="172"/>
      <c r="Q47" s="45">
        <f t="shared" si="7"/>
        <v>510470</v>
      </c>
      <c r="R47" s="45">
        <f t="shared" si="8"/>
        <v>0</v>
      </c>
      <c r="S47" s="45">
        <f t="shared" si="8"/>
        <v>510470</v>
      </c>
    </row>
    <row r="48" spans="1:19" x14ac:dyDescent="0.2">
      <c r="B48" s="75">
        <f t="shared" si="2"/>
        <v>42</v>
      </c>
      <c r="C48" s="15"/>
      <c r="D48" s="15"/>
      <c r="E48" s="15"/>
      <c r="F48" s="52" t="s">
        <v>75</v>
      </c>
      <c r="G48" s="15">
        <v>620</v>
      </c>
      <c r="H48" s="15" t="s">
        <v>132</v>
      </c>
      <c r="I48" s="49">
        <v>5500</v>
      </c>
      <c r="J48" s="49"/>
      <c r="K48" s="49">
        <f t="shared" si="3"/>
        <v>5500</v>
      </c>
      <c r="L48" s="123"/>
      <c r="M48" s="49">
        <f>M52+M51+M50+M49+M53</f>
        <v>0</v>
      </c>
      <c r="N48" s="49">
        <f>N52+N51+N50+N49+N53</f>
        <v>0</v>
      </c>
      <c r="O48" s="49">
        <f t="shared" si="4"/>
        <v>0</v>
      </c>
      <c r="P48" s="123"/>
      <c r="Q48" s="49">
        <f t="shared" si="7"/>
        <v>5500</v>
      </c>
      <c r="R48" s="49">
        <f t="shared" si="8"/>
        <v>0</v>
      </c>
      <c r="S48" s="49">
        <f t="shared" si="8"/>
        <v>5500</v>
      </c>
    </row>
    <row r="49" spans="2:20" x14ac:dyDescent="0.2">
      <c r="B49" s="75">
        <f t="shared" si="2"/>
        <v>43</v>
      </c>
      <c r="C49" s="15"/>
      <c r="D49" s="15"/>
      <c r="E49" s="15"/>
      <c r="F49" s="52" t="s">
        <v>75</v>
      </c>
      <c r="G49" s="15">
        <v>630</v>
      </c>
      <c r="H49" s="15" t="s">
        <v>129</v>
      </c>
      <c r="I49" s="49">
        <f>I53+I52+I51+I50+I54</f>
        <v>54000</v>
      </c>
      <c r="J49" s="49">
        <f>J53+J52+J51+J50+J54</f>
        <v>0</v>
      </c>
      <c r="K49" s="49">
        <f t="shared" si="3"/>
        <v>54000</v>
      </c>
      <c r="L49" s="123"/>
      <c r="M49" s="49">
        <f>M53+M52+M51+M50+M54</f>
        <v>0</v>
      </c>
      <c r="N49" s="49">
        <f>N53+N52+N51+N50+N54</f>
        <v>0</v>
      </c>
      <c r="O49" s="49">
        <f t="shared" si="4"/>
        <v>0</v>
      </c>
      <c r="P49" s="123"/>
      <c r="Q49" s="49">
        <f t="shared" si="7"/>
        <v>54000</v>
      </c>
      <c r="R49" s="49">
        <f t="shared" si="8"/>
        <v>0</v>
      </c>
      <c r="S49" s="49">
        <f t="shared" si="8"/>
        <v>54000</v>
      </c>
    </row>
    <row r="50" spans="2:20" x14ac:dyDescent="0.2">
      <c r="B50" s="75">
        <f t="shared" ref="B50:B76" si="9">B49+1</f>
        <v>44</v>
      </c>
      <c r="C50" s="4"/>
      <c r="D50" s="4"/>
      <c r="E50" s="4"/>
      <c r="F50" s="53" t="s">
        <v>75</v>
      </c>
      <c r="G50" s="4">
        <v>631</v>
      </c>
      <c r="H50" s="4" t="s">
        <v>135</v>
      </c>
      <c r="I50" s="26">
        <v>1000</v>
      </c>
      <c r="J50" s="26"/>
      <c r="K50" s="26">
        <f t="shared" si="3"/>
        <v>1000</v>
      </c>
      <c r="L50" s="76"/>
      <c r="M50" s="26"/>
      <c r="N50" s="26"/>
      <c r="O50" s="26">
        <f t="shared" si="4"/>
        <v>0</v>
      </c>
      <c r="P50" s="76"/>
      <c r="Q50" s="26">
        <f t="shared" si="7"/>
        <v>1000</v>
      </c>
      <c r="R50" s="26">
        <f t="shared" si="8"/>
        <v>0</v>
      </c>
      <c r="S50" s="26">
        <f t="shared" si="8"/>
        <v>1000</v>
      </c>
    </row>
    <row r="51" spans="2:20" x14ac:dyDescent="0.2">
      <c r="B51" s="75">
        <f t="shared" si="9"/>
        <v>45</v>
      </c>
      <c r="C51" s="4"/>
      <c r="D51" s="4"/>
      <c r="E51" s="4"/>
      <c r="F51" s="53" t="s">
        <v>75</v>
      </c>
      <c r="G51" s="4">
        <v>633</v>
      </c>
      <c r="H51" s="4" t="s">
        <v>133</v>
      </c>
      <c r="I51" s="26">
        <v>1500</v>
      </c>
      <c r="J51" s="26"/>
      <c r="K51" s="26">
        <f t="shared" si="3"/>
        <v>1500</v>
      </c>
      <c r="L51" s="76"/>
      <c r="M51" s="26"/>
      <c r="N51" s="26"/>
      <c r="O51" s="26">
        <f t="shared" si="4"/>
        <v>0</v>
      </c>
      <c r="P51" s="76"/>
      <c r="Q51" s="26">
        <f t="shared" si="7"/>
        <v>1500</v>
      </c>
      <c r="R51" s="26">
        <f t="shared" si="8"/>
        <v>0</v>
      </c>
      <c r="S51" s="26">
        <f t="shared" si="8"/>
        <v>1500</v>
      </c>
    </row>
    <row r="52" spans="2:20" x14ac:dyDescent="0.2">
      <c r="B52" s="75">
        <f t="shared" si="9"/>
        <v>46</v>
      </c>
      <c r="C52" s="4"/>
      <c r="D52" s="4"/>
      <c r="E52" s="4"/>
      <c r="F52" s="53" t="s">
        <v>75</v>
      </c>
      <c r="G52" s="4">
        <v>636</v>
      </c>
      <c r="H52" s="4" t="s">
        <v>134</v>
      </c>
      <c r="I52" s="58">
        <v>500</v>
      </c>
      <c r="J52" s="58"/>
      <c r="K52" s="58">
        <f t="shared" si="3"/>
        <v>500</v>
      </c>
      <c r="L52" s="76"/>
      <c r="M52" s="26"/>
      <c r="N52" s="26"/>
      <c r="O52" s="26">
        <f t="shared" si="4"/>
        <v>0</v>
      </c>
      <c r="P52" s="76"/>
      <c r="Q52" s="26">
        <f t="shared" si="7"/>
        <v>500</v>
      </c>
      <c r="R52" s="26">
        <f t="shared" si="8"/>
        <v>0</v>
      </c>
      <c r="S52" s="26">
        <f t="shared" si="8"/>
        <v>500</v>
      </c>
    </row>
    <row r="53" spans="2:20" x14ac:dyDescent="0.2">
      <c r="B53" s="75">
        <f t="shared" si="9"/>
        <v>47</v>
      </c>
      <c r="C53" s="4"/>
      <c r="D53" s="4"/>
      <c r="E53" s="4"/>
      <c r="F53" s="53" t="s">
        <v>75</v>
      </c>
      <c r="G53" s="4">
        <v>637</v>
      </c>
      <c r="H53" s="4" t="s">
        <v>130</v>
      </c>
      <c r="I53" s="58">
        <f>56500-20000-5500</f>
        <v>31000</v>
      </c>
      <c r="J53" s="58"/>
      <c r="K53" s="58">
        <f t="shared" si="3"/>
        <v>31000</v>
      </c>
      <c r="L53" s="76"/>
      <c r="M53" s="26"/>
      <c r="N53" s="26"/>
      <c r="O53" s="26">
        <f t="shared" si="4"/>
        <v>0</v>
      </c>
      <c r="P53" s="76"/>
      <c r="Q53" s="26">
        <f t="shared" si="7"/>
        <v>31000</v>
      </c>
      <c r="R53" s="26">
        <f t="shared" si="8"/>
        <v>0</v>
      </c>
      <c r="S53" s="26">
        <f t="shared" si="8"/>
        <v>31000</v>
      </c>
    </row>
    <row r="54" spans="2:20" x14ac:dyDescent="0.2">
      <c r="B54" s="75">
        <f t="shared" si="9"/>
        <v>48</v>
      </c>
      <c r="C54" s="4"/>
      <c r="D54" s="4"/>
      <c r="E54" s="4"/>
      <c r="F54" s="53" t="s">
        <v>75</v>
      </c>
      <c r="G54" s="4">
        <v>637</v>
      </c>
      <c r="H54" s="4" t="s">
        <v>81</v>
      </c>
      <c r="I54" s="58">
        <v>20000</v>
      </c>
      <c r="J54" s="58"/>
      <c r="K54" s="58">
        <f t="shared" si="3"/>
        <v>20000</v>
      </c>
      <c r="L54" s="76"/>
      <c r="M54" s="26"/>
      <c r="N54" s="26"/>
      <c r="O54" s="26">
        <f t="shared" si="4"/>
        <v>0</v>
      </c>
      <c r="P54" s="76"/>
      <c r="Q54" s="26">
        <f t="shared" si="7"/>
        <v>20000</v>
      </c>
      <c r="R54" s="26">
        <f t="shared" si="8"/>
        <v>0</v>
      </c>
      <c r="S54" s="26">
        <f t="shared" si="8"/>
        <v>20000</v>
      </c>
    </row>
    <row r="55" spans="2:20" x14ac:dyDescent="0.2">
      <c r="B55" s="75">
        <f t="shared" si="9"/>
        <v>49</v>
      </c>
      <c r="C55" s="15"/>
      <c r="D55" s="15"/>
      <c r="E55" s="15"/>
      <c r="F55" s="52" t="s">
        <v>75</v>
      </c>
      <c r="G55" s="15">
        <v>710</v>
      </c>
      <c r="H55" s="15" t="s">
        <v>185</v>
      </c>
      <c r="I55" s="49">
        <f>I58+I56</f>
        <v>0</v>
      </c>
      <c r="J55" s="49">
        <f>J58+J56</f>
        <v>0</v>
      </c>
      <c r="K55" s="49">
        <f t="shared" si="3"/>
        <v>0</v>
      </c>
      <c r="L55" s="123"/>
      <c r="M55" s="49">
        <f>M58+M56</f>
        <v>450970</v>
      </c>
      <c r="N55" s="49">
        <f>N58+N56</f>
        <v>0</v>
      </c>
      <c r="O55" s="49">
        <f t="shared" si="4"/>
        <v>450970</v>
      </c>
      <c r="P55" s="123"/>
      <c r="Q55" s="49">
        <f t="shared" si="7"/>
        <v>450970</v>
      </c>
      <c r="R55" s="49">
        <f t="shared" ref="R55:S70" si="10">N55+J55</f>
        <v>0</v>
      </c>
      <c r="S55" s="49">
        <f t="shared" si="10"/>
        <v>450970</v>
      </c>
    </row>
    <row r="56" spans="2:20" x14ac:dyDescent="0.2">
      <c r="B56" s="75">
        <f t="shared" si="9"/>
        <v>50</v>
      </c>
      <c r="C56" s="4"/>
      <c r="D56" s="4"/>
      <c r="E56" s="4"/>
      <c r="F56" s="86" t="s">
        <v>75</v>
      </c>
      <c r="G56" s="87">
        <v>716</v>
      </c>
      <c r="H56" s="87" t="s">
        <v>0</v>
      </c>
      <c r="I56" s="88"/>
      <c r="J56" s="88"/>
      <c r="K56" s="88">
        <f t="shared" si="3"/>
        <v>0</v>
      </c>
      <c r="L56" s="76"/>
      <c r="M56" s="88">
        <f>M57</f>
        <v>28220</v>
      </c>
      <c r="N56" s="88">
        <f>N57</f>
        <v>0</v>
      </c>
      <c r="O56" s="88">
        <f t="shared" si="4"/>
        <v>28220</v>
      </c>
      <c r="P56" s="76"/>
      <c r="Q56" s="88">
        <f t="shared" si="7"/>
        <v>28220</v>
      </c>
      <c r="R56" s="88">
        <f t="shared" si="10"/>
        <v>0</v>
      </c>
      <c r="S56" s="88">
        <f t="shared" si="10"/>
        <v>28220</v>
      </c>
    </row>
    <row r="57" spans="2:20" x14ac:dyDescent="0.2">
      <c r="B57" s="75">
        <f t="shared" si="9"/>
        <v>51</v>
      </c>
      <c r="C57" s="4"/>
      <c r="D57" s="4"/>
      <c r="E57" s="4"/>
      <c r="F57" s="53"/>
      <c r="G57" s="4"/>
      <c r="H57" s="4" t="s">
        <v>478</v>
      </c>
      <c r="I57" s="26"/>
      <c r="J57" s="26"/>
      <c r="K57" s="26">
        <f t="shared" si="3"/>
        <v>0</v>
      </c>
      <c r="L57" s="76"/>
      <c r="M57" s="26">
        <f>48000-10800-28980+20000</f>
        <v>28220</v>
      </c>
      <c r="N57" s="26"/>
      <c r="O57" s="26">
        <f t="shared" si="4"/>
        <v>28220</v>
      </c>
      <c r="P57" s="76"/>
      <c r="Q57" s="26">
        <f t="shared" si="7"/>
        <v>28220</v>
      </c>
      <c r="R57" s="26">
        <f t="shared" si="10"/>
        <v>0</v>
      </c>
      <c r="S57" s="26">
        <f t="shared" si="10"/>
        <v>28220</v>
      </c>
    </row>
    <row r="58" spans="2:20" x14ac:dyDescent="0.2">
      <c r="B58" s="75">
        <f t="shared" si="9"/>
        <v>52</v>
      </c>
      <c r="C58" s="4"/>
      <c r="D58" s="4"/>
      <c r="E58" s="4"/>
      <c r="F58" s="86" t="s">
        <v>75</v>
      </c>
      <c r="G58" s="87">
        <v>717</v>
      </c>
      <c r="H58" s="87" t="s">
        <v>195</v>
      </c>
      <c r="I58" s="88"/>
      <c r="J58" s="88"/>
      <c r="K58" s="88">
        <f t="shared" si="3"/>
        <v>0</v>
      </c>
      <c r="L58" s="76"/>
      <c r="M58" s="88">
        <f>SUM(M59:M64)</f>
        <v>422750</v>
      </c>
      <c r="N58" s="88">
        <f>SUM(N59:N64)</f>
        <v>0</v>
      </c>
      <c r="O58" s="88">
        <f t="shared" si="4"/>
        <v>422750</v>
      </c>
      <c r="P58" s="76"/>
      <c r="Q58" s="88">
        <f t="shared" si="7"/>
        <v>422750</v>
      </c>
      <c r="R58" s="88">
        <f t="shared" si="10"/>
        <v>0</v>
      </c>
      <c r="S58" s="88">
        <f t="shared" si="10"/>
        <v>422750</v>
      </c>
    </row>
    <row r="59" spans="2:20" x14ac:dyDescent="0.2">
      <c r="B59" s="75">
        <f t="shared" si="9"/>
        <v>53</v>
      </c>
      <c r="C59" s="4"/>
      <c r="D59" s="54"/>
      <c r="E59" s="4"/>
      <c r="F59" s="53"/>
      <c r="G59" s="4"/>
      <c r="H59" s="38" t="s">
        <v>479</v>
      </c>
      <c r="I59" s="26"/>
      <c r="J59" s="26"/>
      <c r="K59" s="26">
        <f t="shared" si="3"/>
        <v>0</v>
      </c>
      <c r="L59" s="76"/>
      <c r="M59" s="26">
        <f>150000+55000</f>
        <v>205000</v>
      </c>
      <c r="N59" s="26"/>
      <c r="O59" s="26">
        <f t="shared" si="4"/>
        <v>205000</v>
      </c>
      <c r="P59" s="76"/>
      <c r="Q59" s="26">
        <f t="shared" si="7"/>
        <v>205000</v>
      </c>
      <c r="R59" s="26">
        <f t="shared" si="10"/>
        <v>0</v>
      </c>
      <c r="S59" s="26">
        <f t="shared" si="10"/>
        <v>205000</v>
      </c>
    </row>
    <row r="60" spans="2:20" x14ac:dyDescent="0.2">
      <c r="B60" s="75">
        <f t="shared" si="9"/>
        <v>54</v>
      </c>
      <c r="C60" s="4"/>
      <c r="D60" s="54"/>
      <c r="E60" s="4"/>
      <c r="F60" s="53"/>
      <c r="G60" s="4"/>
      <c r="H60" s="140" t="s">
        <v>340</v>
      </c>
      <c r="I60" s="141"/>
      <c r="J60" s="141"/>
      <c r="K60" s="141">
        <f t="shared" si="3"/>
        <v>0</v>
      </c>
      <c r="L60" s="76"/>
      <c r="M60" s="141">
        <f>100000-85650-3000</f>
        <v>11350</v>
      </c>
      <c r="N60" s="141"/>
      <c r="O60" s="141">
        <f t="shared" si="4"/>
        <v>11350</v>
      </c>
      <c r="P60" s="76"/>
      <c r="Q60" s="141">
        <f t="shared" si="7"/>
        <v>11350</v>
      </c>
      <c r="R60" s="141">
        <f t="shared" si="10"/>
        <v>0</v>
      </c>
      <c r="S60" s="141">
        <f t="shared" si="10"/>
        <v>11350</v>
      </c>
    </row>
    <row r="61" spans="2:20" x14ac:dyDescent="0.2">
      <c r="B61" s="75">
        <f t="shared" si="9"/>
        <v>55</v>
      </c>
      <c r="C61" s="4"/>
      <c r="D61" s="54"/>
      <c r="E61" s="4"/>
      <c r="F61" s="53"/>
      <c r="G61" s="4"/>
      <c r="H61" s="133" t="s">
        <v>341</v>
      </c>
      <c r="I61" s="134"/>
      <c r="J61" s="134"/>
      <c r="K61" s="134">
        <f t="shared" si="3"/>
        <v>0</v>
      </c>
      <c r="L61" s="76"/>
      <c r="M61" s="134">
        <f>100000-98600</f>
        <v>1400</v>
      </c>
      <c r="N61" s="134"/>
      <c r="O61" s="134">
        <f t="shared" si="4"/>
        <v>1400</v>
      </c>
      <c r="P61" s="76"/>
      <c r="Q61" s="134">
        <f t="shared" si="7"/>
        <v>1400</v>
      </c>
      <c r="R61" s="134">
        <f t="shared" si="10"/>
        <v>0</v>
      </c>
      <c r="S61" s="134">
        <f t="shared" si="10"/>
        <v>1400</v>
      </c>
    </row>
    <row r="62" spans="2:20" x14ac:dyDescent="0.2">
      <c r="B62" s="75">
        <f t="shared" si="9"/>
        <v>56</v>
      </c>
      <c r="C62" s="4"/>
      <c r="D62" s="54"/>
      <c r="E62" s="4"/>
      <c r="F62" s="53"/>
      <c r="G62" s="4"/>
      <c r="H62" s="135" t="s">
        <v>342</v>
      </c>
      <c r="I62" s="136"/>
      <c r="J62" s="136"/>
      <c r="K62" s="136">
        <f t="shared" si="3"/>
        <v>0</v>
      </c>
      <c r="L62" s="76"/>
      <c r="M62" s="136">
        <f>100000-100000</f>
        <v>0</v>
      </c>
      <c r="N62" s="136"/>
      <c r="O62" s="136">
        <f t="shared" si="4"/>
        <v>0</v>
      </c>
      <c r="P62" s="76"/>
      <c r="Q62" s="136">
        <f t="shared" si="7"/>
        <v>0</v>
      </c>
      <c r="R62" s="136">
        <f t="shared" si="10"/>
        <v>0</v>
      </c>
      <c r="S62" s="136">
        <f t="shared" si="10"/>
        <v>0</v>
      </c>
    </row>
    <row r="63" spans="2:20" x14ac:dyDescent="0.2">
      <c r="B63" s="75">
        <f t="shared" si="9"/>
        <v>57</v>
      </c>
      <c r="C63" s="4"/>
      <c r="D63" s="54"/>
      <c r="E63" s="4"/>
      <c r="F63" s="53"/>
      <c r="G63" s="4"/>
      <c r="H63" s="124" t="s">
        <v>343</v>
      </c>
      <c r="I63" s="125"/>
      <c r="J63" s="125"/>
      <c r="K63" s="125">
        <f t="shared" si="3"/>
        <v>0</v>
      </c>
      <c r="L63" s="76"/>
      <c r="M63" s="125">
        <f>100000-100000+150000</f>
        <v>150000</v>
      </c>
      <c r="N63" s="125"/>
      <c r="O63" s="125">
        <f t="shared" si="4"/>
        <v>150000</v>
      </c>
      <c r="P63" s="76"/>
      <c r="Q63" s="125">
        <f t="shared" si="7"/>
        <v>150000</v>
      </c>
      <c r="R63" s="125">
        <f t="shared" si="10"/>
        <v>0</v>
      </c>
      <c r="S63" s="125">
        <f t="shared" si="10"/>
        <v>150000</v>
      </c>
      <c r="T63" s="21"/>
    </row>
    <row r="64" spans="2:20" x14ac:dyDescent="0.2">
      <c r="B64" s="75">
        <f t="shared" si="9"/>
        <v>58</v>
      </c>
      <c r="C64" s="4"/>
      <c r="D64" s="54"/>
      <c r="E64" s="4"/>
      <c r="F64" s="53"/>
      <c r="G64" s="4"/>
      <c r="H64" s="55" t="s">
        <v>344</v>
      </c>
      <c r="I64" s="26"/>
      <c r="J64" s="26"/>
      <c r="K64" s="26">
        <f t="shared" si="3"/>
        <v>0</v>
      </c>
      <c r="L64" s="76"/>
      <c r="M64" s="26">
        <v>55000</v>
      </c>
      <c r="N64" s="26"/>
      <c r="O64" s="26">
        <f t="shared" si="4"/>
        <v>55000</v>
      </c>
      <c r="P64" s="76"/>
      <c r="Q64" s="26">
        <f t="shared" si="7"/>
        <v>55000</v>
      </c>
      <c r="R64" s="26">
        <f t="shared" si="10"/>
        <v>0</v>
      </c>
      <c r="S64" s="26">
        <f t="shared" si="10"/>
        <v>55000</v>
      </c>
    </row>
    <row r="65" spans="2:19" ht="15" x14ac:dyDescent="0.2">
      <c r="B65" s="75">
        <f t="shared" si="9"/>
        <v>59</v>
      </c>
      <c r="C65" s="11">
        <v>4</v>
      </c>
      <c r="D65" s="230" t="s">
        <v>483</v>
      </c>
      <c r="E65" s="228"/>
      <c r="F65" s="228"/>
      <c r="G65" s="228"/>
      <c r="H65" s="229"/>
      <c r="I65" s="45">
        <v>0</v>
      </c>
      <c r="J65" s="45">
        <v>0</v>
      </c>
      <c r="K65" s="45">
        <f t="shared" si="3"/>
        <v>0</v>
      </c>
      <c r="L65" s="172"/>
      <c r="M65" s="45">
        <f t="shared" ref="M65:N68" si="11">M66+M67</f>
        <v>0</v>
      </c>
      <c r="N65" s="45">
        <f t="shared" si="11"/>
        <v>0</v>
      </c>
      <c r="O65" s="45">
        <f t="shared" si="4"/>
        <v>0</v>
      </c>
      <c r="P65" s="172"/>
      <c r="Q65" s="45">
        <f t="shared" si="7"/>
        <v>0</v>
      </c>
      <c r="R65" s="45">
        <f t="shared" si="10"/>
        <v>0</v>
      </c>
      <c r="S65" s="45">
        <f t="shared" si="10"/>
        <v>0</v>
      </c>
    </row>
    <row r="66" spans="2:19" ht="15" x14ac:dyDescent="0.2">
      <c r="B66" s="75">
        <f t="shared" si="9"/>
        <v>60</v>
      </c>
      <c r="C66" s="11">
        <v>5</v>
      </c>
      <c r="D66" s="230" t="s">
        <v>484</v>
      </c>
      <c r="E66" s="228"/>
      <c r="F66" s="228"/>
      <c r="G66" s="228"/>
      <c r="H66" s="229"/>
      <c r="I66" s="45">
        <v>0</v>
      </c>
      <c r="J66" s="45">
        <v>0</v>
      </c>
      <c r="K66" s="45">
        <f t="shared" si="3"/>
        <v>0</v>
      </c>
      <c r="L66" s="172"/>
      <c r="M66" s="45">
        <f t="shared" si="11"/>
        <v>0</v>
      </c>
      <c r="N66" s="45">
        <f t="shared" si="11"/>
        <v>0</v>
      </c>
      <c r="O66" s="45">
        <f t="shared" si="4"/>
        <v>0</v>
      </c>
      <c r="P66" s="172"/>
      <c r="Q66" s="45">
        <f t="shared" si="7"/>
        <v>0</v>
      </c>
      <c r="R66" s="45">
        <f t="shared" si="10"/>
        <v>0</v>
      </c>
      <c r="S66" s="45">
        <f t="shared" si="10"/>
        <v>0</v>
      </c>
    </row>
    <row r="67" spans="2:19" ht="15" x14ac:dyDescent="0.2">
      <c r="B67" s="75">
        <f t="shared" si="9"/>
        <v>61</v>
      </c>
      <c r="C67" s="11">
        <v>6</v>
      </c>
      <c r="D67" s="230" t="s">
        <v>485</v>
      </c>
      <c r="E67" s="228"/>
      <c r="F67" s="228"/>
      <c r="G67" s="228"/>
      <c r="H67" s="229"/>
      <c r="I67" s="45">
        <v>0</v>
      </c>
      <c r="J67" s="45">
        <v>0</v>
      </c>
      <c r="K67" s="45">
        <f t="shared" si="3"/>
        <v>0</v>
      </c>
      <c r="L67" s="172"/>
      <c r="M67" s="45">
        <f t="shared" si="11"/>
        <v>0</v>
      </c>
      <c r="N67" s="45">
        <f t="shared" si="11"/>
        <v>0</v>
      </c>
      <c r="O67" s="45">
        <f t="shared" si="4"/>
        <v>0</v>
      </c>
      <c r="P67" s="172"/>
      <c r="Q67" s="45">
        <f t="shared" si="7"/>
        <v>0</v>
      </c>
      <c r="R67" s="45">
        <f t="shared" si="10"/>
        <v>0</v>
      </c>
      <c r="S67" s="45">
        <f t="shared" si="10"/>
        <v>0</v>
      </c>
    </row>
    <row r="68" spans="2:19" ht="15" x14ac:dyDescent="0.2">
      <c r="B68" s="75">
        <f t="shared" si="9"/>
        <v>62</v>
      </c>
      <c r="C68" s="11">
        <v>7</v>
      </c>
      <c r="D68" s="230" t="s">
        <v>35</v>
      </c>
      <c r="E68" s="228"/>
      <c r="F68" s="228"/>
      <c r="G68" s="228"/>
      <c r="H68" s="229"/>
      <c r="I68" s="45">
        <f>I69+I70</f>
        <v>70310</v>
      </c>
      <c r="J68" s="45">
        <f>J69+J70</f>
        <v>0</v>
      </c>
      <c r="K68" s="45">
        <f t="shared" si="3"/>
        <v>70310</v>
      </c>
      <c r="L68" s="172"/>
      <c r="M68" s="45">
        <f t="shared" si="11"/>
        <v>0</v>
      </c>
      <c r="N68" s="45">
        <f t="shared" si="11"/>
        <v>0</v>
      </c>
      <c r="O68" s="45">
        <f t="shared" si="4"/>
        <v>0</v>
      </c>
      <c r="P68" s="172"/>
      <c r="Q68" s="45">
        <f t="shared" si="7"/>
        <v>70310</v>
      </c>
      <c r="R68" s="45">
        <f t="shared" si="10"/>
        <v>0</v>
      </c>
      <c r="S68" s="45">
        <f t="shared" si="10"/>
        <v>70310</v>
      </c>
    </row>
    <row r="69" spans="2:19" x14ac:dyDescent="0.2">
      <c r="B69" s="75">
        <f t="shared" si="9"/>
        <v>63</v>
      </c>
      <c r="C69" s="15"/>
      <c r="D69" s="15"/>
      <c r="E69" s="15"/>
      <c r="F69" s="52" t="s">
        <v>75</v>
      </c>
      <c r="G69" s="15">
        <v>620</v>
      </c>
      <c r="H69" s="15" t="s">
        <v>132</v>
      </c>
      <c r="I69" s="49">
        <f>6600+960</f>
        <v>7560</v>
      </c>
      <c r="J69" s="49"/>
      <c r="K69" s="49">
        <f t="shared" si="3"/>
        <v>7560</v>
      </c>
      <c r="L69" s="123"/>
      <c r="M69" s="49"/>
      <c r="N69" s="49"/>
      <c r="O69" s="49">
        <f t="shared" si="4"/>
        <v>0</v>
      </c>
      <c r="P69" s="123"/>
      <c r="Q69" s="49">
        <f t="shared" si="7"/>
        <v>7560</v>
      </c>
      <c r="R69" s="49">
        <f t="shared" si="10"/>
        <v>0</v>
      </c>
      <c r="S69" s="49">
        <f t="shared" si="10"/>
        <v>7560</v>
      </c>
    </row>
    <row r="70" spans="2:19" x14ac:dyDescent="0.2">
      <c r="B70" s="75">
        <f t="shared" si="9"/>
        <v>64</v>
      </c>
      <c r="C70" s="15"/>
      <c r="D70" s="15"/>
      <c r="E70" s="15"/>
      <c r="F70" s="52" t="s">
        <v>75</v>
      </c>
      <c r="G70" s="15">
        <v>630</v>
      </c>
      <c r="H70" s="15" t="s">
        <v>129</v>
      </c>
      <c r="I70" s="49">
        <f>SUM(I71:I73)</f>
        <v>62750</v>
      </c>
      <c r="J70" s="49">
        <f>SUM(J71:J73)</f>
        <v>0</v>
      </c>
      <c r="K70" s="49">
        <f t="shared" si="3"/>
        <v>62750</v>
      </c>
      <c r="L70" s="123"/>
      <c r="M70" s="49">
        <f>SUM(M71:M73)</f>
        <v>0</v>
      </c>
      <c r="N70" s="49">
        <f>SUM(N71:N73)</f>
        <v>0</v>
      </c>
      <c r="O70" s="49">
        <f t="shared" si="4"/>
        <v>0</v>
      </c>
      <c r="P70" s="123"/>
      <c r="Q70" s="49">
        <f t="shared" si="7"/>
        <v>62750</v>
      </c>
      <c r="R70" s="49">
        <f t="shared" si="10"/>
        <v>0</v>
      </c>
      <c r="S70" s="49">
        <f t="shared" si="10"/>
        <v>62750</v>
      </c>
    </row>
    <row r="71" spans="2:19" x14ac:dyDescent="0.2">
      <c r="B71" s="75">
        <f t="shared" si="9"/>
        <v>65</v>
      </c>
      <c r="C71" s="4"/>
      <c r="D71" s="4"/>
      <c r="E71" s="4"/>
      <c r="F71" s="53" t="s">
        <v>75</v>
      </c>
      <c r="G71" s="4">
        <v>632</v>
      </c>
      <c r="H71" s="4" t="s">
        <v>140</v>
      </c>
      <c r="I71" s="26">
        <v>20000</v>
      </c>
      <c r="J71" s="26"/>
      <c r="K71" s="26">
        <f t="shared" si="3"/>
        <v>20000</v>
      </c>
      <c r="L71" s="76"/>
      <c r="M71" s="26"/>
      <c r="N71" s="26"/>
      <c r="O71" s="26">
        <f t="shared" si="4"/>
        <v>0</v>
      </c>
      <c r="P71" s="76"/>
      <c r="Q71" s="26">
        <f t="shared" ref="Q71:Q76" si="12">M71+I71</f>
        <v>20000</v>
      </c>
      <c r="R71" s="26">
        <f t="shared" ref="R71:S76" si="13">N71+J71</f>
        <v>0</v>
      </c>
      <c r="S71" s="26">
        <f t="shared" si="13"/>
        <v>20000</v>
      </c>
    </row>
    <row r="72" spans="2:19" x14ac:dyDescent="0.2">
      <c r="B72" s="75">
        <f t="shared" si="9"/>
        <v>66</v>
      </c>
      <c r="C72" s="4"/>
      <c r="D72" s="4"/>
      <c r="E72" s="4"/>
      <c r="F72" s="53" t="s">
        <v>75</v>
      </c>
      <c r="G72" s="4">
        <v>633</v>
      </c>
      <c r="H72" s="4" t="s">
        <v>133</v>
      </c>
      <c r="I72" s="26">
        <v>5500</v>
      </c>
      <c r="J72" s="26"/>
      <c r="K72" s="26">
        <f t="shared" ref="K72:K76" si="14">I72+J72</f>
        <v>5500</v>
      </c>
      <c r="L72" s="76"/>
      <c r="M72" s="26"/>
      <c r="N72" s="26"/>
      <c r="O72" s="26">
        <f t="shared" ref="O72:O76" si="15">M72+N72</f>
        <v>0</v>
      </c>
      <c r="P72" s="76"/>
      <c r="Q72" s="26">
        <f t="shared" si="12"/>
        <v>5500</v>
      </c>
      <c r="R72" s="26">
        <f t="shared" si="13"/>
        <v>0</v>
      </c>
      <c r="S72" s="26">
        <f t="shared" si="13"/>
        <v>5500</v>
      </c>
    </row>
    <row r="73" spans="2:19" x14ac:dyDescent="0.2">
      <c r="B73" s="75">
        <f t="shared" si="9"/>
        <v>67</v>
      </c>
      <c r="C73" s="4"/>
      <c r="D73" s="54"/>
      <c r="E73" s="4"/>
      <c r="F73" s="53" t="s">
        <v>75</v>
      </c>
      <c r="G73" s="4">
        <v>637</v>
      </c>
      <c r="H73" s="4" t="s">
        <v>130</v>
      </c>
      <c r="I73" s="26">
        <f>20000+6000+8500+2750</f>
        <v>37250</v>
      </c>
      <c r="J73" s="26"/>
      <c r="K73" s="26">
        <f t="shared" si="14"/>
        <v>37250</v>
      </c>
      <c r="L73" s="76"/>
      <c r="M73" s="26"/>
      <c r="N73" s="26"/>
      <c r="O73" s="26">
        <f t="shared" si="15"/>
        <v>0</v>
      </c>
      <c r="P73" s="76"/>
      <c r="Q73" s="26">
        <f t="shared" si="12"/>
        <v>37250</v>
      </c>
      <c r="R73" s="26">
        <f t="shared" si="13"/>
        <v>0</v>
      </c>
      <c r="S73" s="26">
        <f t="shared" si="13"/>
        <v>37250</v>
      </c>
    </row>
    <row r="74" spans="2:19" ht="15" x14ac:dyDescent="0.2">
      <c r="B74" s="75">
        <f t="shared" si="9"/>
        <v>68</v>
      </c>
      <c r="C74" s="11">
        <v>8</v>
      </c>
      <c r="D74" s="230" t="s">
        <v>233</v>
      </c>
      <c r="E74" s="228"/>
      <c r="F74" s="228"/>
      <c r="G74" s="228"/>
      <c r="H74" s="229"/>
      <c r="I74" s="45">
        <f>I75</f>
        <v>16000</v>
      </c>
      <c r="J74" s="45">
        <f>J75</f>
        <v>0</v>
      </c>
      <c r="K74" s="45">
        <f t="shared" si="14"/>
        <v>16000</v>
      </c>
      <c r="L74" s="172"/>
      <c r="M74" s="45">
        <f>M75</f>
        <v>0</v>
      </c>
      <c r="N74" s="45">
        <f>N75</f>
        <v>0</v>
      </c>
      <c r="O74" s="45">
        <f t="shared" si="15"/>
        <v>0</v>
      </c>
      <c r="P74" s="172"/>
      <c r="Q74" s="45">
        <f t="shared" si="12"/>
        <v>16000</v>
      </c>
      <c r="R74" s="45">
        <f t="shared" si="13"/>
        <v>0</v>
      </c>
      <c r="S74" s="45">
        <f t="shared" si="13"/>
        <v>16000</v>
      </c>
    </row>
    <row r="75" spans="2:19" x14ac:dyDescent="0.2">
      <c r="B75" s="75">
        <f t="shared" si="9"/>
        <v>69</v>
      </c>
      <c r="C75" s="15"/>
      <c r="D75" s="15"/>
      <c r="E75" s="15"/>
      <c r="F75" s="52" t="s">
        <v>151</v>
      </c>
      <c r="G75" s="15">
        <v>640</v>
      </c>
      <c r="H75" s="15" t="s">
        <v>136</v>
      </c>
      <c r="I75" s="49">
        <v>16000</v>
      </c>
      <c r="J75" s="49"/>
      <c r="K75" s="49">
        <f t="shared" si="14"/>
        <v>16000</v>
      </c>
      <c r="L75" s="123"/>
      <c r="M75" s="49"/>
      <c r="N75" s="49"/>
      <c r="O75" s="49">
        <f t="shared" si="15"/>
        <v>0</v>
      </c>
      <c r="P75" s="123"/>
      <c r="Q75" s="49">
        <f t="shared" si="12"/>
        <v>16000</v>
      </c>
      <c r="R75" s="49">
        <f t="shared" si="13"/>
        <v>0</v>
      </c>
      <c r="S75" s="49">
        <f t="shared" si="13"/>
        <v>16000</v>
      </c>
    </row>
    <row r="76" spans="2:19" ht="15" x14ac:dyDescent="0.2">
      <c r="B76" s="75">
        <f t="shared" si="9"/>
        <v>70</v>
      </c>
      <c r="C76" s="11">
        <v>9</v>
      </c>
      <c r="D76" s="230" t="s">
        <v>189</v>
      </c>
      <c r="E76" s="228"/>
      <c r="F76" s="228"/>
      <c r="G76" s="228"/>
      <c r="H76" s="229"/>
      <c r="I76" s="45">
        <v>44273</v>
      </c>
      <c r="J76" s="45"/>
      <c r="K76" s="45">
        <f t="shared" si="14"/>
        <v>44273</v>
      </c>
      <c r="L76" s="172"/>
      <c r="M76" s="45">
        <v>0</v>
      </c>
      <c r="N76" s="45"/>
      <c r="O76" s="45">
        <f t="shared" si="15"/>
        <v>0</v>
      </c>
      <c r="P76" s="172"/>
      <c r="Q76" s="45">
        <f t="shared" si="12"/>
        <v>44273</v>
      </c>
      <c r="R76" s="45">
        <f t="shared" si="13"/>
        <v>0</v>
      </c>
      <c r="S76" s="45">
        <f t="shared" si="13"/>
        <v>44273</v>
      </c>
    </row>
    <row r="79" spans="2:19" ht="12.75" customHeight="1" x14ac:dyDescent="0.2"/>
    <row r="80" spans="2:19" ht="39.75" customHeight="1" x14ac:dyDescent="0.35">
      <c r="B80" s="234" t="s">
        <v>287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9" ht="18.75" customHeight="1" x14ac:dyDescent="0.2">
      <c r="B81" s="236" t="s">
        <v>285</v>
      </c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182"/>
      <c r="O81" s="182"/>
      <c r="P81" s="183"/>
      <c r="Q81" s="222" t="s">
        <v>602</v>
      </c>
      <c r="R81" s="222" t="s">
        <v>657</v>
      </c>
      <c r="S81" s="222" t="s">
        <v>602</v>
      </c>
    </row>
    <row r="82" spans="2:19" x14ac:dyDescent="0.2">
      <c r="B82" s="238" t="s">
        <v>113</v>
      </c>
      <c r="C82" s="225" t="s">
        <v>121</v>
      </c>
      <c r="D82" s="225" t="s">
        <v>122</v>
      </c>
      <c r="E82" s="231" t="s">
        <v>126</v>
      </c>
      <c r="F82" s="225" t="s">
        <v>123</v>
      </c>
      <c r="G82" s="225" t="s">
        <v>124</v>
      </c>
      <c r="H82" s="240" t="s">
        <v>125</v>
      </c>
      <c r="I82" s="222" t="s">
        <v>599</v>
      </c>
      <c r="J82" s="222" t="s">
        <v>657</v>
      </c>
      <c r="K82" s="222" t="s">
        <v>659</v>
      </c>
      <c r="L82" s="168"/>
      <c r="M82" s="222" t="s">
        <v>600</v>
      </c>
      <c r="N82" s="222" t="s">
        <v>657</v>
      </c>
      <c r="O82" s="222" t="s">
        <v>660</v>
      </c>
      <c r="P82" s="169"/>
      <c r="Q82" s="223"/>
      <c r="R82" s="223"/>
      <c r="S82" s="223"/>
    </row>
    <row r="83" spans="2:19" ht="15.75" customHeight="1" x14ac:dyDescent="0.2">
      <c r="B83" s="238"/>
      <c r="C83" s="225"/>
      <c r="D83" s="225"/>
      <c r="E83" s="232"/>
      <c r="F83" s="225"/>
      <c r="G83" s="225"/>
      <c r="H83" s="240"/>
      <c r="I83" s="223"/>
      <c r="J83" s="223"/>
      <c r="K83" s="223"/>
      <c r="L83" s="169"/>
      <c r="M83" s="223"/>
      <c r="N83" s="223"/>
      <c r="O83" s="223"/>
      <c r="P83" s="169"/>
      <c r="Q83" s="223"/>
      <c r="R83" s="223"/>
      <c r="S83" s="223"/>
    </row>
    <row r="84" spans="2:19" x14ac:dyDescent="0.2">
      <c r="B84" s="238"/>
      <c r="C84" s="225"/>
      <c r="D84" s="225"/>
      <c r="E84" s="232"/>
      <c r="F84" s="225"/>
      <c r="G84" s="225"/>
      <c r="H84" s="240"/>
      <c r="I84" s="223"/>
      <c r="J84" s="223"/>
      <c r="K84" s="223"/>
      <c r="L84" s="169"/>
      <c r="M84" s="223"/>
      <c r="N84" s="223"/>
      <c r="O84" s="223"/>
      <c r="P84" s="169"/>
      <c r="Q84" s="223"/>
      <c r="R84" s="223"/>
      <c r="S84" s="223"/>
    </row>
    <row r="85" spans="2:19" ht="13.5" thickBot="1" x14ac:dyDescent="0.25">
      <c r="B85" s="239"/>
      <c r="C85" s="226"/>
      <c r="D85" s="226"/>
      <c r="E85" s="233"/>
      <c r="F85" s="226"/>
      <c r="G85" s="226"/>
      <c r="H85" s="241"/>
      <c r="I85" s="224"/>
      <c r="J85" s="224"/>
      <c r="K85" s="224"/>
      <c r="L85" s="170"/>
      <c r="M85" s="224"/>
      <c r="N85" s="224"/>
      <c r="O85" s="224"/>
      <c r="P85" s="170"/>
      <c r="Q85" s="224"/>
      <c r="R85" s="224"/>
      <c r="S85" s="224"/>
    </row>
    <row r="86" spans="2:19" ht="16.5" thickTop="1" x14ac:dyDescent="0.2">
      <c r="B86" s="74">
        <v>1</v>
      </c>
      <c r="C86" s="242" t="s">
        <v>287</v>
      </c>
      <c r="D86" s="243"/>
      <c r="E86" s="243"/>
      <c r="F86" s="243"/>
      <c r="G86" s="243"/>
      <c r="H86" s="244"/>
      <c r="I86" s="107">
        <f>I92+I87</f>
        <v>92018</v>
      </c>
      <c r="J86" s="107">
        <f>J92+J87</f>
        <v>0</v>
      </c>
      <c r="K86" s="107">
        <f t="shared" ref="K86:K96" si="16">I86+J86</f>
        <v>92018</v>
      </c>
      <c r="L86" s="171"/>
      <c r="M86" s="107">
        <f>M92+M87</f>
        <v>0</v>
      </c>
      <c r="N86" s="107"/>
      <c r="O86" s="107">
        <f>M86+N86</f>
        <v>0</v>
      </c>
      <c r="P86" s="171"/>
      <c r="Q86" s="44">
        <f t="shared" ref="Q86:Q96" si="17">I86+M86</f>
        <v>92018</v>
      </c>
      <c r="R86" s="44">
        <f t="shared" ref="R86:S96" si="18">J86+N86</f>
        <v>0</v>
      </c>
      <c r="S86" s="44">
        <f t="shared" si="18"/>
        <v>92018</v>
      </c>
    </row>
    <row r="87" spans="2:19" ht="15" x14ac:dyDescent="0.2">
      <c r="B87" s="75">
        <f t="shared" ref="B87:B96" si="19">B86+1</f>
        <v>2</v>
      </c>
      <c r="C87" s="164">
        <v>1</v>
      </c>
      <c r="D87" s="230" t="s">
        <v>209</v>
      </c>
      <c r="E87" s="228"/>
      <c r="F87" s="228"/>
      <c r="G87" s="228"/>
      <c r="H87" s="229"/>
      <c r="I87" s="45">
        <f>I88</f>
        <v>60500</v>
      </c>
      <c r="J87" s="45">
        <f>J88</f>
        <v>0</v>
      </c>
      <c r="K87" s="45">
        <f t="shared" si="16"/>
        <v>60500</v>
      </c>
      <c r="L87" s="172"/>
      <c r="M87" s="45">
        <f>M88</f>
        <v>0</v>
      </c>
      <c r="N87" s="45"/>
      <c r="O87" s="45">
        <f>M87+N87</f>
        <v>0</v>
      </c>
      <c r="P87" s="172"/>
      <c r="Q87" s="45">
        <f t="shared" si="17"/>
        <v>60500</v>
      </c>
      <c r="R87" s="45">
        <f t="shared" si="18"/>
        <v>0</v>
      </c>
      <c r="S87" s="45">
        <f t="shared" si="18"/>
        <v>60500</v>
      </c>
    </row>
    <row r="88" spans="2:19" x14ac:dyDescent="0.2">
      <c r="B88" s="75">
        <f t="shared" si="19"/>
        <v>3</v>
      </c>
      <c r="C88" s="15"/>
      <c r="D88" s="15"/>
      <c r="E88" s="15"/>
      <c r="F88" s="52"/>
      <c r="G88" s="15">
        <v>630</v>
      </c>
      <c r="H88" s="15" t="s">
        <v>129</v>
      </c>
      <c r="I88" s="49">
        <f>SUM(I89:I91)</f>
        <v>60500</v>
      </c>
      <c r="J88" s="49">
        <f>SUM(J89:J91)</f>
        <v>0</v>
      </c>
      <c r="K88" s="49">
        <f t="shared" si="16"/>
        <v>60500</v>
      </c>
      <c r="L88" s="123"/>
      <c r="M88" s="49">
        <f>SUM(M89:M91)</f>
        <v>0</v>
      </c>
      <c r="N88" s="49"/>
      <c r="O88" s="49"/>
      <c r="P88" s="123"/>
      <c r="Q88" s="49">
        <f t="shared" si="17"/>
        <v>60500</v>
      </c>
      <c r="R88" s="49">
        <f t="shared" si="18"/>
        <v>0</v>
      </c>
      <c r="S88" s="49">
        <f t="shared" si="18"/>
        <v>60500</v>
      </c>
    </row>
    <row r="89" spans="2:19" x14ac:dyDescent="0.2">
      <c r="B89" s="75">
        <f t="shared" si="19"/>
        <v>4</v>
      </c>
      <c r="C89" s="4"/>
      <c r="D89" s="4"/>
      <c r="E89" s="4"/>
      <c r="F89" s="64" t="s">
        <v>32</v>
      </c>
      <c r="G89" s="60">
        <v>637</v>
      </c>
      <c r="H89" s="60" t="s">
        <v>497</v>
      </c>
      <c r="I89" s="58">
        <v>8500</v>
      </c>
      <c r="J89" s="58"/>
      <c r="K89" s="58">
        <f t="shared" si="16"/>
        <v>8500</v>
      </c>
      <c r="L89" s="76"/>
      <c r="M89" s="26"/>
      <c r="N89" s="26"/>
      <c r="O89" s="26"/>
      <c r="P89" s="76"/>
      <c r="Q89" s="26">
        <f t="shared" si="17"/>
        <v>8500</v>
      </c>
      <c r="R89" s="26">
        <f t="shared" si="18"/>
        <v>0</v>
      </c>
      <c r="S89" s="26">
        <f t="shared" si="18"/>
        <v>8500</v>
      </c>
    </row>
    <row r="90" spans="2:19" x14ac:dyDescent="0.2">
      <c r="B90" s="75">
        <f t="shared" si="19"/>
        <v>5</v>
      </c>
      <c r="C90" s="4"/>
      <c r="D90" s="4"/>
      <c r="E90" s="4"/>
      <c r="F90" s="64" t="s">
        <v>75</v>
      </c>
      <c r="G90" s="60">
        <v>637</v>
      </c>
      <c r="H90" s="60" t="s">
        <v>498</v>
      </c>
      <c r="I90" s="58">
        <f>20000-5000+7000</f>
        <v>22000</v>
      </c>
      <c r="J90" s="58"/>
      <c r="K90" s="58">
        <f t="shared" si="16"/>
        <v>22000</v>
      </c>
      <c r="L90" s="76"/>
      <c r="M90" s="26"/>
      <c r="N90" s="26"/>
      <c r="O90" s="26"/>
      <c r="P90" s="76"/>
      <c r="Q90" s="26">
        <f t="shared" si="17"/>
        <v>22000</v>
      </c>
      <c r="R90" s="26">
        <f t="shared" si="18"/>
        <v>0</v>
      </c>
      <c r="S90" s="26">
        <f t="shared" si="18"/>
        <v>22000</v>
      </c>
    </row>
    <row r="91" spans="2:19" x14ac:dyDescent="0.2">
      <c r="B91" s="75">
        <f t="shared" si="19"/>
        <v>6</v>
      </c>
      <c r="C91" s="4"/>
      <c r="D91" s="54"/>
      <c r="E91" s="4"/>
      <c r="F91" s="56" t="s">
        <v>2</v>
      </c>
      <c r="G91" s="4">
        <v>637</v>
      </c>
      <c r="H91" s="38" t="s">
        <v>432</v>
      </c>
      <c r="I91" s="26">
        <f>23000+5000+2000</f>
        <v>30000</v>
      </c>
      <c r="J91" s="26"/>
      <c r="K91" s="26">
        <f t="shared" si="16"/>
        <v>30000</v>
      </c>
      <c r="L91" s="76"/>
      <c r="M91" s="26"/>
      <c r="N91" s="26"/>
      <c r="O91" s="26"/>
      <c r="P91" s="76"/>
      <c r="Q91" s="26">
        <f t="shared" si="17"/>
        <v>30000</v>
      </c>
      <c r="R91" s="26">
        <f t="shared" si="18"/>
        <v>0</v>
      </c>
      <c r="S91" s="26">
        <f t="shared" si="18"/>
        <v>30000</v>
      </c>
    </row>
    <row r="92" spans="2:19" ht="15" x14ac:dyDescent="0.2">
      <c r="B92" s="75">
        <f t="shared" si="19"/>
        <v>7</v>
      </c>
      <c r="C92" s="164">
        <v>2</v>
      </c>
      <c r="D92" s="230" t="s">
        <v>33</v>
      </c>
      <c r="E92" s="228"/>
      <c r="F92" s="228"/>
      <c r="G92" s="228"/>
      <c r="H92" s="229"/>
      <c r="I92" s="45">
        <f>I93+I95</f>
        <v>31518</v>
      </c>
      <c r="J92" s="45">
        <f>J93+J95</f>
        <v>0</v>
      </c>
      <c r="K92" s="45">
        <f t="shared" si="16"/>
        <v>31518</v>
      </c>
      <c r="L92" s="172"/>
      <c r="M92" s="45">
        <f>M93</f>
        <v>0</v>
      </c>
      <c r="N92" s="45"/>
      <c r="O92" s="45">
        <f>M92+N92</f>
        <v>0</v>
      </c>
      <c r="P92" s="172"/>
      <c r="Q92" s="45">
        <f t="shared" si="17"/>
        <v>31518</v>
      </c>
      <c r="R92" s="45">
        <f t="shared" si="18"/>
        <v>0</v>
      </c>
      <c r="S92" s="45">
        <f t="shared" si="18"/>
        <v>31518</v>
      </c>
    </row>
    <row r="93" spans="2:19" x14ac:dyDescent="0.2">
      <c r="B93" s="75">
        <f t="shared" si="19"/>
        <v>8</v>
      </c>
      <c r="C93" s="15"/>
      <c r="D93" s="15"/>
      <c r="E93" s="15"/>
      <c r="F93" s="52" t="s">
        <v>32</v>
      </c>
      <c r="G93" s="15">
        <v>630</v>
      </c>
      <c r="H93" s="15" t="s">
        <v>129</v>
      </c>
      <c r="I93" s="49">
        <f>I94</f>
        <v>8000</v>
      </c>
      <c r="J93" s="49">
        <f>J94</f>
        <v>0</v>
      </c>
      <c r="K93" s="49">
        <f t="shared" si="16"/>
        <v>8000</v>
      </c>
      <c r="L93" s="123"/>
      <c r="M93" s="49">
        <f>M94</f>
        <v>0</v>
      </c>
      <c r="N93" s="49"/>
      <c r="O93" s="49"/>
      <c r="P93" s="123"/>
      <c r="Q93" s="49">
        <f t="shared" si="17"/>
        <v>8000</v>
      </c>
      <c r="R93" s="49">
        <f t="shared" si="18"/>
        <v>0</v>
      </c>
      <c r="S93" s="49">
        <f t="shared" si="18"/>
        <v>8000</v>
      </c>
    </row>
    <row r="94" spans="2:19" x14ac:dyDescent="0.2">
      <c r="B94" s="75">
        <f t="shared" si="19"/>
        <v>9</v>
      </c>
      <c r="C94" s="4"/>
      <c r="D94" s="4"/>
      <c r="E94" s="4"/>
      <c r="F94" s="53" t="s">
        <v>32</v>
      </c>
      <c r="G94" s="4">
        <v>637</v>
      </c>
      <c r="H94" s="4" t="s">
        <v>130</v>
      </c>
      <c r="I94" s="26">
        <v>8000</v>
      </c>
      <c r="J94" s="26"/>
      <c r="K94" s="26">
        <f t="shared" si="16"/>
        <v>8000</v>
      </c>
      <c r="L94" s="76"/>
      <c r="M94" s="26"/>
      <c r="N94" s="26"/>
      <c r="O94" s="26"/>
      <c r="P94" s="76"/>
      <c r="Q94" s="26">
        <f t="shared" si="17"/>
        <v>8000</v>
      </c>
      <c r="R94" s="26">
        <f t="shared" si="18"/>
        <v>0</v>
      </c>
      <c r="S94" s="26">
        <f t="shared" si="18"/>
        <v>8000</v>
      </c>
    </row>
    <row r="95" spans="2:19" x14ac:dyDescent="0.2">
      <c r="B95" s="75">
        <f t="shared" si="19"/>
        <v>10</v>
      </c>
      <c r="C95" s="4"/>
      <c r="D95" s="4"/>
      <c r="E95" s="4"/>
      <c r="F95" s="103" t="s">
        <v>32</v>
      </c>
      <c r="G95" s="3">
        <v>640</v>
      </c>
      <c r="H95" s="3" t="s">
        <v>136</v>
      </c>
      <c r="I95" s="25">
        <f>I96</f>
        <v>23518</v>
      </c>
      <c r="J95" s="25">
        <f>J96</f>
        <v>0</v>
      </c>
      <c r="K95" s="25">
        <f t="shared" si="16"/>
        <v>23518</v>
      </c>
      <c r="L95" s="123"/>
      <c r="M95" s="25"/>
      <c r="N95" s="25"/>
      <c r="O95" s="25"/>
      <c r="P95" s="123"/>
      <c r="Q95" s="25">
        <f t="shared" si="17"/>
        <v>23518</v>
      </c>
      <c r="R95" s="25">
        <f t="shared" si="18"/>
        <v>0</v>
      </c>
      <c r="S95" s="25">
        <f t="shared" si="18"/>
        <v>23518</v>
      </c>
    </row>
    <row r="96" spans="2:19" x14ac:dyDescent="0.2">
      <c r="B96" s="75">
        <f t="shared" si="19"/>
        <v>11</v>
      </c>
      <c r="C96" s="4"/>
      <c r="D96" s="4"/>
      <c r="E96" s="4"/>
      <c r="F96" s="53"/>
      <c r="G96" s="4"/>
      <c r="H96" s="4" t="s">
        <v>434</v>
      </c>
      <c r="I96" s="26">
        <f>19000+15000-9700-5300+4518</f>
        <v>23518</v>
      </c>
      <c r="J96" s="26"/>
      <c r="K96" s="26">
        <f t="shared" si="16"/>
        <v>23518</v>
      </c>
      <c r="L96" s="76"/>
      <c r="M96" s="26"/>
      <c r="N96" s="26"/>
      <c r="O96" s="26"/>
      <c r="P96" s="76"/>
      <c r="Q96" s="26">
        <f t="shared" si="17"/>
        <v>23518</v>
      </c>
      <c r="R96" s="26">
        <f t="shared" si="18"/>
        <v>0</v>
      </c>
      <c r="S96" s="26">
        <f t="shared" si="18"/>
        <v>23518</v>
      </c>
    </row>
    <row r="120" spans="2:19" ht="27" x14ac:dyDescent="0.35">
      <c r="B120" s="234" t="s">
        <v>288</v>
      </c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9" x14ac:dyDescent="0.2">
      <c r="B121" s="236" t="s">
        <v>285</v>
      </c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182"/>
      <c r="O121" s="182"/>
      <c r="P121" s="183"/>
      <c r="Q121" s="222" t="s">
        <v>602</v>
      </c>
      <c r="R121" s="222" t="s">
        <v>657</v>
      </c>
      <c r="S121" s="222" t="s">
        <v>602</v>
      </c>
    </row>
    <row r="122" spans="2:19" x14ac:dyDescent="0.2">
      <c r="B122" s="238" t="s">
        <v>113</v>
      </c>
      <c r="C122" s="225" t="s">
        <v>121</v>
      </c>
      <c r="D122" s="225" t="s">
        <v>122</v>
      </c>
      <c r="E122" s="231" t="s">
        <v>126</v>
      </c>
      <c r="F122" s="225" t="s">
        <v>123</v>
      </c>
      <c r="G122" s="225" t="s">
        <v>124</v>
      </c>
      <c r="H122" s="240" t="s">
        <v>125</v>
      </c>
      <c r="I122" s="222" t="s">
        <v>599</v>
      </c>
      <c r="J122" s="222" t="s">
        <v>657</v>
      </c>
      <c r="K122" s="222" t="s">
        <v>659</v>
      </c>
      <c r="L122" s="168"/>
      <c r="M122" s="222" t="s">
        <v>600</v>
      </c>
      <c r="N122" s="222" t="s">
        <v>657</v>
      </c>
      <c r="O122" s="222" t="s">
        <v>660</v>
      </c>
      <c r="P122" s="169"/>
      <c r="Q122" s="223"/>
      <c r="R122" s="223"/>
      <c r="S122" s="223"/>
    </row>
    <row r="123" spans="2:19" x14ac:dyDescent="0.2">
      <c r="B123" s="238"/>
      <c r="C123" s="225"/>
      <c r="D123" s="225"/>
      <c r="E123" s="232"/>
      <c r="F123" s="225"/>
      <c r="G123" s="225"/>
      <c r="H123" s="240"/>
      <c r="I123" s="223"/>
      <c r="J123" s="223"/>
      <c r="K123" s="223"/>
      <c r="L123" s="169"/>
      <c r="M123" s="223"/>
      <c r="N123" s="223"/>
      <c r="O123" s="223"/>
      <c r="P123" s="169"/>
      <c r="Q123" s="223"/>
      <c r="R123" s="223"/>
      <c r="S123" s="223"/>
    </row>
    <row r="124" spans="2:19" x14ac:dyDescent="0.2">
      <c r="B124" s="238"/>
      <c r="C124" s="225"/>
      <c r="D124" s="225"/>
      <c r="E124" s="232"/>
      <c r="F124" s="225"/>
      <c r="G124" s="225"/>
      <c r="H124" s="240"/>
      <c r="I124" s="223"/>
      <c r="J124" s="223"/>
      <c r="K124" s="223"/>
      <c r="L124" s="169"/>
      <c r="M124" s="223"/>
      <c r="N124" s="223"/>
      <c r="O124" s="223"/>
      <c r="P124" s="169"/>
      <c r="Q124" s="223"/>
      <c r="R124" s="223"/>
      <c r="S124" s="223"/>
    </row>
    <row r="125" spans="2:19" ht="13.5" thickBot="1" x14ac:dyDescent="0.25">
      <c r="B125" s="239"/>
      <c r="C125" s="226"/>
      <c r="D125" s="226"/>
      <c r="E125" s="233"/>
      <c r="F125" s="226"/>
      <c r="G125" s="226"/>
      <c r="H125" s="241"/>
      <c r="I125" s="224"/>
      <c r="J125" s="224"/>
      <c r="K125" s="224"/>
      <c r="L125" s="170"/>
      <c r="M125" s="224"/>
      <c r="N125" s="224"/>
      <c r="O125" s="224"/>
      <c r="P125" s="170"/>
      <c r="Q125" s="224"/>
      <c r="R125" s="224"/>
      <c r="S125" s="224"/>
    </row>
    <row r="126" spans="2:19" ht="16.5" thickTop="1" x14ac:dyDescent="0.2">
      <c r="B126" s="74">
        <v>1</v>
      </c>
      <c r="C126" s="242" t="s">
        <v>288</v>
      </c>
      <c r="D126" s="243"/>
      <c r="E126" s="243"/>
      <c r="F126" s="243"/>
      <c r="G126" s="243"/>
      <c r="H126" s="244"/>
      <c r="I126" s="107">
        <f>I203+I193+I189+I174+I151+I147+I130+I127</f>
        <v>3822825</v>
      </c>
      <c r="J126" s="107">
        <f>J203+J193+J189+J174+J151+J147+J130+J127</f>
        <v>0</v>
      </c>
      <c r="K126" s="107">
        <f t="shared" ref="K126:K189" si="20">I126+J126</f>
        <v>3822825</v>
      </c>
      <c r="L126" s="171"/>
      <c r="M126" s="107">
        <f>M203+M193+M189+M174+M151+M147+M130+M127</f>
        <v>525030</v>
      </c>
      <c r="N126" s="107">
        <f>N203+N193+N189+N174+N151+N147+N130+N127</f>
        <v>0</v>
      </c>
      <c r="O126" s="107">
        <f t="shared" ref="O126:O189" si="21">M126+N126</f>
        <v>525030</v>
      </c>
      <c r="P126" s="171"/>
      <c r="Q126" s="44">
        <f t="shared" ref="Q126:Q157" si="22">I126+M126</f>
        <v>4347855</v>
      </c>
      <c r="R126" s="44">
        <f t="shared" ref="R126:S141" si="23">J126+N126</f>
        <v>0</v>
      </c>
      <c r="S126" s="44">
        <f t="shared" si="23"/>
        <v>4347855</v>
      </c>
    </row>
    <row r="127" spans="2:19" ht="15" x14ac:dyDescent="0.2">
      <c r="B127" s="75">
        <f t="shared" ref="B127:B190" si="24">B126+1</f>
        <v>2</v>
      </c>
      <c r="C127" s="164">
        <v>1</v>
      </c>
      <c r="D127" s="230" t="s">
        <v>150</v>
      </c>
      <c r="E127" s="228"/>
      <c r="F127" s="228"/>
      <c r="G127" s="228"/>
      <c r="H127" s="229"/>
      <c r="I127" s="45">
        <f>I128</f>
        <v>55400</v>
      </c>
      <c r="J127" s="45">
        <f>J128</f>
        <v>0</v>
      </c>
      <c r="K127" s="45">
        <f t="shared" si="20"/>
        <v>55400</v>
      </c>
      <c r="L127" s="172"/>
      <c r="M127" s="45">
        <f>M128</f>
        <v>0</v>
      </c>
      <c r="N127" s="45">
        <f>N128</f>
        <v>0</v>
      </c>
      <c r="O127" s="45">
        <f t="shared" si="21"/>
        <v>0</v>
      </c>
      <c r="P127" s="172"/>
      <c r="Q127" s="45">
        <f t="shared" si="22"/>
        <v>55400</v>
      </c>
      <c r="R127" s="45">
        <f t="shared" si="23"/>
        <v>0</v>
      </c>
      <c r="S127" s="45">
        <f t="shared" si="23"/>
        <v>55400</v>
      </c>
    </row>
    <row r="128" spans="2:19" x14ac:dyDescent="0.2">
      <c r="B128" s="75">
        <f t="shared" si="24"/>
        <v>3</v>
      </c>
      <c r="C128" s="15"/>
      <c r="D128" s="15"/>
      <c r="E128" s="15"/>
      <c r="F128" s="52" t="s">
        <v>75</v>
      </c>
      <c r="G128" s="15">
        <v>630</v>
      </c>
      <c r="H128" s="15" t="s">
        <v>129</v>
      </c>
      <c r="I128" s="49">
        <f>I129</f>
        <v>55400</v>
      </c>
      <c r="J128" s="49">
        <f>J129</f>
        <v>0</v>
      </c>
      <c r="K128" s="49">
        <f t="shared" si="20"/>
        <v>55400</v>
      </c>
      <c r="L128" s="123"/>
      <c r="M128" s="49">
        <f>M129</f>
        <v>0</v>
      </c>
      <c r="N128" s="49">
        <f>N129</f>
        <v>0</v>
      </c>
      <c r="O128" s="49">
        <f t="shared" si="21"/>
        <v>0</v>
      </c>
      <c r="P128" s="123"/>
      <c r="Q128" s="49">
        <f t="shared" si="22"/>
        <v>55400</v>
      </c>
      <c r="R128" s="49">
        <f t="shared" si="23"/>
        <v>0</v>
      </c>
      <c r="S128" s="49">
        <f t="shared" si="23"/>
        <v>55400</v>
      </c>
    </row>
    <row r="129" spans="2:19" x14ac:dyDescent="0.2">
      <c r="B129" s="75">
        <f t="shared" si="24"/>
        <v>4</v>
      </c>
      <c r="C129" s="4"/>
      <c r="D129" s="4"/>
      <c r="E129" s="4"/>
      <c r="F129" s="53" t="s">
        <v>75</v>
      </c>
      <c r="G129" s="4">
        <v>637</v>
      </c>
      <c r="H129" s="4" t="s">
        <v>130</v>
      </c>
      <c r="I129" s="26">
        <f>73000-17600</f>
        <v>55400</v>
      </c>
      <c r="J129" s="26"/>
      <c r="K129" s="26">
        <f t="shared" si="20"/>
        <v>55400</v>
      </c>
      <c r="L129" s="76"/>
      <c r="M129" s="26"/>
      <c r="N129" s="26"/>
      <c r="O129" s="26">
        <f t="shared" si="21"/>
        <v>0</v>
      </c>
      <c r="P129" s="76"/>
      <c r="Q129" s="26">
        <f t="shared" si="22"/>
        <v>55400</v>
      </c>
      <c r="R129" s="26">
        <f t="shared" si="23"/>
        <v>0</v>
      </c>
      <c r="S129" s="26">
        <f t="shared" si="23"/>
        <v>55400</v>
      </c>
    </row>
    <row r="130" spans="2:19" ht="15" x14ac:dyDescent="0.2">
      <c r="B130" s="75">
        <f t="shared" si="24"/>
        <v>5</v>
      </c>
      <c r="C130" s="164">
        <v>2</v>
      </c>
      <c r="D130" s="230" t="s">
        <v>149</v>
      </c>
      <c r="E130" s="228"/>
      <c r="F130" s="228"/>
      <c r="G130" s="228"/>
      <c r="H130" s="229"/>
      <c r="I130" s="45">
        <f>I141+I134+I131</f>
        <v>94570</v>
      </c>
      <c r="J130" s="45">
        <f>J141+J134+J131</f>
        <v>0</v>
      </c>
      <c r="K130" s="45">
        <f t="shared" si="20"/>
        <v>94570</v>
      </c>
      <c r="L130" s="172"/>
      <c r="M130" s="45">
        <f>M141+M134+M131</f>
        <v>303910</v>
      </c>
      <c r="N130" s="45">
        <f>N141+N134+N131</f>
        <v>0</v>
      </c>
      <c r="O130" s="45">
        <f t="shared" si="21"/>
        <v>303910</v>
      </c>
      <c r="P130" s="172"/>
      <c r="Q130" s="45">
        <f t="shared" si="22"/>
        <v>398480</v>
      </c>
      <c r="R130" s="45">
        <f t="shared" si="23"/>
        <v>0</v>
      </c>
      <c r="S130" s="45">
        <f t="shared" si="23"/>
        <v>398480</v>
      </c>
    </row>
    <row r="131" spans="2:19" ht="15" x14ac:dyDescent="0.25">
      <c r="B131" s="75">
        <f t="shared" si="24"/>
        <v>6</v>
      </c>
      <c r="C131" s="163"/>
      <c r="D131" s="163">
        <v>1</v>
      </c>
      <c r="E131" s="227" t="s">
        <v>155</v>
      </c>
      <c r="F131" s="228"/>
      <c r="G131" s="228"/>
      <c r="H131" s="229"/>
      <c r="I131" s="46">
        <f>I132</f>
        <v>2300</v>
      </c>
      <c r="J131" s="46">
        <f>J132</f>
        <v>0</v>
      </c>
      <c r="K131" s="46">
        <f t="shared" si="20"/>
        <v>2300</v>
      </c>
      <c r="L131" s="173"/>
      <c r="M131" s="46">
        <f>M132</f>
        <v>0</v>
      </c>
      <c r="N131" s="46">
        <f>N132</f>
        <v>0</v>
      </c>
      <c r="O131" s="46">
        <f t="shared" si="21"/>
        <v>0</v>
      </c>
      <c r="P131" s="173"/>
      <c r="Q131" s="46">
        <f t="shared" si="22"/>
        <v>2300</v>
      </c>
      <c r="R131" s="46">
        <f t="shared" si="23"/>
        <v>0</v>
      </c>
      <c r="S131" s="46">
        <f t="shared" si="23"/>
        <v>2300</v>
      </c>
    </row>
    <row r="132" spans="2:19" x14ac:dyDescent="0.2">
      <c r="B132" s="75">
        <f t="shared" si="24"/>
        <v>7</v>
      </c>
      <c r="C132" s="15"/>
      <c r="D132" s="15"/>
      <c r="E132" s="15"/>
      <c r="F132" s="52" t="s">
        <v>75</v>
      </c>
      <c r="G132" s="15">
        <v>630</v>
      </c>
      <c r="H132" s="15" t="s">
        <v>129</v>
      </c>
      <c r="I132" s="49">
        <f>I133</f>
        <v>2300</v>
      </c>
      <c r="J132" s="49">
        <f>J133</f>
        <v>0</v>
      </c>
      <c r="K132" s="49">
        <f t="shared" si="20"/>
        <v>2300</v>
      </c>
      <c r="L132" s="123"/>
      <c r="M132" s="49">
        <f>M133</f>
        <v>0</v>
      </c>
      <c r="N132" s="49">
        <f>N133</f>
        <v>0</v>
      </c>
      <c r="O132" s="49">
        <f t="shared" si="21"/>
        <v>0</v>
      </c>
      <c r="P132" s="123"/>
      <c r="Q132" s="49">
        <f t="shared" si="22"/>
        <v>2300</v>
      </c>
      <c r="R132" s="49">
        <f t="shared" si="23"/>
        <v>0</v>
      </c>
      <c r="S132" s="49">
        <f t="shared" si="23"/>
        <v>2300</v>
      </c>
    </row>
    <row r="133" spans="2:19" x14ac:dyDescent="0.2">
      <c r="B133" s="75">
        <f t="shared" si="24"/>
        <v>8</v>
      </c>
      <c r="C133" s="4"/>
      <c r="D133" s="4"/>
      <c r="E133" s="4"/>
      <c r="F133" s="53" t="s">
        <v>75</v>
      </c>
      <c r="G133" s="4">
        <v>637</v>
      </c>
      <c r="H133" s="4" t="s">
        <v>130</v>
      </c>
      <c r="I133" s="26">
        <v>2300</v>
      </c>
      <c r="J133" s="26"/>
      <c r="K133" s="26">
        <f t="shared" si="20"/>
        <v>2300</v>
      </c>
      <c r="L133" s="76"/>
      <c r="M133" s="26"/>
      <c r="N133" s="26"/>
      <c r="O133" s="26">
        <f t="shared" si="21"/>
        <v>0</v>
      </c>
      <c r="P133" s="76"/>
      <c r="Q133" s="26">
        <f t="shared" si="22"/>
        <v>2300</v>
      </c>
      <c r="R133" s="26">
        <f t="shared" si="23"/>
        <v>0</v>
      </c>
      <c r="S133" s="26">
        <f t="shared" si="23"/>
        <v>2300</v>
      </c>
    </row>
    <row r="134" spans="2:19" ht="15" x14ac:dyDescent="0.25">
      <c r="B134" s="75">
        <f t="shared" si="24"/>
        <v>9</v>
      </c>
      <c r="C134" s="163"/>
      <c r="D134" s="163">
        <v>2</v>
      </c>
      <c r="E134" s="227" t="s">
        <v>148</v>
      </c>
      <c r="F134" s="228"/>
      <c r="G134" s="228"/>
      <c r="H134" s="229"/>
      <c r="I134" s="46">
        <f>I135+I138</f>
        <v>20160</v>
      </c>
      <c r="J134" s="46">
        <f>J135+J138</f>
        <v>0</v>
      </c>
      <c r="K134" s="46">
        <f t="shared" si="20"/>
        <v>20160</v>
      </c>
      <c r="L134" s="173"/>
      <c r="M134" s="46">
        <f>M135+M138</f>
        <v>32800</v>
      </c>
      <c r="N134" s="46">
        <f>N135+N138</f>
        <v>0</v>
      </c>
      <c r="O134" s="46">
        <f t="shared" si="21"/>
        <v>32800</v>
      </c>
      <c r="P134" s="173"/>
      <c r="Q134" s="46">
        <f t="shared" si="22"/>
        <v>52960</v>
      </c>
      <c r="R134" s="46">
        <f t="shared" si="23"/>
        <v>0</v>
      </c>
      <c r="S134" s="46">
        <f t="shared" si="23"/>
        <v>52960</v>
      </c>
    </row>
    <row r="135" spans="2:19" x14ac:dyDescent="0.2">
      <c r="B135" s="75">
        <f t="shared" si="24"/>
        <v>10</v>
      </c>
      <c r="C135" s="15"/>
      <c r="D135" s="15"/>
      <c r="E135" s="15"/>
      <c r="F135" s="52" t="s">
        <v>75</v>
      </c>
      <c r="G135" s="15">
        <v>630</v>
      </c>
      <c r="H135" s="15" t="s">
        <v>129</v>
      </c>
      <c r="I135" s="49">
        <f>I137+I136</f>
        <v>20160</v>
      </c>
      <c r="J135" s="49">
        <f>J137+J136</f>
        <v>0</v>
      </c>
      <c r="K135" s="49">
        <f t="shared" si="20"/>
        <v>20160</v>
      </c>
      <c r="L135" s="123"/>
      <c r="M135" s="49">
        <f>M137+M136</f>
        <v>0</v>
      </c>
      <c r="N135" s="49">
        <f>N137+N136</f>
        <v>0</v>
      </c>
      <c r="O135" s="49">
        <f t="shared" si="21"/>
        <v>0</v>
      </c>
      <c r="P135" s="123"/>
      <c r="Q135" s="49">
        <f t="shared" si="22"/>
        <v>20160</v>
      </c>
      <c r="R135" s="49">
        <f t="shared" si="23"/>
        <v>0</v>
      </c>
      <c r="S135" s="49">
        <f t="shared" si="23"/>
        <v>20160</v>
      </c>
    </row>
    <row r="136" spans="2:19" x14ac:dyDescent="0.2">
      <c r="B136" s="75">
        <f t="shared" si="24"/>
        <v>11</v>
      </c>
      <c r="C136" s="4"/>
      <c r="D136" s="4"/>
      <c r="E136" s="4"/>
      <c r="F136" s="53" t="s">
        <v>75</v>
      </c>
      <c r="G136" s="4">
        <v>636</v>
      </c>
      <c r="H136" s="4" t="s">
        <v>134</v>
      </c>
      <c r="I136" s="26">
        <v>9410</v>
      </c>
      <c r="J136" s="26"/>
      <c r="K136" s="26">
        <f t="shared" si="20"/>
        <v>9410</v>
      </c>
      <c r="L136" s="76"/>
      <c r="M136" s="26"/>
      <c r="N136" s="26"/>
      <c r="O136" s="26">
        <f t="shared" si="21"/>
        <v>0</v>
      </c>
      <c r="P136" s="76"/>
      <c r="Q136" s="26">
        <f t="shared" si="22"/>
        <v>9410</v>
      </c>
      <c r="R136" s="26">
        <f t="shared" si="23"/>
        <v>0</v>
      </c>
      <c r="S136" s="26">
        <f t="shared" si="23"/>
        <v>9410</v>
      </c>
    </row>
    <row r="137" spans="2:19" x14ac:dyDescent="0.2">
      <c r="B137" s="75">
        <f t="shared" si="24"/>
        <v>12</v>
      </c>
      <c r="C137" s="4"/>
      <c r="D137" s="4"/>
      <c r="E137" s="4"/>
      <c r="F137" s="53" t="s">
        <v>75</v>
      </c>
      <c r="G137" s="4">
        <v>637</v>
      </c>
      <c r="H137" s="4" t="s">
        <v>130</v>
      </c>
      <c r="I137" s="26">
        <v>10750</v>
      </c>
      <c r="J137" s="26"/>
      <c r="K137" s="26">
        <f t="shared" si="20"/>
        <v>10750</v>
      </c>
      <c r="L137" s="76"/>
      <c r="M137" s="26"/>
      <c r="N137" s="26"/>
      <c r="O137" s="26">
        <f t="shared" si="21"/>
        <v>0</v>
      </c>
      <c r="P137" s="76"/>
      <c r="Q137" s="26">
        <f t="shared" si="22"/>
        <v>10750</v>
      </c>
      <c r="R137" s="26">
        <f t="shared" si="23"/>
        <v>0</v>
      </c>
      <c r="S137" s="26">
        <f t="shared" si="23"/>
        <v>10750</v>
      </c>
    </row>
    <row r="138" spans="2:19" x14ac:dyDescent="0.2">
      <c r="B138" s="75">
        <f t="shared" si="24"/>
        <v>13</v>
      </c>
      <c r="C138" s="15"/>
      <c r="D138" s="15"/>
      <c r="E138" s="15"/>
      <c r="F138" s="52" t="s">
        <v>75</v>
      </c>
      <c r="G138" s="15">
        <v>710</v>
      </c>
      <c r="H138" s="15" t="s">
        <v>185</v>
      </c>
      <c r="I138" s="49">
        <f>I139</f>
        <v>0</v>
      </c>
      <c r="J138" s="49">
        <f>J139</f>
        <v>0</v>
      </c>
      <c r="K138" s="49">
        <f t="shared" si="20"/>
        <v>0</v>
      </c>
      <c r="L138" s="123"/>
      <c r="M138" s="49">
        <f>SUM(M139:M140)</f>
        <v>32800</v>
      </c>
      <c r="N138" s="49">
        <f>SUM(N139:N140)</f>
        <v>0</v>
      </c>
      <c r="O138" s="49">
        <f t="shared" si="21"/>
        <v>32800</v>
      </c>
      <c r="P138" s="123"/>
      <c r="Q138" s="49">
        <f t="shared" si="22"/>
        <v>32800</v>
      </c>
      <c r="R138" s="49">
        <f t="shared" si="23"/>
        <v>0</v>
      </c>
      <c r="S138" s="49">
        <f t="shared" si="23"/>
        <v>32800</v>
      </c>
    </row>
    <row r="139" spans="2:19" x14ac:dyDescent="0.2">
      <c r="B139" s="75">
        <f t="shared" si="24"/>
        <v>14</v>
      </c>
      <c r="C139" s="4"/>
      <c r="D139" s="4"/>
      <c r="E139" s="4"/>
      <c r="F139" s="86" t="s">
        <v>75</v>
      </c>
      <c r="G139" s="87">
        <v>712</v>
      </c>
      <c r="H139" s="87" t="s">
        <v>245</v>
      </c>
      <c r="I139" s="88"/>
      <c r="J139" s="88"/>
      <c r="K139" s="88">
        <f t="shared" si="20"/>
        <v>0</v>
      </c>
      <c r="L139" s="76"/>
      <c r="M139" s="88">
        <v>100</v>
      </c>
      <c r="N139" s="88"/>
      <c r="O139" s="88">
        <f t="shared" si="21"/>
        <v>100</v>
      </c>
      <c r="P139" s="76"/>
      <c r="Q139" s="88">
        <f t="shared" si="22"/>
        <v>100</v>
      </c>
      <c r="R139" s="88">
        <f t="shared" si="23"/>
        <v>0</v>
      </c>
      <c r="S139" s="88">
        <f t="shared" si="23"/>
        <v>100</v>
      </c>
    </row>
    <row r="140" spans="2:19" x14ac:dyDescent="0.2">
      <c r="B140" s="75">
        <f t="shared" si="24"/>
        <v>15</v>
      </c>
      <c r="C140" s="4"/>
      <c r="D140" s="4"/>
      <c r="E140" s="4"/>
      <c r="F140" s="86" t="s">
        <v>75</v>
      </c>
      <c r="G140" s="87">
        <v>712</v>
      </c>
      <c r="H140" s="87" t="s">
        <v>499</v>
      </c>
      <c r="I140" s="88"/>
      <c r="J140" s="88"/>
      <c r="K140" s="88">
        <f t="shared" si="20"/>
        <v>0</v>
      </c>
      <c r="L140" s="76"/>
      <c r="M140" s="88">
        <v>32700</v>
      </c>
      <c r="N140" s="88"/>
      <c r="O140" s="88">
        <f t="shared" si="21"/>
        <v>32700</v>
      </c>
      <c r="P140" s="76"/>
      <c r="Q140" s="88">
        <f t="shared" si="22"/>
        <v>32700</v>
      </c>
      <c r="R140" s="88">
        <f t="shared" si="23"/>
        <v>0</v>
      </c>
      <c r="S140" s="88">
        <f t="shared" si="23"/>
        <v>32700</v>
      </c>
    </row>
    <row r="141" spans="2:19" ht="15" x14ac:dyDescent="0.25">
      <c r="B141" s="75">
        <f t="shared" si="24"/>
        <v>16</v>
      </c>
      <c r="C141" s="163"/>
      <c r="D141" s="163">
        <v>3</v>
      </c>
      <c r="E141" s="227" t="s">
        <v>221</v>
      </c>
      <c r="F141" s="228"/>
      <c r="G141" s="228"/>
      <c r="H141" s="229"/>
      <c r="I141" s="46">
        <f>I142+I145</f>
        <v>72110</v>
      </c>
      <c r="J141" s="46">
        <f>J142+J145</f>
        <v>0</v>
      </c>
      <c r="K141" s="46">
        <f t="shared" si="20"/>
        <v>72110</v>
      </c>
      <c r="L141" s="173"/>
      <c r="M141" s="46">
        <f>M142+M145</f>
        <v>271110</v>
      </c>
      <c r="N141" s="46">
        <f>N142+N145</f>
        <v>0</v>
      </c>
      <c r="O141" s="46">
        <f t="shared" si="21"/>
        <v>271110</v>
      </c>
      <c r="P141" s="173"/>
      <c r="Q141" s="46">
        <f t="shared" si="22"/>
        <v>343220</v>
      </c>
      <c r="R141" s="46">
        <f t="shared" si="23"/>
        <v>0</v>
      </c>
      <c r="S141" s="46">
        <f t="shared" si="23"/>
        <v>343220</v>
      </c>
    </row>
    <row r="142" spans="2:19" x14ac:dyDescent="0.2">
      <c r="B142" s="75">
        <f t="shared" si="24"/>
        <v>17</v>
      </c>
      <c r="C142" s="15"/>
      <c r="D142" s="15"/>
      <c r="E142" s="15"/>
      <c r="F142" s="52" t="s">
        <v>75</v>
      </c>
      <c r="G142" s="15">
        <v>630</v>
      </c>
      <c r="H142" s="15" t="s">
        <v>129</v>
      </c>
      <c r="I142" s="49">
        <f>I144+I143</f>
        <v>72110</v>
      </c>
      <c r="J142" s="49">
        <f>J144+J143</f>
        <v>0</v>
      </c>
      <c r="K142" s="49">
        <f t="shared" si="20"/>
        <v>72110</v>
      </c>
      <c r="L142" s="123"/>
      <c r="M142" s="49">
        <f>M144+M143</f>
        <v>0</v>
      </c>
      <c r="N142" s="49">
        <f>N144+N143</f>
        <v>0</v>
      </c>
      <c r="O142" s="49">
        <f t="shared" si="21"/>
        <v>0</v>
      </c>
      <c r="P142" s="123"/>
      <c r="Q142" s="49">
        <f t="shared" si="22"/>
        <v>72110</v>
      </c>
      <c r="R142" s="49">
        <f t="shared" ref="R142:S157" si="25">J142+N142</f>
        <v>0</v>
      </c>
      <c r="S142" s="49">
        <f t="shared" si="25"/>
        <v>72110</v>
      </c>
    </row>
    <row r="143" spans="2:19" x14ac:dyDescent="0.2">
      <c r="B143" s="75">
        <f t="shared" si="24"/>
        <v>18</v>
      </c>
      <c r="C143" s="4"/>
      <c r="D143" s="4"/>
      <c r="E143" s="4"/>
      <c r="F143" s="53" t="s">
        <v>75</v>
      </c>
      <c r="G143" s="4">
        <v>636</v>
      </c>
      <c r="H143" s="4" t="s">
        <v>134</v>
      </c>
      <c r="I143" s="26">
        <v>62250</v>
      </c>
      <c r="J143" s="26"/>
      <c r="K143" s="26">
        <f t="shared" si="20"/>
        <v>62250</v>
      </c>
      <c r="L143" s="76"/>
      <c r="M143" s="26"/>
      <c r="N143" s="26"/>
      <c r="O143" s="26">
        <f t="shared" si="21"/>
        <v>0</v>
      </c>
      <c r="P143" s="76"/>
      <c r="Q143" s="26">
        <f t="shared" si="22"/>
        <v>62250</v>
      </c>
      <c r="R143" s="26">
        <f t="shared" si="25"/>
        <v>0</v>
      </c>
      <c r="S143" s="26">
        <f t="shared" si="25"/>
        <v>62250</v>
      </c>
    </row>
    <row r="144" spans="2:19" x14ac:dyDescent="0.2">
      <c r="B144" s="75">
        <f t="shared" si="24"/>
        <v>19</v>
      </c>
      <c r="C144" s="4"/>
      <c r="D144" s="4"/>
      <c r="E144" s="4"/>
      <c r="F144" s="53" t="s">
        <v>75</v>
      </c>
      <c r="G144" s="4">
        <v>637</v>
      </c>
      <c r="H144" s="4" t="s">
        <v>130</v>
      </c>
      <c r="I144" s="26">
        <v>9860</v>
      </c>
      <c r="J144" s="26"/>
      <c r="K144" s="26">
        <f t="shared" si="20"/>
        <v>9860</v>
      </c>
      <c r="L144" s="76"/>
      <c r="M144" s="26"/>
      <c r="N144" s="26"/>
      <c r="O144" s="26">
        <f t="shared" si="21"/>
        <v>0</v>
      </c>
      <c r="P144" s="76"/>
      <c r="Q144" s="26">
        <f t="shared" si="22"/>
        <v>9860</v>
      </c>
      <c r="R144" s="26">
        <f t="shared" si="25"/>
        <v>0</v>
      </c>
      <c r="S144" s="26">
        <f t="shared" si="25"/>
        <v>9860</v>
      </c>
    </row>
    <row r="145" spans="2:19" x14ac:dyDescent="0.2">
      <c r="B145" s="75">
        <f t="shared" si="24"/>
        <v>20</v>
      </c>
      <c r="C145" s="15"/>
      <c r="D145" s="15"/>
      <c r="E145" s="15"/>
      <c r="F145" s="52" t="s">
        <v>75</v>
      </c>
      <c r="G145" s="15">
        <v>710</v>
      </c>
      <c r="H145" s="15" t="s">
        <v>185</v>
      </c>
      <c r="I145" s="49">
        <f>I146</f>
        <v>0</v>
      </c>
      <c r="J145" s="49">
        <f>J146</f>
        <v>0</v>
      </c>
      <c r="K145" s="49">
        <f t="shared" si="20"/>
        <v>0</v>
      </c>
      <c r="L145" s="123"/>
      <c r="M145" s="49">
        <f>M146</f>
        <v>271110</v>
      </c>
      <c r="N145" s="49">
        <f>N146</f>
        <v>0</v>
      </c>
      <c r="O145" s="49">
        <f t="shared" si="21"/>
        <v>271110</v>
      </c>
      <c r="P145" s="123"/>
      <c r="Q145" s="49">
        <f t="shared" si="22"/>
        <v>271110</v>
      </c>
      <c r="R145" s="49">
        <f t="shared" si="25"/>
        <v>0</v>
      </c>
      <c r="S145" s="49">
        <f t="shared" si="25"/>
        <v>271110</v>
      </c>
    </row>
    <row r="146" spans="2:19" x14ac:dyDescent="0.2">
      <c r="B146" s="75">
        <f t="shared" si="24"/>
        <v>21</v>
      </c>
      <c r="C146" s="4"/>
      <c r="D146" s="4"/>
      <c r="E146" s="4"/>
      <c r="F146" s="86" t="s">
        <v>75</v>
      </c>
      <c r="G146" s="87">
        <v>711</v>
      </c>
      <c r="H146" s="87" t="s">
        <v>224</v>
      </c>
      <c r="I146" s="88"/>
      <c r="J146" s="88"/>
      <c r="K146" s="88">
        <f t="shared" si="20"/>
        <v>0</v>
      </c>
      <c r="L146" s="76"/>
      <c r="M146" s="88">
        <f>275000-100-2700+5000-8000-2394-10000-5696+20000</f>
        <v>271110</v>
      </c>
      <c r="N146" s="88"/>
      <c r="O146" s="88">
        <f t="shared" si="21"/>
        <v>271110</v>
      </c>
      <c r="P146" s="76"/>
      <c r="Q146" s="88">
        <f t="shared" si="22"/>
        <v>271110</v>
      </c>
      <c r="R146" s="88">
        <f t="shared" si="25"/>
        <v>0</v>
      </c>
      <c r="S146" s="88">
        <f t="shared" si="25"/>
        <v>271110</v>
      </c>
    </row>
    <row r="147" spans="2:19" ht="15" x14ac:dyDescent="0.2">
      <c r="B147" s="75">
        <f t="shared" si="24"/>
        <v>22</v>
      </c>
      <c r="C147" s="164">
        <v>3</v>
      </c>
      <c r="D147" s="230" t="s">
        <v>156</v>
      </c>
      <c r="E147" s="228"/>
      <c r="F147" s="228"/>
      <c r="G147" s="228"/>
      <c r="H147" s="229"/>
      <c r="I147" s="45">
        <f>I148</f>
        <v>7100</v>
      </c>
      <c r="J147" s="45">
        <f>J148</f>
        <v>0</v>
      </c>
      <c r="K147" s="45">
        <f t="shared" si="20"/>
        <v>7100</v>
      </c>
      <c r="L147" s="172"/>
      <c r="M147" s="45">
        <f>M148</f>
        <v>0</v>
      </c>
      <c r="N147" s="45">
        <f>N148</f>
        <v>0</v>
      </c>
      <c r="O147" s="45">
        <f t="shared" si="21"/>
        <v>0</v>
      </c>
      <c r="P147" s="172"/>
      <c r="Q147" s="45">
        <f t="shared" si="22"/>
        <v>7100</v>
      </c>
      <c r="R147" s="45">
        <f t="shared" si="25"/>
        <v>0</v>
      </c>
      <c r="S147" s="45">
        <f t="shared" si="25"/>
        <v>7100</v>
      </c>
    </row>
    <row r="148" spans="2:19" x14ac:dyDescent="0.2">
      <c r="B148" s="75">
        <f t="shared" si="24"/>
        <v>23</v>
      </c>
      <c r="C148" s="15"/>
      <c r="D148" s="15"/>
      <c r="E148" s="15"/>
      <c r="F148" s="52" t="s">
        <v>75</v>
      </c>
      <c r="G148" s="15">
        <v>630</v>
      </c>
      <c r="H148" s="15" t="s">
        <v>129</v>
      </c>
      <c r="I148" s="49">
        <f>I150+I149</f>
        <v>7100</v>
      </c>
      <c r="J148" s="49">
        <f>J150+J149</f>
        <v>0</v>
      </c>
      <c r="K148" s="49">
        <f t="shared" si="20"/>
        <v>7100</v>
      </c>
      <c r="L148" s="123"/>
      <c r="M148" s="49">
        <f>M150+M149</f>
        <v>0</v>
      </c>
      <c r="N148" s="49">
        <f>N150+N149</f>
        <v>0</v>
      </c>
      <c r="O148" s="49">
        <f t="shared" si="21"/>
        <v>0</v>
      </c>
      <c r="P148" s="123"/>
      <c r="Q148" s="49">
        <f t="shared" si="22"/>
        <v>7100</v>
      </c>
      <c r="R148" s="49">
        <f t="shared" si="25"/>
        <v>0</v>
      </c>
      <c r="S148" s="49">
        <f t="shared" si="25"/>
        <v>7100</v>
      </c>
    </row>
    <row r="149" spans="2:19" ht="12.75" customHeight="1" x14ac:dyDescent="0.2">
      <c r="B149" s="75">
        <f t="shared" si="24"/>
        <v>24</v>
      </c>
      <c r="C149" s="4"/>
      <c r="D149" s="4"/>
      <c r="E149" s="4"/>
      <c r="F149" s="53" t="s">
        <v>75</v>
      </c>
      <c r="G149" s="4">
        <v>633</v>
      </c>
      <c r="H149" s="4" t="s">
        <v>133</v>
      </c>
      <c r="I149" s="26">
        <v>500</v>
      </c>
      <c r="J149" s="26"/>
      <c r="K149" s="26">
        <f t="shared" si="20"/>
        <v>500</v>
      </c>
      <c r="L149" s="76"/>
      <c r="M149" s="26"/>
      <c r="N149" s="26"/>
      <c r="O149" s="26">
        <f t="shared" si="21"/>
        <v>0</v>
      </c>
      <c r="P149" s="76"/>
      <c r="Q149" s="26">
        <f t="shared" si="22"/>
        <v>500</v>
      </c>
      <c r="R149" s="26">
        <f t="shared" si="25"/>
        <v>0</v>
      </c>
      <c r="S149" s="26">
        <f t="shared" si="25"/>
        <v>500</v>
      </c>
    </row>
    <row r="150" spans="2:19" ht="15.75" customHeight="1" x14ac:dyDescent="0.2">
      <c r="B150" s="75">
        <f t="shared" si="24"/>
        <v>25</v>
      </c>
      <c r="C150" s="4"/>
      <c r="D150" s="4"/>
      <c r="E150" s="4"/>
      <c r="F150" s="53" t="s">
        <v>75</v>
      </c>
      <c r="G150" s="4">
        <v>637</v>
      </c>
      <c r="H150" s="4" t="s">
        <v>130</v>
      </c>
      <c r="I150" s="26">
        <v>6600</v>
      </c>
      <c r="J150" s="26"/>
      <c r="K150" s="26">
        <f t="shared" si="20"/>
        <v>6600</v>
      </c>
      <c r="L150" s="76"/>
      <c r="M150" s="26"/>
      <c r="N150" s="26"/>
      <c r="O150" s="26">
        <f t="shared" si="21"/>
        <v>0</v>
      </c>
      <c r="P150" s="76"/>
      <c r="Q150" s="26">
        <f t="shared" si="22"/>
        <v>6600</v>
      </c>
      <c r="R150" s="26">
        <f t="shared" si="25"/>
        <v>0</v>
      </c>
      <c r="S150" s="26">
        <f t="shared" si="25"/>
        <v>6600</v>
      </c>
    </row>
    <row r="151" spans="2:19" ht="15" x14ac:dyDescent="0.2">
      <c r="B151" s="75">
        <f t="shared" si="24"/>
        <v>26</v>
      </c>
      <c r="C151" s="164">
        <v>4</v>
      </c>
      <c r="D151" s="230" t="s">
        <v>204</v>
      </c>
      <c r="E151" s="228"/>
      <c r="F151" s="228"/>
      <c r="G151" s="228"/>
      <c r="H151" s="229"/>
      <c r="I151" s="45">
        <f>I152+I157+I163</f>
        <v>279910</v>
      </c>
      <c r="J151" s="45">
        <f>J152+J157+J163</f>
        <v>0</v>
      </c>
      <c r="K151" s="45">
        <f t="shared" si="20"/>
        <v>279910</v>
      </c>
      <c r="L151" s="172"/>
      <c r="M151" s="45">
        <f>M152+M157+M163</f>
        <v>137810</v>
      </c>
      <c r="N151" s="45"/>
      <c r="O151" s="45">
        <f t="shared" si="21"/>
        <v>137810</v>
      </c>
      <c r="P151" s="172"/>
      <c r="Q151" s="45">
        <f t="shared" si="22"/>
        <v>417720</v>
      </c>
      <c r="R151" s="45">
        <f t="shared" si="25"/>
        <v>0</v>
      </c>
      <c r="S151" s="45">
        <f t="shared" si="25"/>
        <v>417720</v>
      </c>
    </row>
    <row r="152" spans="2:19" x14ac:dyDescent="0.2">
      <c r="B152" s="75">
        <f t="shared" si="24"/>
        <v>27</v>
      </c>
      <c r="C152" s="15"/>
      <c r="D152" s="15"/>
      <c r="E152" s="15"/>
      <c r="F152" s="52" t="s">
        <v>75</v>
      </c>
      <c r="G152" s="15">
        <v>630</v>
      </c>
      <c r="H152" s="15" t="s">
        <v>129</v>
      </c>
      <c r="I152" s="49">
        <f>I154+I153+I155+I156</f>
        <v>29570</v>
      </c>
      <c r="J152" s="49">
        <f>J154+J153+J155+J156</f>
        <v>0</v>
      </c>
      <c r="K152" s="49">
        <f t="shared" si="20"/>
        <v>29570</v>
      </c>
      <c r="L152" s="123"/>
      <c r="M152" s="49">
        <f>M154+M153+M155</f>
        <v>0</v>
      </c>
      <c r="N152" s="49">
        <f>N154+N153+N155</f>
        <v>0</v>
      </c>
      <c r="O152" s="49">
        <f t="shared" si="21"/>
        <v>0</v>
      </c>
      <c r="P152" s="123"/>
      <c r="Q152" s="49">
        <f t="shared" si="22"/>
        <v>29570</v>
      </c>
      <c r="R152" s="49">
        <f t="shared" si="25"/>
        <v>0</v>
      </c>
      <c r="S152" s="49">
        <f t="shared" si="25"/>
        <v>29570</v>
      </c>
    </row>
    <row r="153" spans="2:19" ht="16.5" customHeight="1" x14ac:dyDescent="0.2">
      <c r="B153" s="75">
        <f t="shared" si="24"/>
        <v>28</v>
      </c>
      <c r="C153" s="4"/>
      <c r="D153" s="4"/>
      <c r="E153" s="4"/>
      <c r="F153" s="53" t="s">
        <v>75</v>
      </c>
      <c r="G153" s="4">
        <v>635</v>
      </c>
      <c r="H153" s="4" t="s">
        <v>139</v>
      </c>
      <c r="I153" s="26">
        <f>12000-4000</f>
        <v>8000</v>
      </c>
      <c r="J153" s="26"/>
      <c r="K153" s="26">
        <f t="shared" si="20"/>
        <v>8000</v>
      </c>
      <c r="L153" s="76"/>
      <c r="M153" s="26"/>
      <c r="N153" s="26"/>
      <c r="O153" s="26">
        <f t="shared" si="21"/>
        <v>0</v>
      </c>
      <c r="P153" s="76"/>
      <c r="Q153" s="26">
        <f t="shared" si="22"/>
        <v>8000</v>
      </c>
      <c r="R153" s="26">
        <f t="shared" si="25"/>
        <v>0</v>
      </c>
      <c r="S153" s="26">
        <f t="shared" si="25"/>
        <v>8000</v>
      </c>
    </row>
    <row r="154" spans="2:19" x14ac:dyDescent="0.2">
      <c r="B154" s="75">
        <f t="shared" si="24"/>
        <v>29</v>
      </c>
      <c r="C154" s="4"/>
      <c r="D154" s="4"/>
      <c r="E154" s="4"/>
      <c r="F154" s="53" t="s">
        <v>75</v>
      </c>
      <c r="G154" s="4">
        <v>637</v>
      </c>
      <c r="H154" s="4" t="s">
        <v>130</v>
      </c>
      <c r="I154" s="26">
        <f>2570+4000</f>
        <v>6570</v>
      </c>
      <c r="J154" s="26"/>
      <c r="K154" s="26">
        <f t="shared" si="20"/>
        <v>6570</v>
      </c>
      <c r="L154" s="76"/>
      <c r="M154" s="26"/>
      <c r="N154" s="26"/>
      <c r="O154" s="26">
        <f t="shared" si="21"/>
        <v>0</v>
      </c>
      <c r="P154" s="76"/>
      <c r="Q154" s="26">
        <f t="shared" si="22"/>
        <v>6570</v>
      </c>
      <c r="R154" s="26">
        <f t="shared" si="25"/>
        <v>0</v>
      </c>
      <c r="S154" s="26">
        <f t="shared" si="25"/>
        <v>6570</v>
      </c>
    </row>
    <row r="155" spans="2:19" x14ac:dyDescent="0.2">
      <c r="B155" s="75">
        <f t="shared" si="24"/>
        <v>30</v>
      </c>
      <c r="C155" s="4"/>
      <c r="D155" s="4"/>
      <c r="E155" s="4"/>
      <c r="F155" s="53" t="s">
        <v>75</v>
      </c>
      <c r="G155" s="4">
        <v>630</v>
      </c>
      <c r="H155" s="4" t="s">
        <v>427</v>
      </c>
      <c r="I155" s="26">
        <v>15000</v>
      </c>
      <c r="J155" s="26"/>
      <c r="K155" s="26">
        <f t="shared" si="20"/>
        <v>15000</v>
      </c>
      <c r="L155" s="76"/>
      <c r="M155" s="26"/>
      <c r="N155" s="26"/>
      <c r="O155" s="26">
        <f t="shared" si="21"/>
        <v>0</v>
      </c>
      <c r="P155" s="76"/>
      <c r="Q155" s="26">
        <f t="shared" si="22"/>
        <v>15000</v>
      </c>
      <c r="R155" s="26">
        <f t="shared" si="25"/>
        <v>0</v>
      </c>
      <c r="S155" s="26">
        <f t="shared" si="25"/>
        <v>15000</v>
      </c>
    </row>
    <row r="156" spans="2:19" x14ac:dyDescent="0.2">
      <c r="B156" s="75">
        <f t="shared" si="24"/>
        <v>31</v>
      </c>
      <c r="C156" s="4"/>
      <c r="D156" s="4"/>
      <c r="E156" s="4"/>
      <c r="F156" s="53" t="s">
        <v>75</v>
      </c>
      <c r="G156" s="4">
        <v>637</v>
      </c>
      <c r="H156" s="4" t="s">
        <v>609</v>
      </c>
      <c r="I156" s="26">
        <f>30000-30000</f>
        <v>0</v>
      </c>
      <c r="J156" s="26"/>
      <c r="K156" s="26">
        <f t="shared" si="20"/>
        <v>0</v>
      </c>
      <c r="L156" s="76"/>
      <c r="M156" s="26"/>
      <c r="N156" s="26"/>
      <c r="O156" s="26">
        <f t="shared" si="21"/>
        <v>0</v>
      </c>
      <c r="P156" s="76"/>
      <c r="Q156" s="26">
        <f t="shared" si="22"/>
        <v>0</v>
      </c>
      <c r="R156" s="26">
        <f t="shared" si="25"/>
        <v>0</v>
      </c>
      <c r="S156" s="26">
        <f t="shared" si="25"/>
        <v>0</v>
      </c>
    </row>
    <row r="157" spans="2:19" x14ac:dyDescent="0.2">
      <c r="B157" s="75">
        <f t="shared" si="24"/>
        <v>32</v>
      </c>
      <c r="C157" s="15"/>
      <c r="D157" s="15"/>
      <c r="E157" s="15"/>
      <c r="F157" s="52" t="s">
        <v>75</v>
      </c>
      <c r="G157" s="15">
        <v>710</v>
      </c>
      <c r="H157" s="15" t="s">
        <v>185</v>
      </c>
      <c r="I157" s="49">
        <f>I160</f>
        <v>0</v>
      </c>
      <c r="J157" s="49">
        <f>J160</f>
        <v>0</v>
      </c>
      <c r="K157" s="49">
        <f t="shared" si="20"/>
        <v>0</v>
      </c>
      <c r="L157" s="123"/>
      <c r="M157" s="49">
        <f>M160+M158</f>
        <v>137810</v>
      </c>
      <c r="N157" s="49">
        <f>N160+N158</f>
        <v>0</v>
      </c>
      <c r="O157" s="49">
        <f t="shared" si="21"/>
        <v>137810</v>
      </c>
      <c r="P157" s="123"/>
      <c r="Q157" s="49">
        <f t="shared" si="22"/>
        <v>137810</v>
      </c>
      <c r="R157" s="49">
        <f t="shared" si="25"/>
        <v>0</v>
      </c>
      <c r="S157" s="49">
        <f t="shared" si="25"/>
        <v>137810</v>
      </c>
    </row>
    <row r="158" spans="2:19" x14ac:dyDescent="0.2">
      <c r="B158" s="75">
        <f t="shared" si="24"/>
        <v>33</v>
      </c>
      <c r="C158" s="15"/>
      <c r="D158" s="15"/>
      <c r="E158" s="15"/>
      <c r="F158" s="86" t="s">
        <v>75</v>
      </c>
      <c r="G158" s="87">
        <v>716</v>
      </c>
      <c r="H158" s="87" t="s">
        <v>0</v>
      </c>
      <c r="I158" s="88">
        <v>0</v>
      </c>
      <c r="J158" s="88"/>
      <c r="K158" s="88">
        <f t="shared" si="20"/>
        <v>0</v>
      </c>
      <c r="L158" s="76"/>
      <c r="M158" s="88">
        <f>SUM(M159:M159)</f>
        <v>4500</v>
      </c>
      <c r="N158" s="88">
        <f>SUM(N159:N159)</f>
        <v>0</v>
      </c>
      <c r="O158" s="88">
        <f t="shared" si="21"/>
        <v>4500</v>
      </c>
      <c r="P158" s="76"/>
      <c r="Q158" s="88">
        <f>M158+I158</f>
        <v>4500</v>
      </c>
      <c r="R158" s="88">
        <f t="shared" ref="R158:S159" si="26">N158+J158</f>
        <v>0</v>
      </c>
      <c r="S158" s="88">
        <f t="shared" si="26"/>
        <v>4500</v>
      </c>
    </row>
    <row r="159" spans="2:19" x14ac:dyDescent="0.2">
      <c r="B159" s="75">
        <f t="shared" si="24"/>
        <v>34</v>
      </c>
      <c r="C159" s="15"/>
      <c r="D159" s="15"/>
      <c r="E159" s="15"/>
      <c r="F159" s="64"/>
      <c r="G159" s="60"/>
      <c r="H159" s="60" t="s">
        <v>604</v>
      </c>
      <c r="I159" s="58"/>
      <c r="J159" s="58"/>
      <c r="K159" s="58">
        <f t="shared" si="20"/>
        <v>0</v>
      </c>
      <c r="L159" s="76"/>
      <c r="M159" s="58">
        <v>4500</v>
      </c>
      <c r="N159" s="58"/>
      <c r="O159" s="58">
        <f t="shared" si="21"/>
        <v>4500</v>
      </c>
      <c r="P159" s="76"/>
      <c r="Q159" s="26">
        <f>M159+I159</f>
        <v>4500</v>
      </c>
      <c r="R159" s="26">
        <f t="shared" si="26"/>
        <v>0</v>
      </c>
      <c r="S159" s="26">
        <f t="shared" si="26"/>
        <v>4500</v>
      </c>
    </row>
    <row r="160" spans="2:19" x14ac:dyDescent="0.2">
      <c r="B160" s="75">
        <f t="shared" si="24"/>
        <v>35</v>
      </c>
      <c r="C160" s="4"/>
      <c r="D160" s="4"/>
      <c r="E160" s="4"/>
      <c r="F160" s="86" t="s">
        <v>75</v>
      </c>
      <c r="G160" s="87">
        <v>717</v>
      </c>
      <c r="H160" s="87" t="s">
        <v>195</v>
      </c>
      <c r="I160" s="88"/>
      <c r="J160" s="88"/>
      <c r="K160" s="88">
        <f t="shared" si="20"/>
        <v>0</v>
      </c>
      <c r="L160" s="76"/>
      <c r="M160" s="88">
        <f>SUM(M161:M162)</f>
        <v>133310</v>
      </c>
      <c r="N160" s="88">
        <f>SUM(N161:N162)</f>
        <v>0</v>
      </c>
      <c r="O160" s="88">
        <f t="shared" si="21"/>
        <v>133310</v>
      </c>
      <c r="P160" s="76"/>
      <c r="Q160" s="88">
        <f t="shared" ref="Q160:Q206" si="27">I160+M160</f>
        <v>133310</v>
      </c>
      <c r="R160" s="88">
        <f t="shared" ref="R160:S175" si="28">J160+N160</f>
        <v>0</v>
      </c>
      <c r="S160" s="88">
        <f t="shared" si="28"/>
        <v>133310</v>
      </c>
    </row>
    <row r="161" spans="2:19" x14ac:dyDescent="0.2">
      <c r="B161" s="75">
        <f t="shared" si="24"/>
        <v>36</v>
      </c>
      <c r="C161" s="4"/>
      <c r="D161" s="4"/>
      <c r="E161" s="4"/>
      <c r="F161" s="53"/>
      <c r="G161" s="4"/>
      <c r="H161" s="4" t="s">
        <v>451</v>
      </c>
      <c r="I161" s="26"/>
      <c r="J161" s="26"/>
      <c r="K161" s="26">
        <f t="shared" si="20"/>
        <v>0</v>
      </c>
      <c r="L161" s="76"/>
      <c r="M161" s="26">
        <v>112810</v>
      </c>
      <c r="N161" s="26"/>
      <c r="O161" s="26">
        <f t="shared" si="21"/>
        <v>112810</v>
      </c>
      <c r="P161" s="76"/>
      <c r="Q161" s="26">
        <f t="shared" si="27"/>
        <v>112810</v>
      </c>
      <c r="R161" s="26">
        <f t="shared" si="28"/>
        <v>0</v>
      </c>
      <c r="S161" s="26">
        <f t="shared" si="28"/>
        <v>112810</v>
      </c>
    </row>
    <row r="162" spans="2:19" x14ac:dyDescent="0.2">
      <c r="B162" s="75">
        <f t="shared" si="24"/>
        <v>37</v>
      </c>
      <c r="C162" s="4"/>
      <c r="D162" s="4"/>
      <c r="E162" s="4"/>
      <c r="F162" s="53"/>
      <c r="G162" s="4"/>
      <c r="H162" s="4" t="s">
        <v>463</v>
      </c>
      <c r="I162" s="26"/>
      <c r="J162" s="26"/>
      <c r="K162" s="26">
        <f t="shared" si="20"/>
        <v>0</v>
      </c>
      <c r="L162" s="76"/>
      <c r="M162" s="26">
        <f>25000-4500</f>
        <v>20500</v>
      </c>
      <c r="N162" s="26"/>
      <c r="O162" s="26">
        <f t="shared" si="21"/>
        <v>20500</v>
      </c>
      <c r="P162" s="76"/>
      <c r="Q162" s="26">
        <f t="shared" si="27"/>
        <v>20500</v>
      </c>
      <c r="R162" s="26">
        <f t="shared" si="28"/>
        <v>0</v>
      </c>
      <c r="S162" s="26">
        <f t="shared" si="28"/>
        <v>20500</v>
      </c>
    </row>
    <row r="163" spans="2:19" ht="15" x14ac:dyDescent="0.25">
      <c r="B163" s="75">
        <f t="shared" si="24"/>
        <v>38</v>
      </c>
      <c r="C163" s="18"/>
      <c r="D163" s="18"/>
      <c r="E163" s="18">
        <v>2</v>
      </c>
      <c r="F163" s="50"/>
      <c r="G163" s="18"/>
      <c r="H163" s="118" t="s">
        <v>258</v>
      </c>
      <c r="I163" s="47">
        <f>I164+I165+I166+I173</f>
        <v>250340</v>
      </c>
      <c r="J163" s="47">
        <f>J164+J165+J166+J173</f>
        <v>0</v>
      </c>
      <c r="K163" s="47">
        <f t="shared" si="20"/>
        <v>250340</v>
      </c>
      <c r="L163" s="174"/>
      <c r="M163" s="47">
        <v>0</v>
      </c>
      <c r="N163" s="47"/>
      <c r="O163" s="47">
        <f t="shared" si="21"/>
        <v>0</v>
      </c>
      <c r="P163" s="174"/>
      <c r="Q163" s="47">
        <f t="shared" si="27"/>
        <v>250340</v>
      </c>
      <c r="R163" s="47">
        <f t="shared" si="28"/>
        <v>0</v>
      </c>
      <c r="S163" s="47">
        <f t="shared" si="28"/>
        <v>250340</v>
      </c>
    </row>
    <row r="164" spans="2:19" x14ac:dyDescent="0.2">
      <c r="B164" s="75">
        <f t="shared" si="24"/>
        <v>39</v>
      </c>
      <c r="C164" s="15"/>
      <c r="D164" s="15"/>
      <c r="E164" s="15"/>
      <c r="F164" s="52" t="s">
        <v>160</v>
      </c>
      <c r="G164" s="15">
        <v>610</v>
      </c>
      <c r="H164" s="15" t="s">
        <v>137</v>
      </c>
      <c r="I164" s="49">
        <v>63900</v>
      </c>
      <c r="J164" s="49"/>
      <c r="K164" s="49">
        <f t="shared" si="20"/>
        <v>63900</v>
      </c>
      <c r="L164" s="123"/>
      <c r="M164" s="49"/>
      <c r="N164" s="49"/>
      <c r="O164" s="49">
        <f t="shared" si="21"/>
        <v>0</v>
      </c>
      <c r="P164" s="123"/>
      <c r="Q164" s="49">
        <f t="shared" si="27"/>
        <v>63900</v>
      </c>
      <c r="R164" s="49">
        <f t="shared" si="28"/>
        <v>0</v>
      </c>
      <c r="S164" s="49">
        <f t="shared" si="28"/>
        <v>63900</v>
      </c>
    </row>
    <row r="165" spans="2:19" x14ac:dyDescent="0.2">
      <c r="B165" s="75">
        <f t="shared" si="24"/>
        <v>40</v>
      </c>
      <c r="C165" s="15"/>
      <c r="D165" s="15"/>
      <c r="E165" s="15"/>
      <c r="F165" s="52" t="s">
        <v>160</v>
      </c>
      <c r="G165" s="15">
        <v>620</v>
      </c>
      <c r="H165" s="15" t="s">
        <v>132</v>
      </c>
      <c r="I165" s="49">
        <v>24000</v>
      </c>
      <c r="J165" s="49"/>
      <c r="K165" s="49">
        <f t="shared" si="20"/>
        <v>24000</v>
      </c>
      <c r="L165" s="123"/>
      <c r="M165" s="49"/>
      <c r="N165" s="49"/>
      <c r="O165" s="49">
        <f t="shared" si="21"/>
        <v>0</v>
      </c>
      <c r="P165" s="123"/>
      <c r="Q165" s="49">
        <f t="shared" si="27"/>
        <v>24000</v>
      </c>
      <c r="R165" s="49">
        <f t="shared" si="28"/>
        <v>0</v>
      </c>
      <c r="S165" s="49">
        <f t="shared" si="28"/>
        <v>24000</v>
      </c>
    </row>
    <row r="166" spans="2:19" x14ac:dyDescent="0.2">
      <c r="B166" s="75">
        <f t="shared" si="24"/>
        <v>41</v>
      </c>
      <c r="C166" s="15"/>
      <c r="D166" s="15"/>
      <c r="E166" s="15"/>
      <c r="F166" s="52" t="s">
        <v>160</v>
      </c>
      <c r="G166" s="15">
        <v>630</v>
      </c>
      <c r="H166" s="15" t="s">
        <v>129</v>
      </c>
      <c r="I166" s="49">
        <f>I172+I171+I170+I169+I168+I167</f>
        <v>160240</v>
      </c>
      <c r="J166" s="49">
        <f>J172+J171+J170+J169+J168+J167</f>
        <v>0</v>
      </c>
      <c r="K166" s="49">
        <f t="shared" si="20"/>
        <v>160240</v>
      </c>
      <c r="L166" s="123"/>
      <c r="M166" s="49">
        <f>M172+M171+M170+M169+M168+M167</f>
        <v>0</v>
      </c>
      <c r="N166" s="49">
        <f>N172+N171+N170+N169+N168+N167</f>
        <v>0</v>
      </c>
      <c r="O166" s="49">
        <f t="shared" si="21"/>
        <v>0</v>
      </c>
      <c r="P166" s="123"/>
      <c r="Q166" s="49">
        <f t="shared" si="27"/>
        <v>160240</v>
      </c>
      <c r="R166" s="49">
        <f t="shared" si="28"/>
        <v>0</v>
      </c>
      <c r="S166" s="49">
        <f t="shared" si="28"/>
        <v>160240</v>
      </c>
    </row>
    <row r="167" spans="2:19" x14ac:dyDescent="0.2">
      <c r="B167" s="75">
        <f t="shared" si="24"/>
        <v>42</v>
      </c>
      <c r="C167" s="4"/>
      <c r="D167" s="4"/>
      <c r="E167" s="4"/>
      <c r="F167" s="53" t="s">
        <v>160</v>
      </c>
      <c r="G167" s="4">
        <v>632</v>
      </c>
      <c r="H167" s="4" t="s">
        <v>140</v>
      </c>
      <c r="I167" s="26">
        <v>90000</v>
      </c>
      <c r="J167" s="26"/>
      <c r="K167" s="26">
        <f t="shared" si="20"/>
        <v>90000</v>
      </c>
      <c r="L167" s="76"/>
      <c r="M167" s="26"/>
      <c r="N167" s="26"/>
      <c r="O167" s="26">
        <f t="shared" si="21"/>
        <v>0</v>
      </c>
      <c r="P167" s="76"/>
      <c r="Q167" s="26">
        <f t="shared" si="27"/>
        <v>90000</v>
      </c>
      <c r="R167" s="26">
        <f t="shared" si="28"/>
        <v>0</v>
      </c>
      <c r="S167" s="26">
        <f t="shared" si="28"/>
        <v>90000</v>
      </c>
    </row>
    <row r="168" spans="2:19" x14ac:dyDescent="0.2">
      <c r="B168" s="75">
        <f t="shared" si="24"/>
        <v>43</v>
      </c>
      <c r="C168" s="4"/>
      <c r="D168" s="4"/>
      <c r="E168" s="4"/>
      <c r="F168" s="53" t="s">
        <v>160</v>
      </c>
      <c r="G168" s="4">
        <v>633</v>
      </c>
      <c r="H168" s="4" t="s">
        <v>133</v>
      </c>
      <c r="I168" s="26">
        <v>5250</v>
      </c>
      <c r="J168" s="26"/>
      <c r="K168" s="26">
        <f t="shared" si="20"/>
        <v>5250</v>
      </c>
      <c r="L168" s="76"/>
      <c r="M168" s="26"/>
      <c r="N168" s="26"/>
      <c r="O168" s="26">
        <f t="shared" si="21"/>
        <v>0</v>
      </c>
      <c r="P168" s="76"/>
      <c r="Q168" s="26">
        <f t="shared" si="27"/>
        <v>5250</v>
      </c>
      <c r="R168" s="26">
        <f t="shared" si="28"/>
        <v>0</v>
      </c>
      <c r="S168" s="26">
        <f t="shared" si="28"/>
        <v>5250</v>
      </c>
    </row>
    <row r="169" spans="2:19" x14ac:dyDescent="0.2">
      <c r="B169" s="75">
        <f t="shared" si="24"/>
        <v>44</v>
      </c>
      <c r="C169" s="4"/>
      <c r="D169" s="4"/>
      <c r="E169" s="4"/>
      <c r="F169" s="53" t="s">
        <v>160</v>
      </c>
      <c r="G169" s="4">
        <v>634</v>
      </c>
      <c r="H169" s="4" t="s">
        <v>138</v>
      </c>
      <c r="I169" s="26">
        <v>4200</v>
      </c>
      <c r="J169" s="26"/>
      <c r="K169" s="26">
        <f t="shared" si="20"/>
        <v>4200</v>
      </c>
      <c r="L169" s="76"/>
      <c r="M169" s="26"/>
      <c r="N169" s="26"/>
      <c r="O169" s="26">
        <f t="shared" si="21"/>
        <v>0</v>
      </c>
      <c r="P169" s="76"/>
      <c r="Q169" s="26">
        <f t="shared" si="27"/>
        <v>4200</v>
      </c>
      <c r="R169" s="26">
        <f t="shared" si="28"/>
        <v>0</v>
      </c>
      <c r="S169" s="26">
        <f t="shared" si="28"/>
        <v>4200</v>
      </c>
    </row>
    <row r="170" spans="2:19" x14ac:dyDescent="0.2">
      <c r="B170" s="75">
        <f t="shared" si="24"/>
        <v>45</v>
      </c>
      <c r="C170" s="4"/>
      <c r="D170" s="4"/>
      <c r="E170" s="4"/>
      <c r="F170" s="53" t="s">
        <v>160</v>
      </c>
      <c r="G170" s="4">
        <v>635</v>
      </c>
      <c r="H170" s="4" t="s">
        <v>139</v>
      </c>
      <c r="I170" s="26">
        <f>38000+8000</f>
        <v>46000</v>
      </c>
      <c r="J170" s="26"/>
      <c r="K170" s="26">
        <f t="shared" si="20"/>
        <v>46000</v>
      </c>
      <c r="L170" s="76"/>
      <c r="M170" s="26"/>
      <c r="N170" s="26"/>
      <c r="O170" s="26">
        <f t="shared" si="21"/>
        <v>0</v>
      </c>
      <c r="P170" s="76"/>
      <c r="Q170" s="26">
        <f t="shared" si="27"/>
        <v>46000</v>
      </c>
      <c r="R170" s="26">
        <f t="shared" si="28"/>
        <v>0</v>
      </c>
      <c r="S170" s="26">
        <f t="shared" si="28"/>
        <v>46000</v>
      </c>
    </row>
    <row r="171" spans="2:19" x14ac:dyDescent="0.2">
      <c r="B171" s="75">
        <f t="shared" si="24"/>
        <v>46</v>
      </c>
      <c r="C171" s="4"/>
      <c r="D171" s="4"/>
      <c r="E171" s="4"/>
      <c r="F171" s="53" t="s">
        <v>160</v>
      </c>
      <c r="G171" s="4">
        <v>636</v>
      </c>
      <c r="H171" s="4" t="s">
        <v>134</v>
      </c>
      <c r="I171" s="26">
        <v>50</v>
      </c>
      <c r="J171" s="26"/>
      <c r="K171" s="26">
        <f t="shared" si="20"/>
        <v>50</v>
      </c>
      <c r="L171" s="76"/>
      <c r="M171" s="26"/>
      <c r="N171" s="26"/>
      <c r="O171" s="26">
        <f t="shared" si="21"/>
        <v>0</v>
      </c>
      <c r="P171" s="76"/>
      <c r="Q171" s="26">
        <f t="shared" si="27"/>
        <v>50</v>
      </c>
      <c r="R171" s="26">
        <f t="shared" si="28"/>
        <v>0</v>
      </c>
      <c r="S171" s="26">
        <f t="shared" si="28"/>
        <v>50</v>
      </c>
    </row>
    <row r="172" spans="2:19" x14ac:dyDescent="0.2">
      <c r="B172" s="75">
        <f t="shared" si="24"/>
        <v>47</v>
      </c>
      <c r="C172" s="4"/>
      <c r="D172" s="4"/>
      <c r="E172" s="4"/>
      <c r="F172" s="53" t="s">
        <v>160</v>
      </c>
      <c r="G172" s="4">
        <v>637</v>
      </c>
      <c r="H172" s="4" t="s">
        <v>130</v>
      </c>
      <c r="I172" s="26">
        <f>17050+690-3000</f>
        <v>14740</v>
      </c>
      <c r="J172" s="26"/>
      <c r="K172" s="26">
        <f t="shared" si="20"/>
        <v>14740</v>
      </c>
      <c r="L172" s="76"/>
      <c r="M172" s="26"/>
      <c r="N172" s="26"/>
      <c r="O172" s="26">
        <f t="shared" si="21"/>
        <v>0</v>
      </c>
      <c r="P172" s="76"/>
      <c r="Q172" s="26">
        <f t="shared" si="27"/>
        <v>14740</v>
      </c>
      <c r="R172" s="26">
        <f t="shared" si="28"/>
        <v>0</v>
      </c>
      <c r="S172" s="26">
        <f t="shared" si="28"/>
        <v>14740</v>
      </c>
    </row>
    <row r="173" spans="2:19" x14ac:dyDescent="0.2">
      <c r="B173" s="75">
        <f t="shared" si="24"/>
        <v>48</v>
      </c>
      <c r="C173" s="15"/>
      <c r="D173" s="15"/>
      <c r="E173" s="15"/>
      <c r="F173" s="52" t="s">
        <v>160</v>
      </c>
      <c r="G173" s="15">
        <v>640</v>
      </c>
      <c r="H173" s="15" t="s">
        <v>136</v>
      </c>
      <c r="I173" s="49">
        <v>2200</v>
      </c>
      <c r="J173" s="49"/>
      <c r="K173" s="49">
        <f t="shared" si="20"/>
        <v>2200</v>
      </c>
      <c r="L173" s="123"/>
      <c r="M173" s="49"/>
      <c r="N173" s="49"/>
      <c r="O173" s="49">
        <f t="shared" si="21"/>
        <v>0</v>
      </c>
      <c r="P173" s="123"/>
      <c r="Q173" s="49">
        <f t="shared" si="27"/>
        <v>2200</v>
      </c>
      <c r="R173" s="49">
        <f t="shared" si="28"/>
        <v>0</v>
      </c>
      <c r="S173" s="49">
        <f t="shared" si="28"/>
        <v>2200</v>
      </c>
    </row>
    <row r="174" spans="2:19" ht="15" x14ac:dyDescent="0.2">
      <c r="B174" s="75">
        <f t="shared" si="24"/>
        <v>49</v>
      </c>
      <c r="C174" s="164">
        <v>5</v>
      </c>
      <c r="D174" s="230" t="s">
        <v>159</v>
      </c>
      <c r="E174" s="228"/>
      <c r="F174" s="228"/>
      <c r="G174" s="228"/>
      <c r="H174" s="229"/>
      <c r="I174" s="45">
        <f>I175+I176+I177+I182+I183+I185+I186</f>
        <v>3200145</v>
      </c>
      <c r="J174" s="45">
        <f>J175+J176+J177+J182+J183+J185+J186</f>
        <v>0</v>
      </c>
      <c r="K174" s="45">
        <f t="shared" si="20"/>
        <v>3200145</v>
      </c>
      <c r="L174" s="172"/>
      <c r="M174" s="45">
        <f>M175+M176+M177+M182+M183+M185+M186</f>
        <v>3310</v>
      </c>
      <c r="N174" s="45">
        <f>N175+N176+N177+N182+N183+N185+N186</f>
        <v>0</v>
      </c>
      <c r="O174" s="45">
        <f t="shared" si="21"/>
        <v>3310</v>
      </c>
      <c r="P174" s="172"/>
      <c r="Q174" s="45">
        <f t="shared" si="27"/>
        <v>3203455</v>
      </c>
      <c r="R174" s="45">
        <f t="shared" si="28"/>
        <v>0</v>
      </c>
      <c r="S174" s="45">
        <f t="shared" si="28"/>
        <v>3203455</v>
      </c>
    </row>
    <row r="175" spans="2:19" x14ac:dyDescent="0.2">
      <c r="B175" s="75">
        <f t="shared" si="24"/>
        <v>50</v>
      </c>
      <c r="C175" s="15"/>
      <c r="D175" s="15"/>
      <c r="E175" s="15"/>
      <c r="F175" s="52" t="s">
        <v>75</v>
      </c>
      <c r="G175" s="15">
        <v>610</v>
      </c>
      <c r="H175" s="15" t="s">
        <v>137</v>
      </c>
      <c r="I175" s="49">
        <v>1700000</v>
      </c>
      <c r="J175" s="49"/>
      <c r="K175" s="49">
        <f t="shared" si="20"/>
        <v>1700000</v>
      </c>
      <c r="L175" s="123"/>
      <c r="M175" s="49"/>
      <c r="N175" s="49"/>
      <c r="O175" s="49">
        <f t="shared" si="21"/>
        <v>0</v>
      </c>
      <c r="P175" s="123"/>
      <c r="Q175" s="49">
        <f t="shared" si="27"/>
        <v>1700000</v>
      </c>
      <c r="R175" s="49">
        <f t="shared" si="28"/>
        <v>0</v>
      </c>
      <c r="S175" s="49">
        <f t="shared" si="28"/>
        <v>1700000</v>
      </c>
    </row>
    <row r="176" spans="2:19" x14ac:dyDescent="0.2">
      <c r="B176" s="75">
        <f t="shared" si="24"/>
        <v>51</v>
      </c>
      <c r="C176" s="15"/>
      <c r="D176" s="15"/>
      <c r="E176" s="15"/>
      <c r="F176" s="52" t="s">
        <v>75</v>
      </c>
      <c r="G176" s="15">
        <v>620</v>
      </c>
      <c r="H176" s="15" t="s">
        <v>132</v>
      </c>
      <c r="I176" s="49">
        <v>679450</v>
      </c>
      <c r="J176" s="49"/>
      <c r="K176" s="49">
        <f t="shared" si="20"/>
        <v>679450</v>
      </c>
      <c r="L176" s="123"/>
      <c r="M176" s="49"/>
      <c r="N176" s="49"/>
      <c r="O176" s="49">
        <f t="shared" si="21"/>
        <v>0</v>
      </c>
      <c r="P176" s="123"/>
      <c r="Q176" s="49">
        <f t="shared" si="27"/>
        <v>679450</v>
      </c>
      <c r="R176" s="49">
        <f t="shared" ref="R176:S191" si="29">J176+N176</f>
        <v>0</v>
      </c>
      <c r="S176" s="49">
        <f t="shared" si="29"/>
        <v>679450</v>
      </c>
    </row>
    <row r="177" spans="1:19" x14ac:dyDescent="0.2">
      <c r="B177" s="75">
        <f t="shared" si="24"/>
        <v>52</v>
      </c>
      <c r="C177" s="15"/>
      <c r="D177" s="15"/>
      <c r="E177" s="15"/>
      <c r="F177" s="52" t="s">
        <v>75</v>
      </c>
      <c r="G177" s="15">
        <v>630</v>
      </c>
      <c r="H177" s="15" t="s">
        <v>129</v>
      </c>
      <c r="I177" s="49">
        <f>SUM(I178:I181)</f>
        <v>460470</v>
      </c>
      <c r="J177" s="49">
        <f>SUM(J178:J181)</f>
        <v>0</v>
      </c>
      <c r="K177" s="49">
        <f t="shared" si="20"/>
        <v>460470</v>
      </c>
      <c r="L177" s="123"/>
      <c r="M177" s="49">
        <f>SUM(M178:M181)</f>
        <v>0</v>
      </c>
      <c r="N177" s="49">
        <f>SUM(N178:N181)</f>
        <v>0</v>
      </c>
      <c r="O177" s="49">
        <f t="shared" si="21"/>
        <v>0</v>
      </c>
      <c r="P177" s="123"/>
      <c r="Q177" s="49">
        <f t="shared" si="27"/>
        <v>460470</v>
      </c>
      <c r="R177" s="49">
        <f t="shared" si="29"/>
        <v>0</v>
      </c>
      <c r="S177" s="49">
        <f t="shared" si="29"/>
        <v>460470</v>
      </c>
    </row>
    <row r="178" spans="1:19" x14ac:dyDescent="0.2">
      <c r="A178" s="221"/>
      <c r="B178" s="75">
        <f t="shared" si="24"/>
        <v>53</v>
      </c>
      <c r="C178" s="4"/>
      <c r="D178" s="4"/>
      <c r="E178" s="4"/>
      <c r="F178" s="53" t="s">
        <v>75</v>
      </c>
      <c r="G178" s="4">
        <v>632</v>
      </c>
      <c r="H178" s="4" t="s">
        <v>140</v>
      </c>
      <c r="I178" s="26">
        <f>161770</f>
        <v>161770</v>
      </c>
      <c r="J178" s="26"/>
      <c r="K178" s="26">
        <f t="shared" si="20"/>
        <v>161770</v>
      </c>
      <c r="L178" s="76"/>
      <c r="M178" s="26"/>
      <c r="N178" s="26"/>
      <c r="O178" s="26">
        <f t="shared" si="21"/>
        <v>0</v>
      </c>
      <c r="P178" s="76"/>
      <c r="Q178" s="26">
        <f t="shared" si="27"/>
        <v>161770</v>
      </c>
      <c r="R178" s="26">
        <f t="shared" si="29"/>
        <v>0</v>
      </c>
      <c r="S178" s="26">
        <f t="shared" si="29"/>
        <v>161770</v>
      </c>
    </row>
    <row r="179" spans="1:19" x14ac:dyDescent="0.2">
      <c r="A179" s="221"/>
      <c r="B179" s="75">
        <f t="shared" si="24"/>
        <v>54</v>
      </c>
      <c r="C179" s="4"/>
      <c r="D179" s="4"/>
      <c r="E179" s="4"/>
      <c r="F179" s="53" t="s">
        <v>75</v>
      </c>
      <c r="G179" s="4">
        <v>633</v>
      </c>
      <c r="H179" s="4" t="s">
        <v>133</v>
      </c>
      <c r="I179" s="26">
        <f>38000+2700</f>
        <v>40700</v>
      </c>
      <c r="J179" s="26"/>
      <c r="K179" s="26">
        <f t="shared" si="20"/>
        <v>40700</v>
      </c>
      <c r="L179" s="76"/>
      <c r="M179" s="26"/>
      <c r="N179" s="26"/>
      <c r="O179" s="26">
        <f t="shared" si="21"/>
        <v>0</v>
      </c>
      <c r="P179" s="76"/>
      <c r="Q179" s="26">
        <f t="shared" si="27"/>
        <v>40700</v>
      </c>
      <c r="R179" s="26">
        <f t="shared" si="29"/>
        <v>0</v>
      </c>
      <c r="S179" s="26">
        <f t="shared" si="29"/>
        <v>40700</v>
      </c>
    </row>
    <row r="180" spans="1:19" x14ac:dyDescent="0.2">
      <c r="A180" s="221"/>
      <c r="B180" s="75">
        <f t="shared" si="24"/>
        <v>55</v>
      </c>
      <c r="C180" s="4"/>
      <c r="D180" s="4"/>
      <c r="E180" s="4"/>
      <c r="F180" s="53" t="s">
        <v>75</v>
      </c>
      <c r="G180" s="4">
        <v>635</v>
      </c>
      <c r="H180" s="4" t="s">
        <v>139</v>
      </c>
      <c r="I180" s="26">
        <v>33000</v>
      </c>
      <c r="J180" s="26"/>
      <c r="K180" s="26">
        <f t="shared" si="20"/>
        <v>33000</v>
      </c>
      <c r="L180" s="76"/>
      <c r="M180" s="26"/>
      <c r="N180" s="26"/>
      <c r="O180" s="26">
        <f t="shared" si="21"/>
        <v>0</v>
      </c>
      <c r="P180" s="76"/>
      <c r="Q180" s="26">
        <f t="shared" si="27"/>
        <v>33000</v>
      </c>
      <c r="R180" s="26">
        <f t="shared" si="29"/>
        <v>0</v>
      </c>
      <c r="S180" s="26">
        <f t="shared" si="29"/>
        <v>33000</v>
      </c>
    </row>
    <row r="181" spans="1:19" x14ac:dyDescent="0.2">
      <c r="B181" s="75">
        <f t="shared" si="24"/>
        <v>56</v>
      </c>
      <c r="C181" s="4"/>
      <c r="D181" s="4"/>
      <c r="E181" s="4"/>
      <c r="F181" s="53" t="s">
        <v>75</v>
      </c>
      <c r="G181" s="4">
        <v>637</v>
      </c>
      <c r="H181" s="4" t="s">
        <v>130</v>
      </c>
      <c r="I181" s="26">
        <v>225000</v>
      </c>
      <c r="J181" s="26"/>
      <c r="K181" s="26">
        <f t="shared" si="20"/>
        <v>225000</v>
      </c>
      <c r="L181" s="76"/>
      <c r="M181" s="26"/>
      <c r="N181" s="26"/>
      <c r="O181" s="26">
        <f t="shared" si="21"/>
        <v>0</v>
      </c>
      <c r="P181" s="76"/>
      <c r="Q181" s="26">
        <f t="shared" si="27"/>
        <v>225000</v>
      </c>
      <c r="R181" s="26">
        <f t="shared" si="29"/>
        <v>0</v>
      </c>
      <c r="S181" s="26">
        <f t="shared" si="29"/>
        <v>225000</v>
      </c>
    </row>
    <row r="182" spans="1:19" x14ac:dyDescent="0.2">
      <c r="B182" s="75">
        <f t="shared" si="24"/>
        <v>57</v>
      </c>
      <c r="C182" s="15"/>
      <c r="D182" s="15"/>
      <c r="E182" s="15"/>
      <c r="F182" s="52" t="s">
        <v>75</v>
      </c>
      <c r="G182" s="15">
        <v>640</v>
      </c>
      <c r="H182" s="15" t="s">
        <v>136</v>
      </c>
      <c r="I182" s="49">
        <v>25000</v>
      </c>
      <c r="J182" s="49"/>
      <c r="K182" s="49">
        <f t="shared" si="20"/>
        <v>25000</v>
      </c>
      <c r="L182" s="123"/>
      <c r="M182" s="49"/>
      <c r="N182" s="49"/>
      <c r="O182" s="49">
        <f t="shared" si="21"/>
        <v>0</v>
      </c>
      <c r="P182" s="123"/>
      <c r="Q182" s="49">
        <f t="shared" si="27"/>
        <v>25000</v>
      </c>
      <c r="R182" s="49">
        <f t="shared" si="29"/>
        <v>0</v>
      </c>
      <c r="S182" s="49">
        <f t="shared" si="29"/>
        <v>25000</v>
      </c>
    </row>
    <row r="183" spans="1:19" x14ac:dyDescent="0.2">
      <c r="B183" s="75">
        <f t="shared" si="24"/>
        <v>58</v>
      </c>
      <c r="C183" s="15"/>
      <c r="D183" s="15"/>
      <c r="E183" s="15"/>
      <c r="F183" s="52" t="s">
        <v>34</v>
      </c>
      <c r="G183" s="15">
        <v>630</v>
      </c>
      <c r="H183" s="15" t="s">
        <v>129</v>
      </c>
      <c r="I183" s="49">
        <f>I184</f>
        <v>10000</v>
      </c>
      <c r="J183" s="49">
        <f>J184</f>
        <v>0</v>
      </c>
      <c r="K183" s="49">
        <f t="shared" si="20"/>
        <v>10000</v>
      </c>
      <c r="L183" s="123"/>
      <c r="M183" s="49">
        <f>M184</f>
        <v>0</v>
      </c>
      <c r="N183" s="49">
        <f>N184</f>
        <v>0</v>
      </c>
      <c r="O183" s="49">
        <f t="shared" si="21"/>
        <v>0</v>
      </c>
      <c r="P183" s="123"/>
      <c r="Q183" s="49">
        <f t="shared" si="27"/>
        <v>10000</v>
      </c>
      <c r="R183" s="49">
        <f t="shared" si="29"/>
        <v>0</v>
      </c>
      <c r="S183" s="49">
        <f t="shared" si="29"/>
        <v>10000</v>
      </c>
    </row>
    <row r="184" spans="1:19" x14ac:dyDescent="0.2">
      <c r="B184" s="75">
        <f t="shared" si="24"/>
        <v>59</v>
      </c>
      <c r="C184" s="4"/>
      <c r="D184" s="4"/>
      <c r="E184" s="4"/>
      <c r="F184" s="53" t="s">
        <v>34</v>
      </c>
      <c r="G184" s="4">
        <v>637</v>
      </c>
      <c r="H184" s="4" t="s">
        <v>130</v>
      </c>
      <c r="I184" s="76">
        <f>15000-5000</f>
        <v>10000</v>
      </c>
      <c r="J184" s="76"/>
      <c r="K184" s="76">
        <f t="shared" si="20"/>
        <v>10000</v>
      </c>
      <c r="L184" s="76"/>
      <c r="M184" s="26"/>
      <c r="N184" s="26"/>
      <c r="O184" s="26">
        <f t="shared" si="21"/>
        <v>0</v>
      </c>
      <c r="P184" s="76"/>
      <c r="Q184" s="26">
        <f t="shared" si="27"/>
        <v>10000</v>
      </c>
      <c r="R184" s="26">
        <f t="shared" si="29"/>
        <v>0</v>
      </c>
      <c r="S184" s="26">
        <f t="shared" si="29"/>
        <v>10000</v>
      </c>
    </row>
    <row r="185" spans="1:19" x14ac:dyDescent="0.2">
      <c r="B185" s="75">
        <f t="shared" si="24"/>
        <v>60</v>
      </c>
      <c r="C185" s="15"/>
      <c r="D185" s="15"/>
      <c r="E185" s="15"/>
      <c r="F185" s="52" t="s">
        <v>222</v>
      </c>
      <c r="G185" s="15">
        <v>650</v>
      </c>
      <c r="H185" s="15" t="s">
        <v>223</v>
      </c>
      <c r="I185" s="49">
        <f>350000-24775</f>
        <v>325225</v>
      </c>
      <c r="J185" s="49"/>
      <c r="K185" s="49">
        <f t="shared" si="20"/>
        <v>325225</v>
      </c>
      <c r="L185" s="123"/>
      <c r="M185" s="49"/>
      <c r="N185" s="49"/>
      <c r="O185" s="49">
        <f t="shared" si="21"/>
        <v>0</v>
      </c>
      <c r="P185" s="123"/>
      <c r="Q185" s="49">
        <f t="shared" si="27"/>
        <v>325225</v>
      </c>
      <c r="R185" s="49">
        <f t="shared" si="29"/>
        <v>0</v>
      </c>
      <c r="S185" s="49">
        <f t="shared" si="29"/>
        <v>325225</v>
      </c>
    </row>
    <row r="186" spans="1:19" x14ac:dyDescent="0.2">
      <c r="B186" s="75">
        <f t="shared" si="24"/>
        <v>61</v>
      </c>
      <c r="C186" s="15"/>
      <c r="D186" s="15"/>
      <c r="E186" s="15"/>
      <c r="F186" s="52" t="s">
        <v>75</v>
      </c>
      <c r="G186" s="15">
        <v>710</v>
      </c>
      <c r="H186" s="15" t="s">
        <v>185</v>
      </c>
      <c r="I186" s="49">
        <f>I187</f>
        <v>0</v>
      </c>
      <c r="J186" s="49">
        <f>J187</f>
        <v>0</v>
      </c>
      <c r="K186" s="49">
        <f t="shared" si="20"/>
        <v>0</v>
      </c>
      <c r="L186" s="123"/>
      <c r="M186" s="49">
        <f>M187</f>
        <v>3310</v>
      </c>
      <c r="N186" s="49">
        <f>N187</f>
        <v>0</v>
      </c>
      <c r="O186" s="49">
        <f t="shared" si="21"/>
        <v>3310</v>
      </c>
      <c r="P186" s="123"/>
      <c r="Q186" s="49">
        <f t="shared" si="27"/>
        <v>3310</v>
      </c>
      <c r="R186" s="49">
        <f t="shared" si="29"/>
        <v>0</v>
      </c>
      <c r="S186" s="49">
        <f t="shared" si="29"/>
        <v>3310</v>
      </c>
    </row>
    <row r="187" spans="1:19" x14ac:dyDescent="0.2">
      <c r="B187" s="75">
        <f t="shared" si="24"/>
        <v>62</v>
      </c>
      <c r="C187" s="4"/>
      <c r="D187" s="54"/>
      <c r="E187" s="4"/>
      <c r="F187" s="86" t="s">
        <v>75</v>
      </c>
      <c r="G187" s="87">
        <v>717</v>
      </c>
      <c r="H187" s="87" t="s">
        <v>195</v>
      </c>
      <c r="I187" s="88"/>
      <c r="J187" s="88"/>
      <c r="K187" s="88">
        <f t="shared" si="20"/>
        <v>0</v>
      </c>
      <c r="L187" s="76"/>
      <c r="M187" s="88">
        <f>M188</f>
        <v>3310</v>
      </c>
      <c r="N187" s="88">
        <f>N188</f>
        <v>0</v>
      </c>
      <c r="O187" s="88">
        <f t="shared" si="21"/>
        <v>3310</v>
      </c>
      <c r="P187" s="76"/>
      <c r="Q187" s="88">
        <f t="shared" si="27"/>
        <v>3310</v>
      </c>
      <c r="R187" s="88">
        <f t="shared" si="29"/>
        <v>0</v>
      </c>
      <c r="S187" s="88">
        <f t="shared" si="29"/>
        <v>3310</v>
      </c>
    </row>
    <row r="188" spans="1:19" x14ac:dyDescent="0.2">
      <c r="B188" s="75">
        <f t="shared" si="24"/>
        <v>63</v>
      </c>
      <c r="C188" s="4"/>
      <c r="D188" s="54"/>
      <c r="E188" s="4"/>
      <c r="F188" s="53"/>
      <c r="G188" s="4"/>
      <c r="H188" s="38" t="s">
        <v>426</v>
      </c>
      <c r="I188" s="26"/>
      <c r="J188" s="26"/>
      <c r="K188" s="26">
        <f t="shared" si="20"/>
        <v>0</v>
      </c>
      <c r="L188" s="76"/>
      <c r="M188" s="26">
        <v>3310</v>
      </c>
      <c r="N188" s="26"/>
      <c r="O188" s="26">
        <f t="shared" si="21"/>
        <v>3310</v>
      </c>
      <c r="P188" s="76"/>
      <c r="Q188" s="26">
        <f t="shared" si="27"/>
        <v>3310</v>
      </c>
      <c r="R188" s="26">
        <f t="shared" si="29"/>
        <v>0</v>
      </c>
      <c r="S188" s="26">
        <f t="shared" si="29"/>
        <v>3310</v>
      </c>
    </row>
    <row r="189" spans="1:19" ht="15" x14ac:dyDescent="0.2">
      <c r="B189" s="75">
        <f t="shared" si="24"/>
        <v>64</v>
      </c>
      <c r="C189" s="164">
        <v>6</v>
      </c>
      <c r="D189" s="230" t="s">
        <v>58</v>
      </c>
      <c r="E189" s="228"/>
      <c r="F189" s="228"/>
      <c r="G189" s="228"/>
      <c r="H189" s="229"/>
      <c r="I189" s="45">
        <f>I190</f>
        <v>7000</v>
      </c>
      <c r="J189" s="45">
        <f>J190</f>
        <v>0</v>
      </c>
      <c r="K189" s="45">
        <f t="shared" si="20"/>
        <v>7000</v>
      </c>
      <c r="L189" s="172"/>
      <c r="M189" s="45">
        <f>M190</f>
        <v>0</v>
      </c>
      <c r="N189" s="45">
        <f>N190</f>
        <v>0</v>
      </c>
      <c r="O189" s="45">
        <f t="shared" si="21"/>
        <v>0</v>
      </c>
      <c r="P189" s="172"/>
      <c r="Q189" s="45">
        <f t="shared" si="27"/>
        <v>7000</v>
      </c>
      <c r="R189" s="45">
        <f t="shared" si="29"/>
        <v>0</v>
      </c>
      <c r="S189" s="45">
        <f t="shared" si="29"/>
        <v>7000</v>
      </c>
    </row>
    <row r="190" spans="1:19" x14ac:dyDescent="0.2">
      <c r="B190" s="75">
        <f t="shared" si="24"/>
        <v>65</v>
      </c>
      <c r="C190" s="15"/>
      <c r="D190" s="15"/>
      <c r="E190" s="15"/>
      <c r="F190" s="52" t="s">
        <v>75</v>
      </c>
      <c r="G190" s="15">
        <v>630</v>
      </c>
      <c r="H190" s="15" t="s">
        <v>129</v>
      </c>
      <c r="I190" s="49">
        <f>I192+I191</f>
        <v>7000</v>
      </c>
      <c r="J190" s="49">
        <f>J192+J191</f>
        <v>0</v>
      </c>
      <c r="K190" s="49">
        <f t="shared" ref="K190:K206" si="30">I190+J190</f>
        <v>7000</v>
      </c>
      <c r="L190" s="123"/>
      <c r="M190" s="49">
        <f>M192+M191</f>
        <v>0</v>
      </c>
      <c r="N190" s="49">
        <f>N192+N191</f>
        <v>0</v>
      </c>
      <c r="O190" s="49">
        <f t="shared" ref="O190:O206" si="31">M190+N190</f>
        <v>0</v>
      </c>
      <c r="P190" s="123"/>
      <c r="Q190" s="49">
        <f t="shared" si="27"/>
        <v>7000</v>
      </c>
      <c r="R190" s="49">
        <f t="shared" si="29"/>
        <v>0</v>
      </c>
      <c r="S190" s="49">
        <f t="shared" si="29"/>
        <v>7000</v>
      </c>
    </row>
    <row r="191" spans="1:19" x14ac:dyDescent="0.2">
      <c r="B191" s="75">
        <f t="shared" ref="B191:B206" si="32">B190+1</f>
        <v>66</v>
      </c>
      <c r="C191" s="4"/>
      <c r="D191" s="4"/>
      <c r="E191" s="4"/>
      <c r="F191" s="53" t="s">
        <v>75</v>
      </c>
      <c r="G191" s="4">
        <v>631</v>
      </c>
      <c r="H191" s="4" t="s">
        <v>135</v>
      </c>
      <c r="I191" s="26">
        <v>2500</v>
      </c>
      <c r="J191" s="26"/>
      <c r="K191" s="26">
        <f t="shared" si="30"/>
        <v>2500</v>
      </c>
      <c r="L191" s="76"/>
      <c r="M191" s="26"/>
      <c r="N191" s="26"/>
      <c r="O191" s="26">
        <f t="shared" si="31"/>
        <v>0</v>
      </c>
      <c r="P191" s="76"/>
      <c r="Q191" s="26">
        <f t="shared" si="27"/>
        <v>2500</v>
      </c>
      <c r="R191" s="26">
        <f t="shared" si="29"/>
        <v>0</v>
      </c>
      <c r="S191" s="26">
        <f t="shared" si="29"/>
        <v>2500</v>
      </c>
    </row>
    <row r="192" spans="1:19" x14ac:dyDescent="0.2">
      <c r="B192" s="75">
        <f t="shared" si="32"/>
        <v>67</v>
      </c>
      <c r="C192" s="4"/>
      <c r="D192" s="4"/>
      <c r="E192" s="4"/>
      <c r="F192" s="53" t="s">
        <v>165</v>
      </c>
      <c r="G192" s="4">
        <v>637</v>
      </c>
      <c r="H192" s="4" t="s">
        <v>130</v>
      </c>
      <c r="I192" s="26">
        <v>4500</v>
      </c>
      <c r="J192" s="26"/>
      <c r="K192" s="26">
        <f t="shared" si="30"/>
        <v>4500</v>
      </c>
      <c r="L192" s="76"/>
      <c r="M192" s="26"/>
      <c r="N192" s="26"/>
      <c r="O192" s="26">
        <f t="shared" si="31"/>
        <v>0</v>
      </c>
      <c r="P192" s="76"/>
      <c r="Q192" s="26">
        <f t="shared" si="27"/>
        <v>4500</v>
      </c>
      <c r="R192" s="26">
        <f t="shared" ref="R192:S206" si="33">J192+N192</f>
        <v>0</v>
      </c>
      <c r="S192" s="26">
        <f t="shared" si="33"/>
        <v>4500</v>
      </c>
    </row>
    <row r="193" spans="2:19" ht="15" x14ac:dyDescent="0.2">
      <c r="B193" s="75">
        <f t="shared" si="32"/>
        <v>68</v>
      </c>
      <c r="C193" s="164">
        <v>7</v>
      </c>
      <c r="D193" s="230" t="s">
        <v>141</v>
      </c>
      <c r="E193" s="228"/>
      <c r="F193" s="228"/>
      <c r="G193" s="228"/>
      <c r="H193" s="229"/>
      <c r="I193" s="45">
        <f>I194+I198</f>
        <v>148700</v>
      </c>
      <c r="J193" s="45">
        <f>J194+J198</f>
        <v>0</v>
      </c>
      <c r="K193" s="45">
        <f t="shared" si="30"/>
        <v>148700</v>
      </c>
      <c r="L193" s="172"/>
      <c r="M193" s="45">
        <f>M194+M198</f>
        <v>80000</v>
      </c>
      <c r="N193" s="45">
        <f>N194+N198</f>
        <v>0</v>
      </c>
      <c r="O193" s="45">
        <f t="shared" si="31"/>
        <v>80000</v>
      </c>
      <c r="P193" s="172"/>
      <c r="Q193" s="45">
        <f t="shared" si="27"/>
        <v>228700</v>
      </c>
      <c r="R193" s="45">
        <f t="shared" si="33"/>
        <v>0</v>
      </c>
      <c r="S193" s="45">
        <f t="shared" si="33"/>
        <v>228700</v>
      </c>
    </row>
    <row r="194" spans="2:19" x14ac:dyDescent="0.2">
      <c r="B194" s="75">
        <f t="shared" si="32"/>
        <v>69</v>
      </c>
      <c r="C194" s="15"/>
      <c r="D194" s="15"/>
      <c r="E194" s="15"/>
      <c r="F194" s="52" t="s">
        <v>75</v>
      </c>
      <c r="G194" s="15">
        <v>630</v>
      </c>
      <c r="H194" s="15" t="s">
        <v>129</v>
      </c>
      <c r="I194" s="49">
        <f>I195+I196+I197</f>
        <v>148700</v>
      </c>
      <c r="J194" s="49">
        <f>J195+J196+J197</f>
        <v>0</v>
      </c>
      <c r="K194" s="49">
        <f t="shared" si="30"/>
        <v>148700</v>
      </c>
      <c r="L194" s="123"/>
      <c r="M194" s="49">
        <v>0</v>
      </c>
      <c r="N194" s="49"/>
      <c r="O194" s="49">
        <f t="shared" si="31"/>
        <v>0</v>
      </c>
      <c r="P194" s="123"/>
      <c r="Q194" s="49">
        <f t="shared" si="27"/>
        <v>148700</v>
      </c>
      <c r="R194" s="49">
        <f t="shared" si="33"/>
        <v>0</v>
      </c>
      <c r="S194" s="49">
        <f t="shared" si="33"/>
        <v>148700</v>
      </c>
    </row>
    <row r="195" spans="2:19" x14ac:dyDescent="0.2">
      <c r="B195" s="75">
        <f t="shared" si="32"/>
        <v>70</v>
      </c>
      <c r="C195" s="4"/>
      <c r="D195" s="4"/>
      <c r="E195" s="4"/>
      <c r="F195" s="53" t="s">
        <v>75</v>
      </c>
      <c r="G195" s="4">
        <v>632</v>
      </c>
      <c r="H195" s="4" t="s">
        <v>140</v>
      </c>
      <c r="I195" s="26">
        <v>4700</v>
      </c>
      <c r="J195" s="26"/>
      <c r="K195" s="26">
        <f t="shared" si="30"/>
        <v>4700</v>
      </c>
      <c r="L195" s="76"/>
      <c r="M195" s="26"/>
      <c r="N195" s="26"/>
      <c r="O195" s="26">
        <f t="shared" si="31"/>
        <v>0</v>
      </c>
      <c r="P195" s="76"/>
      <c r="Q195" s="26">
        <f t="shared" si="27"/>
        <v>4700</v>
      </c>
      <c r="R195" s="26">
        <f t="shared" si="33"/>
        <v>0</v>
      </c>
      <c r="S195" s="26">
        <f t="shared" si="33"/>
        <v>4700</v>
      </c>
    </row>
    <row r="196" spans="2:19" x14ac:dyDescent="0.2">
      <c r="B196" s="75">
        <f t="shared" si="32"/>
        <v>71</v>
      </c>
      <c r="C196" s="4"/>
      <c r="D196" s="4"/>
      <c r="E196" s="4"/>
      <c r="F196" s="53" t="s">
        <v>75</v>
      </c>
      <c r="G196" s="4">
        <v>633</v>
      </c>
      <c r="H196" s="4" t="s">
        <v>133</v>
      </c>
      <c r="I196" s="26">
        <v>21000</v>
      </c>
      <c r="J196" s="26"/>
      <c r="K196" s="26">
        <f t="shared" si="30"/>
        <v>21000</v>
      </c>
      <c r="L196" s="76"/>
      <c r="M196" s="26"/>
      <c r="N196" s="26"/>
      <c r="O196" s="26">
        <f t="shared" si="31"/>
        <v>0</v>
      </c>
      <c r="P196" s="76"/>
      <c r="Q196" s="26">
        <f t="shared" si="27"/>
        <v>21000</v>
      </c>
      <c r="R196" s="26">
        <f t="shared" si="33"/>
        <v>0</v>
      </c>
      <c r="S196" s="26">
        <f t="shared" si="33"/>
        <v>21000</v>
      </c>
    </row>
    <row r="197" spans="2:19" x14ac:dyDescent="0.2">
      <c r="B197" s="75">
        <f t="shared" si="32"/>
        <v>72</v>
      </c>
      <c r="C197" s="4"/>
      <c r="D197" s="4"/>
      <c r="E197" s="4"/>
      <c r="F197" s="53" t="s">
        <v>75</v>
      </c>
      <c r="G197" s="4">
        <v>635</v>
      </c>
      <c r="H197" s="4" t="s">
        <v>139</v>
      </c>
      <c r="I197" s="26">
        <v>123000</v>
      </c>
      <c r="J197" s="26"/>
      <c r="K197" s="26">
        <f t="shared" si="30"/>
        <v>123000</v>
      </c>
      <c r="L197" s="76"/>
      <c r="M197" s="26"/>
      <c r="N197" s="26"/>
      <c r="O197" s="26">
        <f t="shared" si="31"/>
        <v>0</v>
      </c>
      <c r="P197" s="76"/>
      <c r="Q197" s="26">
        <f t="shared" si="27"/>
        <v>123000</v>
      </c>
      <c r="R197" s="26">
        <f t="shared" si="33"/>
        <v>0</v>
      </c>
      <c r="S197" s="26">
        <f t="shared" si="33"/>
        <v>123000</v>
      </c>
    </row>
    <row r="198" spans="2:19" x14ac:dyDescent="0.2">
      <c r="B198" s="75">
        <f t="shared" si="32"/>
        <v>73</v>
      </c>
      <c r="C198" s="15"/>
      <c r="D198" s="15"/>
      <c r="E198" s="15"/>
      <c r="F198" s="52" t="s">
        <v>75</v>
      </c>
      <c r="G198" s="15">
        <v>710</v>
      </c>
      <c r="H198" s="15" t="s">
        <v>185</v>
      </c>
      <c r="I198" s="49">
        <f>I201+I199</f>
        <v>0</v>
      </c>
      <c r="J198" s="49">
        <f>J201+J199</f>
        <v>0</v>
      </c>
      <c r="K198" s="49">
        <f t="shared" si="30"/>
        <v>0</v>
      </c>
      <c r="L198" s="123"/>
      <c r="M198" s="49">
        <f>M201+M199</f>
        <v>80000</v>
      </c>
      <c r="N198" s="49">
        <f>N201+N199</f>
        <v>0</v>
      </c>
      <c r="O198" s="49">
        <f t="shared" si="31"/>
        <v>80000</v>
      </c>
      <c r="P198" s="123"/>
      <c r="Q198" s="49">
        <f t="shared" si="27"/>
        <v>80000</v>
      </c>
      <c r="R198" s="49">
        <f t="shared" si="33"/>
        <v>0</v>
      </c>
      <c r="S198" s="49">
        <f t="shared" si="33"/>
        <v>80000</v>
      </c>
    </row>
    <row r="199" spans="2:19" x14ac:dyDescent="0.2">
      <c r="B199" s="75">
        <f t="shared" si="32"/>
        <v>74</v>
      </c>
      <c r="C199" s="4"/>
      <c r="D199" s="4"/>
      <c r="E199" s="4"/>
      <c r="F199" s="86" t="s">
        <v>75</v>
      </c>
      <c r="G199" s="87">
        <v>711</v>
      </c>
      <c r="H199" s="87" t="s">
        <v>224</v>
      </c>
      <c r="I199" s="88"/>
      <c r="J199" s="88"/>
      <c r="K199" s="88">
        <f t="shared" si="30"/>
        <v>0</v>
      </c>
      <c r="L199" s="76"/>
      <c r="M199" s="88">
        <f>M200</f>
        <v>70000</v>
      </c>
      <c r="N199" s="88">
        <f>N200</f>
        <v>0</v>
      </c>
      <c r="O199" s="88">
        <f t="shared" si="31"/>
        <v>70000</v>
      </c>
      <c r="P199" s="76"/>
      <c r="Q199" s="88">
        <f t="shared" si="27"/>
        <v>70000</v>
      </c>
      <c r="R199" s="88">
        <f t="shared" si="33"/>
        <v>0</v>
      </c>
      <c r="S199" s="88">
        <f t="shared" si="33"/>
        <v>70000</v>
      </c>
    </row>
    <row r="200" spans="2:19" x14ac:dyDescent="0.2">
      <c r="B200" s="75">
        <f t="shared" si="32"/>
        <v>75</v>
      </c>
      <c r="C200" s="4"/>
      <c r="D200" s="4"/>
      <c r="E200" s="4"/>
      <c r="F200" s="53"/>
      <c r="G200" s="4"/>
      <c r="H200" s="4" t="s">
        <v>180</v>
      </c>
      <c r="I200" s="26"/>
      <c r="J200" s="26"/>
      <c r="K200" s="26">
        <f t="shared" si="30"/>
        <v>0</v>
      </c>
      <c r="L200" s="76"/>
      <c r="M200" s="26">
        <f>75000-5000</f>
        <v>70000</v>
      </c>
      <c r="N200" s="26"/>
      <c r="O200" s="26">
        <f t="shared" si="31"/>
        <v>70000</v>
      </c>
      <c r="P200" s="76"/>
      <c r="Q200" s="26">
        <f t="shared" si="27"/>
        <v>70000</v>
      </c>
      <c r="R200" s="26">
        <f t="shared" si="33"/>
        <v>0</v>
      </c>
      <c r="S200" s="26">
        <f t="shared" si="33"/>
        <v>70000</v>
      </c>
    </row>
    <row r="201" spans="2:19" x14ac:dyDescent="0.2">
      <c r="B201" s="75">
        <f t="shared" si="32"/>
        <v>76</v>
      </c>
      <c r="C201" s="4"/>
      <c r="D201" s="54"/>
      <c r="E201" s="4"/>
      <c r="F201" s="86" t="s">
        <v>75</v>
      </c>
      <c r="G201" s="87">
        <v>713</v>
      </c>
      <c r="H201" s="89" t="s">
        <v>4</v>
      </c>
      <c r="I201" s="88"/>
      <c r="J201" s="88"/>
      <c r="K201" s="88">
        <f t="shared" si="30"/>
        <v>0</v>
      </c>
      <c r="L201" s="76"/>
      <c r="M201" s="88">
        <f>M202</f>
        <v>10000</v>
      </c>
      <c r="N201" s="88">
        <f>N202</f>
        <v>0</v>
      </c>
      <c r="O201" s="88">
        <f t="shared" si="31"/>
        <v>10000</v>
      </c>
      <c r="P201" s="76"/>
      <c r="Q201" s="88">
        <f t="shared" si="27"/>
        <v>10000</v>
      </c>
      <c r="R201" s="88">
        <f t="shared" si="33"/>
        <v>0</v>
      </c>
      <c r="S201" s="88">
        <f t="shared" si="33"/>
        <v>10000</v>
      </c>
    </row>
    <row r="202" spans="2:19" x14ac:dyDescent="0.2">
      <c r="B202" s="75">
        <f t="shared" si="32"/>
        <v>77</v>
      </c>
      <c r="C202" s="4"/>
      <c r="D202" s="54"/>
      <c r="E202" s="4"/>
      <c r="F202" s="53"/>
      <c r="G202" s="4"/>
      <c r="H202" s="38" t="s">
        <v>3</v>
      </c>
      <c r="I202" s="26"/>
      <c r="J202" s="26"/>
      <c r="K202" s="26">
        <f t="shared" si="30"/>
        <v>0</v>
      </c>
      <c r="L202" s="76"/>
      <c r="M202" s="26">
        <v>10000</v>
      </c>
      <c r="N202" s="26"/>
      <c r="O202" s="26">
        <f t="shared" si="31"/>
        <v>10000</v>
      </c>
      <c r="P202" s="76"/>
      <c r="Q202" s="26">
        <f t="shared" si="27"/>
        <v>10000</v>
      </c>
      <c r="R202" s="26">
        <f t="shared" si="33"/>
        <v>0</v>
      </c>
      <c r="S202" s="26">
        <f t="shared" si="33"/>
        <v>10000</v>
      </c>
    </row>
    <row r="203" spans="2:19" ht="15" x14ac:dyDescent="0.2">
      <c r="B203" s="75">
        <f t="shared" si="32"/>
        <v>78</v>
      </c>
      <c r="C203" s="164">
        <v>8</v>
      </c>
      <c r="D203" s="230" t="s">
        <v>36</v>
      </c>
      <c r="E203" s="228"/>
      <c r="F203" s="228"/>
      <c r="G203" s="228"/>
      <c r="H203" s="229"/>
      <c r="I203" s="45">
        <f>I204</f>
        <v>30000</v>
      </c>
      <c r="J203" s="45">
        <f>J204</f>
        <v>0</v>
      </c>
      <c r="K203" s="45">
        <f t="shared" si="30"/>
        <v>30000</v>
      </c>
      <c r="L203" s="172"/>
      <c r="M203" s="45">
        <f>M204</f>
        <v>0</v>
      </c>
      <c r="N203" s="45">
        <f>N204</f>
        <v>0</v>
      </c>
      <c r="O203" s="45">
        <f t="shared" si="31"/>
        <v>0</v>
      </c>
      <c r="P203" s="172"/>
      <c r="Q203" s="45">
        <f t="shared" si="27"/>
        <v>30000</v>
      </c>
      <c r="R203" s="45">
        <f t="shared" si="33"/>
        <v>0</v>
      </c>
      <c r="S203" s="45">
        <f t="shared" si="33"/>
        <v>30000</v>
      </c>
    </row>
    <row r="204" spans="2:19" x14ac:dyDescent="0.2">
      <c r="B204" s="75">
        <f t="shared" si="32"/>
        <v>79</v>
      </c>
      <c r="C204" s="15"/>
      <c r="D204" s="15"/>
      <c r="E204" s="15"/>
      <c r="F204" s="52" t="s">
        <v>75</v>
      </c>
      <c r="G204" s="15">
        <v>630</v>
      </c>
      <c r="H204" s="15" t="s">
        <v>129</v>
      </c>
      <c r="I204" s="49">
        <f>I206+I205</f>
        <v>30000</v>
      </c>
      <c r="J204" s="49">
        <f>J206+J205</f>
        <v>0</v>
      </c>
      <c r="K204" s="49">
        <f t="shared" si="30"/>
        <v>30000</v>
      </c>
      <c r="L204" s="123"/>
      <c r="M204" s="49">
        <f>M206+M205</f>
        <v>0</v>
      </c>
      <c r="N204" s="49">
        <f>N206+N205</f>
        <v>0</v>
      </c>
      <c r="O204" s="49">
        <f t="shared" si="31"/>
        <v>0</v>
      </c>
      <c r="P204" s="123"/>
      <c r="Q204" s="49">
        <f t="shared" si="27"/>
        <v>30000</v>
      </c>
      <c r="R204" s="49">
        <f t="shared" si="33"/>
        <v>0</v>
      </c>
      <c r="S204" s="49">
        <f t="shared" si="33"/>
        <v>30000</v>
      </c>
    </row>
    <row r="205" spans="2:19" x14ac:dyDescent="0.2">
      <c r="B205" s="75">
        <f t="shared" si="32"/>
        <v>80</v>
      </c>
      <c r="C205" s="4"/>
      <c r="D205" s="4"/>
      <c r="E205" s="4"/>
      <c r="F205" s="53" t="s">
        <v>75</v>
      </c>
      <c r="G205" s="4">
        <v>634</v>
      </c>
      <c r="H205" s="4" t="s">
        <v>138</v>
      </c>
      <c r="I205" s="26">
        <v>29450</v>
      </c>
      <c r="J205" s="26"/>
      <c r="K205" s="26">
        <f t="shared" si="30"/>
        <v>29450</v>
      </c>
      <c r="L205" s="76"/>
      <c r="M205" s="26"/>
      <c r="N205" s="26"/>
      <c r="O205" s="26">
        <f t="shared" si="31"/>
        <v>0</v>
      </c>
      <c r="P205" s="76"/>
      <c r="Q205" s="26">
        <f t="shared" si="27"/>
        <v>29450</v>
      </c>
      <c r="R205" s="26">
        <f t="shared" si="33"/>
        <v>0</v>
      </c>
      <c r="S205" s="26">
        <f t="shared" si="33"/>
        <v>29450</v>
      </c>
    </row>
    <row r="206" spans="2:19" x14ac:dyDescent="0.2">
      <c r="B206" s="75">
        <f t="shared" si="32"/>
        <v>81</v>
      </c>
      <c r="C206" s="4"/>
      <c r="D206" s="4"/>
      <c r="E206" s="4"/>
      <c r="F206" s="53" t="s">
        <v>75</v>
      </c>
      <c r="G206" s="4">
        <v>637</v>
      </c>
      <c r="H206" s="4" t="s">
        <v>130</v>
      </c>
      <c r="I206" s="26">
        <v>550</v>
      </c>
      <c r="J206" s="26"/>
      <c r="K206" s="26">
        <f t="shared" si="30"/>
        <v>550</v>
      </c>
      <c r="L206" s="76"/>
      <c r="M206" s="26"/>
      <c r="N206" s="26"/>
      <c r="O206" s="26">
        <f t="shared" si="31"/>
        <v>0</v>
      </c>
      <c r="P206" s="76"/>
      <c r="Q206" s="26">
        <f t="shared" si="27"/>
        <v>550</v>
      </c>
      <c r="R206" s="26">
        <f t="shared" si="33"/>
        <v>0</v>
      </c>
      <c r="S206" s="26">
        <f t="shared" si="33"/>
        <v>550</v>
      </c>
    </row>
    <row r="207" spans="2:19" x14ac:dyDescent="0.2">
      <c r="B207"/>
      <c r="F207"/>
      <c r="I207"/>
      <c r="J207"/>
      <c r="K207"/>
      <c r="L207" s="176"/>
      <c r="M207"/>
      <c r="N207"/>
      <c r="O207"/>
      <c r="P207" s="176"/>
      <c r="Q207"/>
    </row>
    <row r="208" spans="2:19" x14ac:dyDescent="0.2">
      <c r="B208"/>
      <c r="F208"/>
      <c r="I208"/>
      <c r="J208"/>
      <c r="K208"/>
      <c r="L208" s="176"/>
      <c r="M208"/>
      <c r="N208"/>
      <c r="O208"/>
      <c r="P208" s="176"/>
      <c r="Q208"/>
    </row>
    <row r="209" spans="2:17" x14ac:dyDescent="0.2">
      <c r="B209"/>
      <c r="F209"/>
      <c r="I209"/>
      <c r="J209"/>
      <c r="K209"/>
      <c r="L209" s="176"/>
      <c r="M209"/>
      <c r="N209"/>
      <c r="O209"/>
      <c r="P209" s="176"/>
      <c r="Q209"/>
    </row>
    <row r="210" spans="2:17" x14ac:dyDescent="0.2">
      <c r="B210"/>
      <c r="F210"/>
      <c r="I210"/>
      <c r="J210"/>
      <c r="K210"/>
      <c r="L210" s="176"/>
      <c r="M210"/>
      <c r="N210"/>
      <c r="O210"/>
      <c r="P210" s="176"/>
      <c r="Q210"/>
    </row>
    <row r="211" spans="2:17" x14ac:dyDescent="0.2">
      <c r="B211"/>
      <c r="F211"/>
      <c r="I211"/>
      <c r="J211"/>
      <c r="K211"/>
      <c r="L211" s="176"/>
      <c r="M211"/>
      <c r="N211"/>
      <c r="O211"/>
      <c r="P211" s="176"/>
      <c r="Q211"/>
    </row>
    <row r="212" spans="2:17" x14ac:dyDescent="0.2">
      <c r="B212"/>
      <c r="F212"/>
      <c r="I212"/>
      <c r="J212"/>
      <c r="K212"/>
      <c r="L212" s="176"/>
      <c r="M212"/>
      <c r="N212"/>
      <c r="O212"/>
      <c r="P212" s="176"/>
      <c r="Q212"/>
    </row>
    <row r="213" spans="2:17" x14ac:dyDescent="0.2">
      <c r="B213"/>
      <c r="F213"/>
      <c r="I213"/>
      <c r="J213"/>
      <c r="K213"/>
      <c r="L213" s="176"/>
      <c r="M213"/>
      <c r="N213"/>
      <c r="O213"/>
      <c r="P213" s="176"/>
      <c r="Q213"/>
    </row>
    <row r="214" spans="2:17" x14ac:dyDescent="0.2">
      <c r="B214"/>
      <c r="F214"/>
      <c r="I214"/>
      <c r="J214"/>
      <c r="K214"/>
      <c r="L214" s="176"/>
      <c r="M214"/>
      <c r="N214"/>
      <c r="O214"/>
      <c r="P214" s="176"/>
      <c r="Q214"/>
    </row>
    <row r="215" spans="2:17" x14ac:dyDescent="0.2">
      <c r="B215"/>
      <c r="F215"/>
      <c r="I215"/>
      <c r="J215"/>
      <c r="K215"/>
      <c r="L215" s="176"/>
      <c r="M215"/>
      <c r="N215"/>
      <c r="O215"/>
      <c r="P215" s="176"/>
      <c r="Q215"/>
    </row>
    <row r="216" spans="2:17" x14ac:dyDescent="0.2">
      <c r="B216"/>
      <c r="F216"/>
      <c r="I216"/>
      <c r="J216"/>
      <c r="K216"/>
      <c r="L216" s="176"/>
      <c r="M216"/>
      <c r="N216"/>
      <c r="O216"/>
      <c r="P216" s="176"/>
      <c r="Q216"/>
    </row>
    <row r="217" spans="2:17" x14ac:dyDescent="0.2">
      <c r="B217"/>
      <c r="F217"/>
      <c r="I217"/>
      <c r="J217"/>
      <c r="K217"/>
      <c r="L217" s="176"/>
      <c r="M217"/>
      <c r="N217"/>
      <c r="O217"/>
      <c r="P217" s="176"/>
      <c r="Q217"/>
    </row>
    <row r="218" spans="2:17" x14ac:dyDescent="0.2">
      <c r="B218"/>
      <c r="F218"/>
      <c r="I218"/>
      <c r="J218"/>
      <c r="K218"/>
      <c r="L218" s="176"/>
      <c r="M218"/>
      <c r="N218"/>
      <c r="O218"/>
      <c r="P218" s="176"/>
      <c r="Q218"/>
    </row>
    <row r="219" spans="2:17" x14ac:dyDescent="0.2">
      <c r="B219"/>
      <c r="F219"/>
      <c r="I219"/>
      <c r="J219"/>
      <c r="K219"/>
      <c r="L219" s="176"/>
      <c r="M219"/>
      <c r="N219"/>
      <c r="O219"/>
      <c r="P219" s="176"/>
      <c r="Q219"/>
    </row>
    <row r="220" spans="2:17" x14ac:dyDescent="0.2">
      <c r="B220"/>
      <c r="F220"/>
      <c r="I220"/>
      <c r="J220"/>
      <c r="K220"/>
      <c r="L220" s="176"/>
      <c r="M220"/>
      <c r="N220"/>
      <c r="O220"/>
      <c r="P220" s="176"/>
      <c r="Q220"/>
    </row>
    <row r="221" spans="2:17" x14ac:dyDescent="0.2">
      <c r="B221"/>
      <c r="F221"/>
      <c r="I221"/>
      <c r="J221"/>
      <c r="K221"/>
      <c r="L221" s="176"/>
      <c r="M221"/>
      <c r="N221"/>
      <c r="O221"/>
      <c r="P221" s="176"/>
      <c r="Q221"/>
    </row>
    <row r="222" spans="2:17" x14ac:dyDescent="0.2">
      <c r="B222"/>
      <c r="F222"/>
      <c r="I222"/>
      <c r="J222"/>
      <c r="K222"/>
      <c r="L222" s="176"/>
      <c r="M222"/>
      <c r="N222"/>
      <c r="O222"/>
      <c r="P222" s="176"/>
      <c r="Q222"/>
    </row>
    <row r="223" spans="2:17" x14ac:dyDescent="0.2">
      <c r="B223"/>
      <c r="F223"/>
      <c r="I223"/>
      <c r="J223"/>
      <c r="K223"/>
      <c r="L223" s="176"/>
      <c r="M223"/>
      <c r="N223"/>
      <c r="O223"/>
      <c r="P223" s="176"/>
      <c r="Q223"/>
    </row>
    <row r="224" spans="2:17" x14ac:dyDescent="0.2">
      <c r="B224"/>
      <c r="F224"/>
      <c r="I224"/>
      <c r="J224"/>
      <c r="K224"/>
      <c r="L224" s="176"/>
      <c r="M224"/>
      <c r="N224"/>
      <c r="O224"/>
      <c r="P224" s="176"/>
      <c r="Q224"/>
    </row>
    <row r="225" spans="2:19" x14ac:dyDescent="0.2">
      <c r="B225"/>
      <c r="F225"/>
      <c r="I225"/>
      <c r="J225"/>
      <c r="K225"/>
      <c r="L225" s="176"/>
      <c r="M225"/>
      <c r="N225"/>
      <c r="O225"/>
      <c r="P225" s="176"/>
      <c r="Q225"/>
    </row>
    <row r="226" spans="2:19" x14ac:dyDescent="0.2">
      <c r="B226"/>
      <c r="F226"/>
      <c r="I226"/>
      <c r="J226"/>
      <c r="K226"/>
      <c r="L226" s="176"/>
      <c r="M226"/>
      <c r="N226"/>
      <c r="O226"/>
      <c r="P226" s="176"/>
      <c r="Q226"/>
    </row>
    <row r="227" spans="2:19" x14ac:dyDescent="0.2">
      <c r="B227"/>
      <c r="F227"/>
      <c r="I227"/>
      <c r="J227"/>
      <c r="K227"/>
      <c r="L227" s="176"/>
      <c r="M227"/>
      <c r="N227"/>
      <c r="O227"/>
      <c r="P227" s="176"/>
      <c r="Q227"/>
    </row>
    <row r="228" spans="2:19" x14ac:dyDescent="0.2">
      <c r="B228"/>
      <c r="F228"/>
      <c r="I228"/>
      <c r="J228"/>
      <c r="K228"/>
      <c r="L228" s="176"/>
      <c r="M228"/>
      <c r="N228"/>
      <c r="O228"/>
      <c r="P228" s="176"/>
      <c r="Q228"/>
    </row>
    <row r="229" spans="2:19" x14ac:dyDescent="0.2">
      <c r="B229"/>
      <c r="F229"/>
      <c r="I229"/>
      <c r="J229"/>
      <c r="K229"/>
      <c r="L229" s="176"/>
      <c r="M229"/>
      <c r="N229"/>
      <c r="O229"/>
      <c r="P229" s="176"/>
      <c r="Q229"/>
    </row>
    <row r="230" spans="2:19" x14ac:dyDescent="0.2">
      <c r="B230"/>
      <c r="F230"/>
      <c r="I230"/>
      <c r="J230"/>
      <c r="K230"/>
      <c r="L230" s="176"/>
      <c r="M230"/>
      <c r="N230"/>
      <c r="O230"/>
      <c r="P230" s="176"/>
      <c r="Q230"/>
    </row>
    <row r="231" spans="2:19" x14ac:dyDescent="0.2">
      <c r="B231"/>
      <c r="F231"/>
      <c r="I231"/>
      <c r="J231"/>
      <c r="K231"/>
      <c r="L231" s="176"/>
      <c r="M231"/>
      <c r="N231"/>
      <c r="O231"/>
      <c r="P231" s="176"/>
      <c r="Q231"/>
    </row>
    <row r="232" spans="2:19" x14ac:dyDescent="0.2">
      <c r="B232"/>
      <c r="F232"/>
      <c r="I232"/>
      <c r="J232"/>
      <c r="K232"/>
      <c r="L232" s="176"/>
      <c r="M232"/>
      <c r="N232"/>
      <c r="O232"/>
      <c r="P232" s="176"/>
      <c r="Q232"/>
    </row>
    <row r="233" spans="2:19" x14ac:dyDescent="0.2">
      <c r="B233"/>
      <c r="F233"/>
      <c r="I233"/>
      <c r="J233"/>
      <c r="K233"/>
      <c r="L233" s="176"/>
      <c r="M233"/>
      <c r="N233"/>
      <c r="O233"/>
      <c r="P233" s="176"/>
      <c r="Q233"/>
    </row>
    <row r="234" spans="2:19" x14ac:dyDescent="0.2">
      <c r="B234"/>
      <c r="F234"/>
      <c r="I234"/>
      <c r="J234"/>
      <c r="K234"/>
      <c r="L234" s="176"/>
      <c r="M234"/>
      <c r="N234"/>
      <c r="O234"/>
      <c r="P234" s="176"/>
      <c r="Q234"/>
    </row>
    <row r="235" spans="2:19" x14ac:dyDescent="0.2">
      <c r="B235"/>
      <c r="F235"/>
      <c r="I235"/>
      <c r="J235"/>
      <c r="K235"/>
      <c r="L235" s="176"/>
      <c r="M235"/>
      <c r="N235"/>
      <c r="O235"/>
      <c r="P235" s="176"/>
      <c r="Q235"/>
    </row>
    <row r="236" spans="2:19" x14ac:dyDescent="0.2">
      <c r="B236"/>
      <c r="F236"/>
      <c r="I236"/>
      <c r="J236"/>
      <c r="K236"/>
      <c r="L236" s="176"/>
      <c r="M236"/>
      <c r="N236"/>
      <c r="O236"/>
      <c r="P236" s="176"/>
      <c r="Q236"/>
    </row>
    <row r="239" spans="2:19" ht="27" x14ac:dyDescent="0.35">
      <c r="B239" s="234" t="s">
        <v>301</v>
      </c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9" x14ac:dyDescent="0.2">
      <c r="B240" s="236" t="s">
        <v>285</v>
      </c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182"/>
      <c r="O240" s="182"/>
      <c r="P240" s="183"/>
      <c r="Q240" s="222" t="s">
        <v>602</v>
      </c>
      <c r="R240" s="222" t="s">
        <v>657</v>
      </c>
      <c r="S240" s="222" t="s">
        <v>602</v>
      </c>
    </row>
    <row r="241" spans="2:19" x14ac:dyDescent="0.2">
      <c r="B241" s="238" t="s">
        <v>113</v>
      </c>
      <c r="C241" s="225" t="s">
        <v>121</v>
      </c>
      <c r="D241" s="225" t="s">
        <v>122</v>
      </c>
      <c r="E241" s="231" t="s">
        <v>126</v>
      </c>
      <c r="F241" s="225" t="s">
        <v>123</v>
      </c>
      <c r="G241" s="225" t="s">
        <v>124</v>
      </c>
      <c r="H241" s="240" t="s">
        <v>125</v>
      </c>
      <c r="I241" s="222" t="s">
        <v>599</v>
      </c>
      <c r="J241" s="222" t="s">
        <v>657</v>
      </c>
      <c r="K241" s="222" t="s">
        <v>659</v>
      </c>
      <c r="L241" s="168"/>
      <c r="M241" s="222" t="s">
        <v>600</v>
      </c>
      <c r="N241" s="222" t="s">
        <v>657</v>
      </c>
      <c r="O241" s="222" t="s">
        <v>660</v>
      </c>
      <c r="P241" s="169"/>
      <c r="Q241" s="223"/>
      <c r="R241" s="223"/>
      <c r="S241" s="223"/>
    </row>
    <row r="242" spans="2:19" x14ac:dyDescent="0.2">
      <c r="B242" s="238"/>
      <c r="C242" s="225"/>
      <c r="D242" s="225"/>
      <c r="E242" s="232"/>
      <c r="F242" s="225"/>
      <c r="G242" s="225"/>
      <c r="H242" s="240"/>
      <c r="I242" s="223"/>
      <c r="J242" s="223"/>
      <c r="K242" s="223"/>
      <c r="L242" s="169"/>
      <c r="M242" s="223"/>
      <c r="N242" s="223"/>
      <c r="O242" s="223"/>
      <c r="P242" s="169"/>
      <c r="Q242" s="223"/>
      <c r="R242" s="223"/>
      <c r="S242" s="223"/>
    </row>
    <row r="243" spans="2:19" x14ac:dyDescent="0.2">
      <c r="B243" s="238"/>
      <c r="C243" s="225"/>
      <c r="D243" s="225"/>
      <c r="E243" s="232"/>
      <c r="F243" s="225"/>
      <c r="G243" s="225"/>
      <c r="H243" s="240"/>
      <c r="I243" s="223"/>
      <c r="J243" s="223"/>
      <c r="K243" s="223"/>
      <c r="L243" s="169"/>
      <c r="M243" s="223"/>
      <c r="N243" s="223"/>
      <c r="O243" s="223"/>
      <c r="P243" s="169"/>
      <c r="Q243" s="223"/>
      <c r="R243" s="223"/>
      <c r="S243" s="223"/>
    </row>
    <row r="244" spans="2:19" ht="13.5" thickBot="1" x14ac:dyDescent="0.25">
      <c r="B244" s="239"/>
      <c r="C244" s="226"/>
      <c r="D244" s="226"/>
      <c r="E244" s="233"/>
      <c r="F244" s="226"/>
      <c r="G244" s="226"/>
      <c r="H244" s="241"/>
      <c r="I244" s="224"/>
      <c r="J244" s="224"/>
      <c r="K244" s="224"/>
      <c r="L244" s="170"/>
      <c r="M244" s="224"/>
      <c r="N244" s="224"/>
      <c r="O244" s="224"/>
      <c r="P244" s="170"/>
      <c r="Q244" s="224"/>
      <c r="R244" s="224"/>
      <c r="S244" s="224"/>
    </row>
    <row r="245" spans="2:19" ht="16.5" thickTop="1" x14ac:dyDescent="0.2">
      <c r="B245" s="74">
        <v>1</v>
      </c>
      <c r="C245" s="242" t="s">
        <v>301</v>
      </c>
      <c r="D245" s="243"/>
      <c r="E245" s="243"/>
      <c r="F245" s="243"/>
      <c r="G245" s="243"/>
      <c r="H245" s="244"/>
      <c r="I245" s="107">
        <f>I309+I294+I282+I272+I262+I251+I246</f>
        <v>518178</v>
      </c>
      <c r="J245" s="107">
        <f>J309+J294+J282+J272+J262+J251+J246</f>
        <v>0</v>
      </c>
      <c r="K245" s="107">
        <f t="shared" ref="K245:K308" si="34">I245+J245</f>
        <v>518178</v>
      </c>
      <c r="L245" s="171"/>
      <c r="M245" s="107">
        <f>M309+M294+M282+M272+M262+M251+M246</f>
        <v>38212</v>
      </c>
      <c r="N245" s="107">
        <f>N309+N294+N282+N272+N262+N251+N246</f>
        <v>0</v>
      </c>
      <c r="O245" s="107">
        <f t="shared" ref="O245:O308" si="35">M245+N245</f>
        <v>38212</v>
      </c>
      <c r="P245" s="171"/>
      <c r="Q245" s="44">
        <f t="shared" ref="Q245:Q276" si="36">I245+M245</f>
        <v>556390</v>
      </c>
      <c r="R245" s="44">
        <f t="shared" ref="R245:S260" si="37">J245+N245</f>
        <v>0</v>
      </c>
      <c r="S245" s="44">
        <f t="shared" si="37"/>
        <v>556390</v>
      </c>
    </row>
    <row r="246" spans="2:19" ht="15" x14ac:dyDescent="0.2">
      <c r="B246" s="75">
        <f t="shared" ref="B246:B309" si="38">B245+1</f>
        <v>2</v>
      </c>
      <c r="C246" s="164">
        <v>1</v>
      </c>
      <c r="D246" s="230" t="s">
        <v>193</v>
      </c>
      <c r="E246" s="228"/>
      <c r="F246" s="228"/>
      <c r="G246" s="228"/>
      <c r="H246" s="229"/>
      <c r="I246" s="45">
        <f>I247+I248</f>
        <v>27500</v>
      </c>
      <c r="J246" s="45">
        <f>J247+J248</f>
        <v>0</v>
      </c>
      <c r="K246" s="45">
        <f t="shared" si="34"/>
        <v>27500</v>
      </c>
      <c r="L246" s="172"/>
      <c r="M246" s="45">
        <f>M247+M248</f>
        <v>0</v>
      </c>
      <c r="N246" s="45">
        <f>N247+N248</f>
        <v>0</v>
      </c>
      <c r="O246" s="45">
        <f t="shared" si="35"/>
        <v>0</v>
      </c>
      <c r="P246" s="172"/>
      <c r="Q246" s="45">
        <f t="shared" si="36"/>
        <v>27500</v>
      </c>
      <c r="R246" s="45">
        <f t="shared" si="37"/>
        <v>0</v>
      </c>
      <c r="S246" s="45">
        <f t="shared" si="37"/>
        <v>27500</v>
      </c>
    </row>
    <row r="247" spans="2:19" x14ac:dyDescent="0.2">
      <c r="B247" s="75">
        <f t="shared" si="38"/>
        <v>3</v>
      </c>
      <c r="C247" s="15"/>
      <c r="D247" s="15"/>
      <c r="E247" s="15"/>
      <c r="F247" s="52" t="s">
        <v>76</v>
      </c>
      <c r="G247" s="15">
        <v>620</v>
      </c>
      <c r="H247" s="15" t="s">
        <v>132</v>
      </c>
      <c r="I247" s="49">
        <v>3900</v>
      </c>
      <c r="J247" s="49"/>
      <c r="K247" s="49">
        <f t="shared" si="34"/>
        <v>3900</v>
      </c>
      <c r="L247" s="123"/>
      <c r="M247" s="49"/>
      <c r="N247" s="49"/>
      <c r="O247" s="49">
        <f t="shared" si="35"/>
        <v>0</v>
      </c>
      <c r="P247" s="123"/>
      <c r="Q247" s="49">
        <f t="shared" si="36"/>
        <v>3900</v>
      </c>
      <c r="R247" s="49">
        <f t="shared" si="37"/>
        <v>0</v>
      </c>
      <c r="S247" s="49">
        <f t="shared" si="37"/>
        <v>3900</v>
      </c>
    </row>
    <row r="248" spans="2:19" x14ac:dyDescent="0.2">
      <c r="B248" s="75">
        <f t="shared" si="38"/>
        <v>4</v>
      </c>
      <c r="C248" s="15"/>
      <c r="D248" s="15"/>
      <c r="E248" s="15"/>
      <c r="F248" s="52" t="s">
        <v>76</v>
      </c>
      <c r="G248" s="15">
        <v>630</v>
      </c>
      <c r="H248" s="15" t="s">
        <v>129</v>
      </c>
      <c r="I248" s="49">
        <f>I250+I249</f>
        <v>23600</v>
      </c>
      <c r="J248" s="49">
        <f>J250+J249</f>
        <v>0</v>
      </c>
      <c r="K248" s="49">
        <f t="shared" si="34"/>
        <v>23600</v>
      </c>
      <c r="L248" s="123"/>
      <c r="M248" s="49">
        <f>M250+M249</f>
        <v>0</v>
      </c>
      <c r="N248" s="49">
        <f>N250+N249</f>
        <v>0</v>
      </c>
      <c r="O248" s="49">
        <f t="shared" si="35"/>
        <v>0</v>
      </c>
      <c r="P248" s="123"/>
      <c r="Q248" s="49">
        <f t="shared" si="36"/>
        <v>23600</v>
      </c>
      <c r="R248" s="49">
        <f t="shared" si="37"/>
        <v>0</v>
      </c>
      <c r="S248" s="49">
        <f t="shared" si="37"/>
        <v>23600</v>
      </c>
    </row>
    <row r="249" spans="2:19" x14ac:dyDescent="0.2">
      <c r="B249" s="75">
        <f t="shared" si="38"/>
        <v>5</v>
      </c>
      <c r="C249" s="4"/>
      <c r="D249" s="4"/>
      <c r="E249" s="4"/>
      <c r="F249" s="53" t="s">
        <v>76</v>
      </c>
      <c r="G249" s="4">
        <v>633</v>
      </c>
      <c r="H249" s="4" t="s">
        <v>133</v>
      </c>
      <c r="I249" s="26">
        <v>3100</v>
      </c>
      <c r="J249" s="26"/>
      <c r="K249" s="26">
        <f t="shared" si="34"/>
        <v>3100</v>
      </c>
      <c r="L249" s="76"/>
      <c r="M249" s="26"/>
      <c r="N249" s="26"/>
      <c r="O249" s="26">
        <f t="shared" si="35"/>
        <v>0</v>
      </c>
      <c r="P249" s="76"/>
      <c r="Q249" s="26">
        <f t="shared" si="36"/>
        <v>3100</v>
      </c>
      <c r="R249" s="26">
        <f t="shared" si="37"/>
        <v>0</v>
      </c>
      <c r="S249" s="26">
        <f t="shared" si="37"/>
        <v>3100</v>
      </c>
    </row>
    <row r="250" spans="2:19" x14ac:dyDescent="0.2">
      <c r="B250" s="75">
        <f t="shared" si="38"/>
        <v>6</v>
      </c>
      <c r="C250" s="4"/>
      <c r="D250" s="4"/>
      <c r="E250" s="4"/>
      <c r="F250" s="53" t="s">
        <v>76</v>
      </c>
      <c r="G250" s="4">
        <v>637</v>
      </c>
      <c r="H250" s="4" t="s">
        <v>130</v>
      </c>
      <c r="I250" s="26">
        <v>20500</v>
      </c>
      <c r="J250" s="26"/>
      <c r="K250" s="26">
        <f t="shared" si="34"/>
        <v>20500</v>
      </c>
      <c r="L250" s="76"/>
      <c r="M250" s="26"/>
      <c r="N250" s="26"/>
      <c r="O250" s="26">
        <f t="shared" si="35"/>
        <v>0</v>
      </c>
      <c r="P250" s="76"/>
      <c r="Q250" s="26">
        <f t="shared" si="36"/>
        <v>20500</v>
      </c>
      <c r="R250" s="26">
        <f t="shared" si="37"/>
        <v>0</v>
      </c>
      <c r="S250" s="26">
        <f t="shared" si="37"/>
        <v>20500</v>
      </c>
    </row>
    <row r="251" spans="2:19" ht="15" x14ac:dyDescent="0.2">
      <c r="B251" s="75">
        <f t="shared" si="38"/>
        <v>7</v>
      </c>
      <c r="C251" s="164">
        <v>2</v>
      </c>
      <c r="D251" s="230" t="s">
        <v>197</v>
      </c>
      <c r="E251" s="228"/>
      <c r="F251" s="228"/>
      <c r="G251" s="228"/>
      <c r="H251" s="229"/>
      <c r="I251" s="45">
        <f>I252+I253+I254+I261</f>
        <v>96923</v>
      </c>
      <c r="J251" s="45">
        <f>J252+J253+J254+J261</f>
        <v>0</v>
      </c>
      <c r="K251" s="45">
        <f t="shared" si="34"/>
        <v>96923</v>
      </c>
      <c r="L251" s="172"/>
      <c r="M251" s="45">
        <f>M252+M253+M254+M261</f>
        <v>0</v>
      </c>
      <c r="N251" s="45">
        <f>N252+N253+N254+N261</f>
        <v>0</v>
      </c>
      <c r="O251" s="45">
        <f t="shared" si="35"/>
        <v>0</v>
      </c>
      <c r="P251" s="172"/>
      <c r="Q251" s="45">
        <f t="shared" si="36"/>
        <v>96923</v>
      </c>
      <c r="R251" s="45">
        <f t="shared" si="37"/>
        <v>0</v>
      </c>
      <c r="S251" s="45">
        <f t="shared" si="37"/>
        <v>96923</v>
      </c>
    </row>
    <row r="252" spans="2:19" x14ac:dyDescent="0.2">
      <c r="B252" s="75">
        <f t="shared" si="38"/>
        <v>8</v>
      </c>
      <c r="C252" s="15"/>
      <c r="D252" s="15"/>
      <c r="E252" s="15"/>
      <c r="F252" s="52" t="s">
        <v>196</v>
      </c>
      <c r="G252" s="15">
        <v>610</v>
      </c>
      <c r="H252" s="15" t="s">
        <v>137</v>
      </c>
      <c r="I252" s="49">
        <f>56000+4800-1000</f>
        <v>59800</v>
      </c>
      <c r="J252" s="49"/>
      <c r="K252" s="49">
        <f t="shared" si="34"/>
        <v>59800</v>
      </c>
      <c r="L252" s="123"/>
      <c r="M252" s="49"/>
      <c r="N252" s="49"/>
      <c r="O252" s="49">
        <f t="shared" si="35"/>
        <v>0</v>
      </c>
      <c r="P252" s="123"/>
      <c r="Q252" s="49">
        <f t="shared" si="36"/>
        <v>59800</v>
      </c>
      <c r="R252" s="49">
        <f t="shared" si="37"/>
        <v>0</v>
      </c>
      <c r="S252" s="49">
        <f t="shared" si="37"/>
        <v>59800</v>
      </c>
    </row>
    <row r="253" spans="2:19" x14ac:dyDescent="0.2">
      <c r="B253" s="75">
        <f t="shared" si="38"/>
        <v>9</v>
      </c>
      <c r="C253" s="15"/>
      <c r="D253" s="15"/>
      <c r="E253" s="15"/>
      <c r="F253" s="52" t="s">
        <v>196</v>
      </c>
      <c r="G253" s="15">
        <v>620</v>
      </c>
      <c r="H253" s="15" t="s">
        <v>132</v>
      </c>
      <c r="I253" s="49">
        <f>20900+1772</f>
        <v>22672</v>
      </c>
      <c r="J253" s="49"/>
      <c r="K253" s="49">
        <f t="shared" si="34"/>
        <v>22672</v>
      </c>
      <c r="L253" s="123"/>
      <c r="M253" s="49"/>
      <c r="N253" s="49"/>
      <c r="O253" s="49">
        <f t="shared" si="35"/>
        <v>0</v>
      </c>
      <c r="P253" s="123"/>
      <c r="Q253" s="49">
        <f t="shared" si="36"/>
        <v>22672</v>
      </c>
      <c r="R253" s="49">
        <f t="shared" si="37"/>
        <v>0</v>
      </c>
      <c r="S253" s="49">
        <f t="shared" si="37"/>
        <v>22672</v>
      </c>
    </row>
    <row r="254" spans="2:19" x14ac:dyDescent="0.2">
      <c r="B254" s="75">
        <f t="shared" si="38"/>
        <v>10</v>
      </c>
      <c r="C254" s="15"/>
      <c r="D254" s="15"/>
      <c r="E254" s="15"/>
      <c r="F254" s="52" t="s">
        <v>196</v>
      </c>
      <c r="G254" s="15">
        <v>630</v>
      </c>
      <c r="H254" s="15" t="s">
        <v>129</v>
      </c>
      <c r="I254" s="49">
        <f>I259+I258+I257+I256+I255+I260</f>
        <v>14251</v>
      </c>
      <c r="J254" s="49">
        <f>J259+J258+J257+J256+J255+J260</f>
        <v>0</v>
      </c>
      <c r="K254" s="49">
        <f t="shared" si="34"/>
        <v>14251</v>
      </c>
      <c r="L254" s="123"/>
      <c r="M254" s="49">
        <f>M259+M258+M257+M256+M255</f>
        <v>0</v>
      </c>
      <c r="N254" s="49">
        <f>N259+N258+N257+N256+N255</f>
        <v>0</v>
      </c>
      <c r="O254" s="49">
        <f t="shared" si="35"/>
        <v>0</v>
      </c>
      <c r="P254" s="123"/>
      <c r="Q254" s="49">
        <f t="shared" si="36"/>
        <v>14251</v>
      </c>
      <c r="R254" s="49">
        <f t="shared" si="37"/>
        <v>0</v>
      </c>
      <c r="S254" s="49">
        <f t="shared" si="37"/>
        <v>14251</v>
      </c>
    </row>
    <row r="255" spans="2:19" x14ac:dyDescent="0.2">
      <c r="B255" s="75">
        <f t="shared" si="38"/>
        <v>11</v>
      </c>
      <c r="C255" s="4"/>
      <c r="D255" s="4"/>
      <c r="E255" s="4"/>
      <c r="F255" s="53" t="s">
        <v>196</v>
      </c>
      <c r="G255" s="4">
        <v>631</v>
      </c>
      <c r="H255" s="4" t="s">
        <v>135</v>
      </c>
      <c r="I255" s="26">
        <v>500</v>
      </c>
      <c r="J255" s="26"/>
      <c r="K255" s="26">
        <f t="shared" si="34"/>
        <v>500</v>
      </c>
      <c r="L255" s="76"/>
      <c r="M255" s="26"/>
      <c r="N255" s="26"/>
      <c r="O255" s="26">
        <f t="shared" si="35"/>
        <v>0</v>
      </c>
      <c r="P255" s="76"/>
      <c r="Q255" s="26">
        <f t="shared" si="36"/>
        <v>500</v>
      </c>
      <c r="R255" s="26">
        <f t="shared" si="37"/>
        <v>0</v>
      </c>
      <c r="S255" s="26">
        <f t="shared" si="37"/>
        <v>500</v>
      </c>
    </row>
    <row r="256" spans="2:19" x14ac:dyDescent="0.2">
      <c r="B256" s="75">
        <f t="shared" si="38"/>
        <v>12</v>
      </c>
      <c r="C256" s="4"/>
      <c r="D256" s="4"/>
      <c r="E256" s="4"/>
      <c r="F256" s="53" t="s">
        <v>196</v>
      </c>
      <c r="G256" s="4">
        <v>632</v>
      </c>
      <c r="H256" s="4" t="s">
        <v>140</v>
      </c>
      <c r="I256" s="26">
        <v>1800</v>
      </c>
      <c r="J256" s="26"/>
      <c r="K256" s="26">
        <f t="shared" si="34"/>
        <v>1800</v>
      </c>
      <c r="L256" s="76"/>
      <c r="M256" s="26"/>
      <c r="N256" s="26"/>
      <c r="O256" s="26">
        <f t="shared" si="35"/>
        <v>0</v>
      </c>
      <c r="P256" s="76"/>
      <c r="Q256" s="26">
        <f t="shared" si="36"/>
        <v>1800</v>
      </c>
      <c r="R256" s="26">
        <f t="shared" si="37"/>
        <v>0</v>
      </c>
      <c r="S256" s="26">
        <f t="shared" si="37"/>
        <v>1800</v>
      </c>
    </row>
    <row r="257" spans="2:19" x14ac:dyDescent="0.2">
      <c r="B257" s="75">
        <f t="shared" si="38"/>
        <v>13</v>
      </c>
      <c r="C257" s="4"/>
      <c r="D257" s="4"/>
      <c r="E257" s="4"/>
      <c r="F257" s="53" t="s">
        <v>196</v>
      </c>
      <c r="G257" s="4">
        <v>633</v>
      </c>
      <c r="H257" s="4" t="s">
        <v>133</v>
      </c>
      <c r="I257" s="26">
        <f>2800+1000</f>
        <v>3800</v>
      </c>
      <c r="J257" s="26"/>
      <c r="K257" s="26">
        <f t="shared" si="34"/>
        <v>3800</v>
      </c>
      <c r="L257" s="76"/>
      <c r="M257" s="26"/>
      <c r="N257" s="26"/>
      <c r="O257" s="26">
        <f t="shared" si="35"/>
        <v>0</v>
      </c>
      <c r="P257" s="76"/>
      <c r="Q257" s="26">
        <f t="shared" si="36"/>
        <v>3800</v>
      </c>
      <c r="R257" s="26">
        <f t="shared" si="37"/>
        <v>0</v>
      </c>
      <c r="S257" s="26">
        <f t="shared" si="37"/>
        <v>3800</v>
      </c>
    </row>
    <row r="258" spans="2:19" x14ac:dyDescent="0.2">
      <c r="B258" s="75">
        <f t="shared" si="38"/>
        <v>14</v>
      </c>
      <c r="C258" s="4"/>
      <c r="D258" s="4"/>
      <c r="E258" s="4"/>
      <c r="F258" s="53" t="s">
        <v>196</v>
      </c>
      <c r="G258" s="4">
        <v>635</v>
      </c>
      <c r="H258" s="4" t="s">
        <v>139</v>
      </c>
      <c r="I258" s="26">
        <v>100</v>
      </c>
      <c r="J258" s="26"/>
      <c r="K258" s="26">
        <f t="shared" si="34"/>
        <v>100</v>
      </c>
      <c r="L258" s="76"/>
      <c r="M258" s="26"/>
      <c r="N258" s="26"/>
      <c r="O258" s="26">
        <f t="shared" si="35"/>
        <v>0</v>
      </c>
      <c r="P258" s="76"/>
      <c r="Q258" s="26">
        <f t="shared" si="36"/>
        <v>100</v>
      </c>
      <c r="R258" s="26">
        <f t="shared" si="37"/>
        <v>0</v>
      </c>
      <c r="S258" s="26">
        <f t="shared" si="37"/>
        <v>100</v>
      </c>
    </row>
    <row r="259" spans="2:19" x14ac:dyDescent="0.2">
      <c r="B259" s="75">
        <f t="shared" si="38"/>
        <v>15</v>
      </c>
      <c r="C259" s="4"/>
      <c r="D259" s="4"/>
      <c r="E259" s="4"/>
      <c r="F259" s="53" t="s">
        <v>196</v>
      </c>
      <c r="G259" s="4">
        <v>637</v>
      </c>
      <c r="H259" s="4" t="s">
        <v>130</v>
      </c>
      <c r="I259" s="26">
        <v>6900</v>
      </c>
      <c r="J259" s="26"/>
      <c r="K259" s="26">
        <f t="shared" si="34"/>
        <v>6900</v>
      </c>
      <c r="L259" s="76"/>
      <c r="M259" s="26"/>
      <c r="N259" s="26"/>
      <c r="O259" s="26">
        <f t="shared" si="35"/>
        <v>0</v>
      </c>
      <c r="P259" s="76"/>
      <c r="Q259" s="26">
        <f t="shared" si="36"/>
        <v>6900</v>
      </c>
      <c r="R259" s="26">
        <f t="shared" si="37"/>
        <v>0</v>
      </c>
      <c r="S259" s="26">
        <f t="shared" si="37"/>
        <v>6900</v>
      </c>
    </row>
    <row r="260" spans="2:19" x14ac:dyDescent="0.2">
      <c r="B260" s="75">
        <f t="shared" si="38"/>
        <v>16</v>
      </c>
      <c r="C260" s="4"/>
      <c r="D260" s="4"/>
      <c r="E260" s="4"/>
      <c r="F260" s="53" t="s">
        <v>196</v>
      </c>
      <c r="G260" s="4">
        <v>630</v>
      </c>
      <c r="H260" s="4" t="s">
        <v>610</v>
      </c>
      <c r="I260" s="26">
        <v>1151</v>
      </c>
      <c r="J260" s="26"/>
      <c r="K260" s="26">
        <f t="shared" si="34"/>
        <v>1151</v>
      </c>
      <c r="L260" s="76"/>
      <c r="M260" s="26"/>
      <c r="N260" s="26"/>
      <c r="O260" s="26">
        <f t="shared" si="35"/>
        <v>0</v>
      </c>
      <c r="P260" s="76"/>
      <c r="Q260" s="26">
        <f t="shared" si="36"/>
        <v>1151</v>
      </c>
      <c r="R260" s="26">
        <f t="shared" si="37"/>
        <v>0</v>
      </c>
      <c r="S260" s="26">
        <f t="shared" si="37"/>
        <v>1151</v>
      </c>
    </row>
    <row r="261" spans="2:19" x14ac:dyDescent="0.2">
      <c r="B261" s="75">
        <f t="shared" si="38"/>
        <v>17</v>
      </c>
      <c r="C261" s="15"/>
      <c r="D261" s="15"/>
      <c r="E261" s="15"/>
      <c r="F261" s="52" t="s">
        <v>196</v>
      </c>
      <c r="G261" s="15">
        <v>640</v>
      </c>
      <c r="H261" s="15" t="s">
        <v>136</v>
      </c>
      <c r="I261" s="49">
        <v>200</v>
      </c>
      <c r="J261" s="49"/>
      <c r="K261" s="49">
        <f t="shared" si="34"/>
        <v>200</v>
      </c>
      <c r="L261" s="123"/>
      <c r="M261" s="49"/>
      <c r="N261" s="49"/>
      <c r="O261" s="49">
        <f t="shared" si="35"/>
        <v>0</v>
      </c>
      <c r="P261" s="123"/>
      <c r="Q261" s="49">
        <f t="shared" si="36"/>
        <v>200</v>
      </c>
      <c r="R261" s="49">
        <f t="shared" ref="R261:S276" si="39">J261+N261</f>
        <v>0</v>
      </c>
      <c r="S261" s="49">
        <f t="shared" si="39"/>
        <v>200</v>
      </c>
    </row>
    <row r="262" spans="2:19" ht="15" x14ac:dyDescent="0.2">
      <c r="B262" s="75">
        <f t="shared" si="38"/>
        <v>18</v>
      </c>
      <c r="C262" s="164">
        <v>3</v>
      </c>
      <c r="D262" s="230" t="s">
        <v>179</v>
      </c>
      <c r="E262" s="228"/>
      <c r="F262" s="228"/>
      <c r="G262" s="228"/>
      <c r="H262" s="229"/>
      <c r="I262" s="45">
        <f>I263+I264+I265+I271</f>
        <v>172220</v>
      </c>
      <c r="J262" s="45">
        <f>J263+J264+J265+J271</f>
        <v>0</v>
      </c>
      <c r="K262" s="45">
        <f t="shared" si="34"/>
        <v>172220</v>
      </c>
      <c r="L262" s="172"/>
      <c r="M262" s="45">
        <f>M263+M264+M265+M271</f>
        <v>0</v>
      </c>
      <c r="N262" s="45">
        <f>N263+N264+N265+N271</f>
        <v>0</v>
      </c>
      <c r="O262" s="45">
        <f t="shared" si="35"/>
        <v>0</v>
      </c>
      <c r="P262" s="172"/>
      <c r="Q262" s="45">
        <f t="shared" si="36"/>
        <v>172220</v>
      </c>
      <c r="R262" s="45">
        <f t="shared" si="39"/>
        <v>0</v>
      </c>
      <c r="S262" s="45">
        <f t="shared" si="39"/>
        <v>172220</v>
      </c>
    </row>
    <row r="263" spans="2:19" x14ac:dyDescent="0.2">
      <c r="B263" s="75">
        <f t="shared" si="38"/>
        <v>19</v>
      </c>
      <c r="C263" s="15"/>
      <c r="D263" s="15"/>
      <c r="E263" s="15"/>
      <c r="F263" s="52" t="s">
        <v>75</v>
      </c>
      <c r="G263" s="15">
        <v>610</v>
      </c>
      <c r="H263" s="15" t="s">
        <v>137</v>
      </c>
      <c r="I263" s="49">
        <f>111145+3880-10</f>
        <v>115015</v>
      </c>
      <c r="J263" s="49"/>
      <c r="K263" s="49">
        <f t="shared" si="34"/>
        <v>115015</v>
      </c>
      <c r="L263" s="123"/>
      <c r="M263" s="49"/>
      <c r="N263" s="49"/>
      <c r="O263" s="49">
        <f t="shared" si="35"/>
        <v>0</v>
      </c>
      <c r="P263" s="123"/>
      <c r="Q263" s="49">
        <f t="shared" si="36"/>
        <v>115015</v>
      </c>
      <c r="R263" s="49">
        <f t="shared" si="39"/>
        <v>0</v>
      </c>
      <c r="S263" s="49">
        <f t="shared" si="39"/>
        <v>115015</v>
      </c>
    </row>
    <row r="264" spans="2:19" x14ac:dyDescent="0.2">
      <c r="B264" s="75">
        <f t="shared" si="38"/>
        <v>20</v>
      </c>
      <c r="C264" s="15"/>
      <c r="D264" s="15"/>
      <c r="E264" s="15"/>
      <c r="F264" s="52" t="s">
        <v>75</v>
      </c>
      <c r="G264" s="15">
        <v>620</v>
      </c>
      <c r="H264" s="15" t="s">
        <v>132</v>
      </c>
      <c r="I264" s="49">
        <f>42565-10</f>
        <v>42555</v>
      </c>
      <c r="J264" s="49"/>
      <c r="K264" s="49">
        <f t="shared" si="34"/>
        <v>42555</v>
      </c>
      <c r="L264" s="123"/>
      <c r="M264" s="49"/>
      <c r="N264" s="49"/>
      <c r="O264" s="49">
        <f t="shared" si="35"/>
        <v>0</v>
      </c>
      <c r="P264" s="123"/>
      <c r="Q264" s="49">
        <f t="shared" si="36"/>
        <v>42555</v>
      </c>
      <c r="R264" s="49">
        <f t="shared" si="39"/>
        <v>0</v>
      </c>
      <c r="S264" s="49">
        <f t="shared" si="39"/>
        <v>42555</v>
      </c>
    </row>
    <row r="265" spans="2:19" x14ac:dyDescent="0.2">
      <c r="B265" s="75">
        <f t="shared" si="38"/>
        <v>21</v>
      </c>
      <c r="C265" s="15"/>
      <c r="D265" s="15"/>
      <c r="E265" s="15"/>
      <c r="F265" s="52" t="s">
        <v>75</v>
      </c>
      <c r="G265" s="15">
        <v>630</v>
      </c>
      <c r="H265" s="15" t="s">
        <v>129</v>
      </c>
      <c r="I265" s="49">
        <f>I269+I268+I267+I266+I270</f>
        <v>14250</v>
      </c>
      <c r="J265" s="49">
        <f>J269+J268+J267+J266+J270</f>
        <v>0</v>
      </c>
      <c r="K265" s="49">
        <f t="shared" si="34"/>
        <v>14250</v>
      </c>
      <c r="L265" s="123"/>
      <c r="M265" s="49">
        <f>M269+M268+M267+M266</f>
        <v>0</v>
      </c>
      <c r="N265" s="49">
        <f>N269+N268+N267+N266</f>
        <v>0</v>
      </c>
      <c r="O265" s="49">
        <f t="shared" si="35"/>
        <v>0</v>
      </c>
      <c r="P265" s="123"/>
      <c r="Q265" s="49">
        <f t="shared" si="36"/>
        <v>14250</v>
      </c>
      <c r="R265" s="49">
        <f t="shared" si="39"/>
        <v>0</v>
      </c>
      <c r="S265" s="49">
        <f t="shared" si="39"/>
        <v>14250</v>
      </c>
    </row>
    <row r="266" spans="2:19" x14ac:dyDescent="0.2">
      <c r="B266" s="75">
        <f t="shared" si="38"/>
        <v>22</v>
      </c>
      <c r="C266" s="4"/>
      <c r="D266" s="4"/>
      <c r="E266" s="4"/>
      <c r="F266" s="53" t="s">
        <v>75</v>
      </c>
      <c r="G266" s="4">
        <v>631</v>
      </c>
      <c r="H266" s="4" t="s">
        <v>135</v>
      </c>
      <c r="I266" s="26">
        <v>200</v>
      </c>
      <c r="J266" s="26"/>
      <c r="K266" s="26">
        <f t="shared" si="34"/>
        <v>200</v>
      </c>
      <c r="L266" s="76"/>
      <c r="M266" s="26"/>
      <c r="N266" s="26"/>
      <c r="O266" s="26">
        <f t="shared" si="35"/>
        <v>0</v>
      </c>
      <c r="P266" s="76"/>
      <c r="Q266" s="26">
        <f t="shared" si="36"/>
        <v>200</v>
      </c>
      <c r="R266" s="26">
        <f t="shared" si="39"/>
        <v>0</v>
      </c>
      <c r="S266" s="26">
        <f t="shared" si="39"/>
        <v>200</v>
      </c>
    </row>
    <row r="267" spans="2:19" x14ac:dyDescent="0.2">
      <c r="B267" s="75">
        <f t="shared" si="38"/>
        <v>23</v>
      </c>
      <c r="C267" s="4"/>
      <c r="D267" s="4"/>
      <c r="E267" s="4"/>
      <c r="F267" s="53" t="s">
        <v>75</v>
      </c>
      <c r="G267" s="4">
        <v>632</v>
      </c>
      <c r="H267" s="4" t="s">
        <v>140</v>
      </c>
      <c r="I267" s="26">
        <f>1500</f>
        <v>1500</v>
      </c>
      <c r="J267" s="26"/>
      <c r="K267" s="26">
        <f t="shared" si="34"/>
        <v>1500</v>
      </c>
      <c r="L267" s="76"/>
      <c r="M267" s="26"/>
      <c r="N267" s="26"/>
      <c r="O267" s="26">
        <f t="shared" si="35"/>
        <v>0</v>
      </c>
      <c r="P267" s="76"/>
      <c r="Q267" s="26">
        <f t="shared" si="36"/>
        <v>1500</v>
      </c>
      <c r="R267" s="26">
        <f t="shared" si="39"/>
        <v>0</v>
      </c>
      <c r="S267" s="26">
        <f t="shared" si="39"/>
        <v>1500</v>
      </c>
    </row>
    <row r="268" spans="2:19" x14ac:dyDescent="0.2">
      <c r="B268" s="75">
        <f t="shared" si="38"/>
        <v>24</v>
      </c>
      <c r="C268" s="4"/>
      <c r="D268" s="4"/>
      <c r="E268" s="4"/>
      <c r="F268" s="53" t="s">
        <v>75</v>
      </c>
      <c r="G268" s="4">
        <v>633</v>
      </c>
      <c r="H268" s="4" t="s">
        <v>133</v>
      </c>
      <c r="I268" s="26">
        <f>5680-2000</f>
        <v>3680</v>
      </c>
      <c r="J268" s="26">
        <v>-1900</v>
      </c>
      <c r="K268" s="26">
        <f t="shared" si="34"/>
        <v>1780</v>
      </c>
      <c r="L268" s="76"/>
      <c r="M268" s="26"/>
      <c r="N268" s="26"/>
      <c r="O268" s="26">
        <f t="shared" si="35"/>
        <v>0</v>
      </c>
      <c r="P268" s="76"/>
      <c r="Q268" s="26">
        <f t="shared" si="36"/>
        <v>3680</v>
      </c>
      <c r="R268" s="26">
        <f t="shared" si="39"/>
        <v>-1900</v>
      </c>
      <c r="S268" s="26">
        <f t="shared" si="39"/>
        <v>1780</v>
      </c>
    </row>
    <row r="269" spans="2:19" x14ac:dyDescent="0.2">
      <c r="B269" s="75">
        <f t="shared" si="38"/>
        <v>25</v>
      </c>
      <c r="C269" s="4"/>
      <c r="D269" s="4"/>
      <c r="E269" s="4"/>
      <c r="F269" s="53" t="s">
        <v>75</v>
      </c>
      <c r="G269" s="4">
        <v>637</v>
      </c>
      <c r="H269" s="4" t="s">
        <v>130</v>
      </c>
      <c r="I269" s="26">
        <v>8050</v>
      </c>
      <c r="J269" s="26">
        <v>1900</v>
      </c>
      <c r="K269" s="26">
        <f t="shared" si="34"/>
        <v>9950</v>
      </c>
      <c r="L269" s="76"/>
      <c r="M269" s="26"/>
      <c r="N269" s="26"/>
      <c r="O269" s="26">
        <f t="shared" si="35"/>
        <v>0</v>
      </c>
      <c r="P269" s="76"/>
      <c r="Q269" s="26">
        <f t="shared" si="36"/>
        <v>8050</v>
      </c>
      <c r="R269" s="26">
        <f t="shared" si="39"/>
        <v>1900</v>
      </c>
      <c r="S269" s="26">
        <f t="shared" si="39"/>
        <v>9950</v>
      </c>
    </row>
    <row r="270" spans="2:19" x14ac:dyDescent="0.2">
      <c r="B270" s="75">
        <f t="shared" si="38"/>
        <v>26</v>
      </c>
      <c r="C270" s="4"/>
      <c r="D270" s="4"/>
      <c r="E270" s="4"/>
      <c r="F270" s="53" t="s">
        <v>75</v>
      </c>
      <c r="G270" s="4">
        <v>630</v>
      </c>
      <c r="H270" s="4" t="s">
        <v>610</v>
      </c>
      <c r="I270" s="26">
        <v>820</v>
      </c>
      <c r="J270" s="26"/>
      <c r="K270" s="26">
        <f t="shared" si="34"/>
        <v>820</v>
      </c>
      <c r="L270" s="76"/>
      <c r="M270" s="26"/>
      <c r="N270" s="26"/>
      <c r="O270" s="26">
        <f t="shared" si="35"/>
        <v>0</v>
      </c>
      <c r="P270" s="76"/>
      <c r="Q270" s="26">
        <f t="shared" si="36"/>
        <v>820</v>
      </c>
      <c r="R270" s="26">
        <f t="shared" si="39"/>
        <v>0</v>
      </c>
      <c r="S270" s="26">
        <f t="shared" si="39"/>
        <v>820</v>
      </c>
    </row>
    <row r="271" spans="2:19" x14ac:dyDescent="0.2">
      <c r="B271" s="75">
        <f t="shared" si="38"/>
        <v>27</v>
      </c>
      <c r="C271" s="15"/>
      <c r="D271" s="15"/>
      <c r="E271" s="15"/>
      <c r="F271" s="52" t="s">
        <v>75</v>
      </c>
      <c r="G271" s="15">
        <v>640</v>
      </c>
      <c r="H271" s="15" t="s">
        <v>136</v>
      </c>
      <c r="I271" s="49">
        <v>400</v>
      </c>
      <c r="J271" s="49"/>
      <c r="K271" s="49">
        <f t="shared" si="34"/>
        <v>400</v>
      </c>
      <c r="L271" s="123"/>
      <c r="M271" s="49"/>
      <c r="N271" s="49"/>
      <c r="O271" s="49">
        <f t="shared" si="35"/>
        <v>0</v>
      </c>
      <c r="P271" s="123"/>
      <c r="Q271" s="49">
        <f t="shared" si="36"/>
        <v>400</v>
      </c>
      <c r="R271" s="49">
        <f t="shared" si="39"/>
        <v>0</v>
      </c>
      <c r="S271" s="49">
        <f t="shared" si="39"/>
        <v>400</v>
      </c>
    </row>
    <row r="272" spans="2:19" ht="15" x14ac:dyDescent="0.2">
      <c r="B272" s="75">
        <f t="shared" si="38"/>
        <v>28</v>
      </c>
      <c r="C272" s="164">
        <v>4</v>
      </c>
      <c r="D272" s="230" t="s">
        <v>260</v>
      </c>
      <c r="E272" s="228"/>
      <c r="F272" s="228"/>
      <c r="G272" s="228"/>
      <c r="H272" s="229"/>
      <c r="I272" s="45">
        <f>I274+I275+I276+I281</f>
        <v>38200</v>
      </c>
      <c r="J272" s="45">
        <f>J274+J275+J276+J281</f>
        <v>0</v>
      </c>
      <c r="K272" s="45">
        <f t="shared" si="34"/>
        <v>38200</v>
      </c>
      <c r="L272" s="172"/>
      <c r="M272" s="45">
        <f>M274+M275+M276+M281</f>
        <v>0</v>
      </c>
      <c r="N272" s="45">
        <f>N274+N275+N276+N281</f>
        <v>0</v>
      </c>
      <c r="O272" s="45">
        <f t="shared" si="35"/>
        <v>0</v>
      </c>
      <c r="P272" s="172"/>
      <c r="Q272" s="45">
        <f t="shared" si="36"/>
        <v>38200</v>
      </c>
      <c r="R272" s="45">
        <f t="shared" si="39"/>
        <v>0</v>
      </c>
      <c r="S272" s="45">
        <f t="shared" si="39"/>
        <v>38200</v>
      </c>
    </row>
    <row r="273" spans="2:19" ht="15" x14ac:dyDescent="0.25">
      <c r="B273" s="75">
        <f t="shared" si="38"/>
        <v>29</v>
      </c>
      <c r="C273" s="18"/>
      <c r="D273" s="18"/>
      <c r="E273" s="18">
        <v>2</v>
      </c>
      <c r="F273" s="50"/>
      <c r="G273" s="18"/>
      <c r="H273" s="18" t="s">
        <v>258</v>
      </c>
      <c r="I273" s="47">
        <f>I272</f>
        <v>38200</v>
      </c>
      <c r="J273" s="47">
        <f>J272</f>
        <v>0</v>
      </c>
      <c r="K273" s="47">
        <f t="shared" si="34"/>
        <v>38200</v>
      </c>
      <c r="L273" s="174"/>
      <c r="M273" s="47">
        <f>M272</f>
        <v>0</v>
      </c>
      <c r="N273" s="47">
        <f>N272</f>
        <v>0</v>
      </c>
      <c r="O273" s="47">
        <f t="shared" si="35"/>
        <v>0</v>
      </c>
      <c r="P273" s="174"/>
      <c r="Q273" s="47">
        <f t="shared" si="36"/>
        <v>38200</v>
      </c>
      <c r="R273" s="47">
        <f t="shared" si="39"/>
        <v>0</v>
      </c>
      <c r="S273" s="47">
        <f t="shared" si="39"/>
        <v>38200</v>
      </c>
    </row>
    <row r="274" spans="2:19" x14ac:dyDescent="0.2">
      <c r="B274" s="75">
        <f t="shared" si="38"/>
        <v>30</v>
      </c>
      <c r="C274" s="15"/>
      <c r="D274" s="15"/>
      <c r="E274" s="15"/>
      <c r="F274" s="52" t="s">
        <v>206</v>
      </c>
      <c r="G274" s="15">
        <v>610</v>
      </c>
      <c r="H274" s="15" t="s">
        <v>137</v>
      </c>
      <c r="I274" s="49">
        <v>18400</v>
      </c>
      <c r="J274" s="49"/>
      <c r="K274" s="49">
        <f t="shared" si="34"/>
        <v>18400</v>
      </c>
      <c r="L274" s="123"/>
      <c r="M274" s="49"/>
      <c r="N274" s="49"/>
      <c r="O274" s="49">
        <f t="shared" si="35"/>
        <v>0</v>
      </c>
      <c r="P274" s="123"/>
      <c r="Q274" s="49">
        <f t="shared" si="36"/>
        <v>18400</v>
      </c>
      <c r="R274" s="49">
        <f t="shared" si="39"/>
        <v>0</v>
      </c>
      <c r="S274" s="49">
        <f t="shared" si="39"/>
        <v>18400</v>
      </c>
    </row>
    <row r="275" spans="2:19" x14ac:dyDescent="0.2">
      <c r="B275" s="75">
        <f t="shared" si="38"/>
        <v>31</v>
      </c>
      <c r="C275" s="15"/>
      <c r="D275" s="15"/>
      <c r="E275" s="15"/>
      <c r="F275" s="52" t="s">
        <v>206</v>
      </c>
      <c r="G275" s="15">
        <v>620</v>
      </c>
      <c r="H275" s="15" t="s">
        <v>132</v>
      </c>
      <c r="I275" s="49">
        <v>6465</v>
      </c>
      <c r="J275" s="49"/>
      <c r="K275" s="49">
        <f t="shared" si="34"/>
        <v>6465</v>
      </c>
      <c r="L275" s="123"/>
      <c r="M275" s="49"/>
      <c r="N275" s="49"/>
      <c r="O275" s="49">
        <f t="shared" si="35"/>
        <v>0</v>
      </c>
      <c r="P275" s="123"/>
      <c r="Q275" s="49">
        <f t="shared" si="36"/>
        <v>6465</v>
      </c>
      <c r="R275" s="49">
        <f t="shared" si="39"/>
        <v>0</v>
      </c>
      <c r="S275" s="49">
        <f t="shared" si="39"/>
        <v>6465</v>
      </c>
    </row>
    <row r="276" spans="2:19" x14ac:dyDescent="0.2">
      <c r="B276" s="75">
        <f t="shared" si="38"/>
        <v>32</v>
      </c>
      <c r="C276" s="15"/>
      <c r="D276" s="15"/>
      <c r="E276" s="15"/>
      <c r="F276" s="52" t="s">
        <v>206</v>
      </c>
      <c r="G276" s="15">
        <v>630</v>
      </c>
      <c r="H276" s="15" t="s">
        <v>129</v>
      </c>
      <c r="I276" s="49">
        <f>I280+I279+I278+I277</f>
        <v>13285</v>
      </c>
      <c r="J276" s="49">
        <f>J280+J279+J278+J277</f>
        <v>0</v>
      </c>
      <c r="K276" s="49">
        <f t="shared" si="34"/>
        <v>13285</v>
      </c>
      <c r="L276" s="123"/>
      <c r="M276" s="49">
        <f>M280+M279+M278+M277</f>
        <v>0</v>
      </c>
      <c r="N276" s="49">
        <f>N280+N279+N278+N277</f>
        <v>0</v>
      </c>
      <c r="O276" s="49">
        <f t="shared" si="35"/>
        <v>0</v>
      </c>
      <c r="P276" s="123"/>
      <c r="Q276" s="49">
        <f t="shared" si="36"/>
        <v>13285</v>
      </c>
      <c r="R276" s="49">
        <f t="shared" si="39"/>
        <v>0</v>
      </c>
      <c r="S276" s="49">
        <f t="shared" si="39"/>
        <v>13285</v>
      </c>
    </row>
    <row r="277" spans="2:19" x14ac:dyDescent="0.2">
      <c r="B277" s="75">
        <f t="shared" si="38"/>
        <v>33</v>
      </c>
      <c r="C277" s="4"/>
      <c r="D277" s="4"/>
      <c r="E277" s="4"/>
      <c r="F277" s="53" t="s">
        <v>206</v>
      </c>
      <c r="G277" s="4">
        <v>632</v>
      </c>
      <c r="H277" s="4" t="s">
        <v>140</v>
      </c>
      <c r="I277" s="26">
        <v>7940</v>
      </c>
      <c r="J277" s="26"/>
      <c r="K277" s="26">
        <f t="shared" si="34"/>
        <v>7940</v>
      </c>
      <c r="L277" s="76"/>
      <c r="M277" s="26"/>
      <c r="N277" s="26"/>
      <c r="O277" s="26">
        <f t="shared" si="35"/>
        <v>0</v>
      </c>
      <c r="P277" s="76"/>
      <c r="Q277" s="26">
        <f t="shared" ref="Q277:Q308" si="40">I277+M277</f>
        <v>7940</v>
      </c>
      <c r="R277" s="26">
        <f t="shared" ref="R277:S292" si="41">J277+N277</f>
        <v>0</v>
      </c>
      <c r="S277" s="26">
        <f t="shared" si="41"/>
        <v>7940</v>
      </c>
    </row>
    <row r="278" spans="2:19" x14ac:dyDescent="0.2">
      <c r="B278" s="75">
        <f t="shared" si="38"/>
        <v>34</v>
      </c>
      <c r="C278" s="4"/>
      <c r="D278" s="4"/>
      <c r="E278" s="4"/>
      <c r="F278" s="53" t="s">
        <v>206</v>
      </c>
      <c r="G278" s="4">
        <v>633</v>
      </c>
      <c r="H278" s="4" t="s">
        <v>133</v>
      </c>
      <c r="I278" s="26">
        <v>1730</v>
      </c>
      <c r="J278" s="26"/>
      <c r="K278" s="26">
        <f t="shared" si="34"/>
        <v>1730</v>
      </c>
      <c r="L278" s="76"/>
      <c r="M278" s="26"/>
      <c r="N278" s="26"/>
      <c r="O278" s="26">
        <f t="shared" si="35"/>
        <v>0</v>
      </c>
      <c r="P278" s="76"/>
      <c r="Q278" s="26">
        <f t="shared" si="40"/>
        <v>1730</v>
      </c>
      <c r="R278" s="26">
        <f t="shared" si="41"/>
        <v>0</v>
      </c>
      <c r="S278" s="26">
        <f t="shared" si="41"/>
        <v>1730</v>
      </c>
    </row>
    <row r="279" spans="2:19" x14ac:dyDescent="0.2">
      <c r="B279" s="75">
        <f t="shared" si="38"/>
        <v>35</v>
      </c>
      <c r="C279" s="4"/>
      <c r="D279" s="4"/>
      <c r="E279" s="4"/>
      <c r="F279" s="53" t="s">
        <v>206</v>
      </c>
      <c r="G279" s="4">
        <v>635</v>
      </c>
      <c r="H279" s="4" t="s">
        <v>139</v>
      </c>
      <c r="I279" s="26">
        <v>400</v>
      </c>
      <c r="J279" s="26"/>
      <c r="K279" s="26">
        <f t="shared" si="34"/>
        <v>400</v>
      </c>
      <c r="L279" s="76"/>
      <c r="M279" s="26"/>
      <c r="N279" s="26"/>
      <c r="O279" s="26">
        <f t="shared" si="35"/>
        <v>0</v>
      </c>
      <c r="P279" s="76"/>
      <c r="Q279" s="26">
        <f t="shared" si="40"/>
        <v>400</v>
      </c>
      <c r="R279" s="26">
        <f t="shared" si="41"/>
        <v>0</v>
      </c>
      <c r="S279" s="26">
        <f t="shared" si="41"/>
        <v>400</v>
      </c>
    </row>
    <row r="280" spans="2:19" x14ac:dyDescent="0.2">
      <c r="B280" s="75">
        <f t="shared" si="38"/>
        <v>36</v>
      </c>
      <c r="C280" s="4"/>
      <c r="D280" s="4"/>
      <c r="E280" s="4"/>
      <c r="F280" s="53" t="s">
        <v>206</v>
      </c>
      <c r="G280" s="4">
        <v>637</v>
      </c>
      <c r="H280" s="4" t="s">
        <v>130</v>
      </c>
      <c r="I280" s="26">
        <v>3215</v>
      </c>
      <c r="J280" s="26"/>
      <c r="K280" s="26">
        <f t="shared" si="34"/>
        <v>3215</v>
      </c>
      <c r="L280" s="76"/>
      <c r="M280" s="26"/>
      <c r="N280" s="26"/>
      <c r="O280" s="26">
        <f t="shared" si="35"/>
        <v>0</v>
      </c>
      <c r="P280" s="76"/>
      <c r="Q280" s="26">
        <f t="shared" si="40"/>
        <v>3215</v>
      </c>
      <c r="R280" s="26">
        <f t="shared" si="41"/>
        <v>0</v>
      </c>
      <c r="S280" s="26">
        <f t="shared" si="41"/>
        <v>3215</v>
      </c>
    </row>
    <row r="281" spans="2:19" x14ac:dyDescent="0.2">
      <c r="B281" s="75">
        <f t="shared" si="38"/>
        <v>37</v>
      </c>
      <c r="C281" s="15"/>
      <c r="D281" s="15"/>
      <c r="E281" s="15"/>
      <c r="F281" s="52" t="s">
        <v>206</v>
      </c>
      <c r="G281" s="15">
        <v>640</v>
      </c>
      <c r="H281" s="15" t="s">
        <v>136</v>
      </c>
      <c r="I281" s="49">
        <v>50</v>
      </c>
      <c r="J281" s="49"/>
      <c r="K281" s="49">
        <f t="shared" si="34"/>
        <v>50</v>
      </c>
      <c r="L281" s="123"/>
      <c r="M281" s="49"/>
      <c r="N281" s="49"/>
      <c r="O281" s="49">
        <f t="shared" si="35"/>
        <v>0</v>
      </c>
      <c r="P281" s="123"/>
      <c r="Q281" s="49">
        <f t="shared" si="40"/>
        <v>50</v>
      </c>
      <c r="R281" s="49">
        <f t="shared" si="41"/>
        <v>0</v>
      </c>
      <c r="S281" s="49">
        <f t="shared" si="41"/>
        <v>50</v>
      </c>
    </row>
    <row r="282" spans="2:19" ht="15" x14ac:dyDescent="0.2">
      <c r="B282" s="75">
        <f t="shared" si="38"/>
        <v>38</v>
      </c>
      <c r="C282" s="164">
        <v>5</v>
      </c>
      <c r="D282" s="230" t="s">
        <v>1</v>
      </c>
      <c r="E282" s="228"/>
      <c r="F282" s="228"/>
      <c r="G282" s="228"/>
      <c r="H282" s="229"/>
      <c r="I282" s="45">
        <f>I283</f>
        <v>28700</v>
      </c>
      <c r="J282" s="45">
        <f>J283</f>
        <v>0</v>
      </c>
      <c r="K282" s="45">
        <f t="shared" si="34"/>
        <v>28700</v>
      </c>
      <c r="L282" s="172"/>
      <c r="M282" s="45">
        <f>M283</f>
        <v>0</v>
      </c>
      <c r="N282" s="45">
        <f>N283</f>
        <v>0</v>
      </c>
      <c r="O282" s="45">
        <f t="shared" si="35"/>
        <v>0</v>
      </c>
      <c r="P282" s="172"/>
      <c r="Q282" s="45">
        <f t="shared" si="40"/>
        <v>28700</v>
      </c>
      <c r="R282" s="45">
        <f t="shared" si="41"/>
        <v>0</v>
      </c>
      <c r="S282" s="45">
        <f t="shared" si="41"/>
        <v>28700</v>
      </c>
    </row>
    <row r="283" spans="2:19" ht="15" x14ac:dyDescent="0.25">
      <c r="B283" s="75">
        <f t="shared" si="38"/>
        <v>39</v>
      </c>
      <c r="C283" s="18"/>
      <c r="D283" s="18"/>
      <c r="E283" s="18">
        <v>2</v>
      </c>
      <c r="F283" s="50"/>
      <c r="G283" s="18"/>
      <c r="H283" s="18" t="s">
        <v>258</v>
      </c>
      <c r="I283" s="47">
        <f>I284+I285+I286+I292</f>
        <v>28700</v>
      </c>
      <c r="J283" s="47">
        <f>J284+J285+J286+J292</f>
        <v>0</v>
      </c>
      <c r="K283" s="47">
        <f t="shared" si="34"/>
        <v>28700</v>
      </c>
      <c r="L283" s="174"/>
      <c r="M283" s="47">
        <f>M284+M285+M286+M292</f>
        <v>0</v>
      </c>
      <c r="N283" s="47">
        <f>N284+N285+N286+N292</f>
        <v>0</v>
      </c>
      <c r="O283" s="47">
        <f t="shared" si="35"/>
        <v>0</v>
      </c>
      <c r="P283" s="174"/>
      <c r="Q283" s="47">
        <f t="shared" si="40"/>
        <v>28700</v>
      </c>
      <c r="R283" s="47">
        <f t="shared" si="41"/>
        <v>0</v>
      </c>
      <c r="S283" s="47">
        <f t="shared" si="41"/>
        <v>28700</v>
      </c>
    </row>
    <row r="284" spans="2:19" x14ac:dyDescent="0.2">
      <c r="B284" s="75">
        <f t="shared" si="38"/>
        <v>40</v>
      </c>
      <c r="C284" s="15"/>
      <c r="D284" s="15"/>
      <c r="E284" s="15"/>
      <c r="F284" s="52" t="s">
        <v>206</v>
      </c>
      <c r="G284" s="15">
        <v>610</v>
      </c>
      <c r="H284" s="15" t="s">
        <v>137</v>
      </c>
      <c r="I284" s="49">
        <v>6600</v>
      </c>
      <c r="J284" s="49"/>
      <c r="K284" s="49">
        <f t="shared" si="34"/>
        <v>6600</v>
      </c>
      <c r="L284" s="123"/>
      <c r="M284" s="49"/>
      <c r="N284" s="49"/>
      <c r="O284" s="49">
        <f t="shared" si="35"/>
        <v>0</v>
      </c>
      <c r="P284" s="123"/>
      <c r="Q284" s="49">
        <f t="shared" si="40"/>
        <v>6600</v>
      </c>
      <c r="R284" s="49">
        <f t="shared" si="41"/>
        <v>0</v>
      </c>
      <c r="S284" s="49">
        <f t="shared" si="41"/>
        <v>6600</v>
      </c>
    </row>
    <row r="285" spans="2:19" x14ac:dyDescent="0.2">
      <c r="B285" s="75">
        <f t="shared" si="38"/>
        <v>41</v>
      </c>
      <c r="C285" s="15"/>
      <c r="D285" s="15"/>
      <c r="E285" s="15"/>
      <c r="F285" s="52" t="s">
        <v>206</v>
      </c>
      <c r="G285" s="15">
        <v>620</v>
      </c>
      <c r="H285" s="15" t="s">
        <v>132</v>
      </c>
      <c r="I285" s="49">
        <v>2950</v>
      </c>
      <c r="J285" s="49"/>
      <c r="K285" s="49">
        <f t="shared" si="34"/>
        <v>2950</v>
      </c>
      <c r="L285" s="123"/>
      <c r="M285" s="49"/>
      <c r="N285" s="49"/>
      <c r="O285" s="49">
        <f t="shared" si="35"/>
        <v>0</v>
      </c>
      <c r="P285" s="123"/>
      <c r="Q285" s="49">
        <f t="shared" si="40"/>
        <v>2950</v>
      </c>
      <c r="R285" s="49">
        <f t="shared" si="41"/>
        <v>0</v>
      </c>
      <c r="S285" s="49">
        <f t="shared" si="41"/>
        <v>2950</v>
      </c>
    </row>
    <row r="286" spans="2:19" x14ac:dyDescent="0.2">
      <c r="B286" s="75">
        <f t="shared" si="38"/>
        <v>42</v>
      </c>
      <c r="C286" s="15"/>
      <c r="D286" s="15"/>
      <c r="E286" s="15"/>
      <c r="F286" s="52" t="s">
        <v>206</v>
      </c>
      <c r="G286" s="15">
        <v>630</v>
      </c>
      <c r="H286" s="15" t="s">
        <v>129</v>
      </c>
      <c r="I286" s="49">
        <f>I291+I290+I289+I288+I287</f>
        <v>18700</v>
      </c>
      <c r="J286" s="49">
        <f>J291+J290+J289+J288+J287</f>
        <v>0</v>
      </c>
      <c r="K286" s="49">
        <f t="shared" si="34"/>
        <v>18700</v>
      </c>
      <c r="L286" s="123"/>
      <c r="M286" s="49">
        <f>M291+M290+M289+M288+M287</f>
        <v>0</v>
      </c>
      <c r="N286" s="49">
        <f>N291+N290+N289+N288+N287</f>
        <v>0</v>
      </c>
      <c r="O286" s="49">
        <f t="shared" si="35"/>
        <v>0</v>
      </c>
      <c r="P286" s="123"/>
      <c r="Q286" s="49">
        <f t="shared" si="40"/>
        <v>18700</v>
      </c>
      <c r="R286" s="49">
        <f t="shared" si="41"/>
        <v>0</v>
      </c>
      <c r="S286" s="49">
        <f t="shared" si="41"/>
        <v>18700</v>
      </c>
    </row>
    <row r="287" spans="2:19" x14ac:dyDescent="0.2">
      <c r="B287" s="75">
        <f t="shared" si="38"/>
        <v>43</v>
      </c>
      <c r="C287" s="4"/>
      <c r="D287" s="4"/>
      <c r="E287" s="4"/>
      <c r="F287" s="53" t="s">
        <v>206</v>
      </c>
      <c r="G287" s="4">
        <v>632</v>
      </c>
      <c r="H287" s="4" t="s">
        <v>140</v>
      </c>
      <c r="I287" s="26">
        <v>6600</v>
      </c>
      <c r="J287" s="26"/>
      <c r="K287" s="26">
        <f t="shared" si="34"/>
        <v>6600</v>
      </c>
      <c r="L287" s="76"/>
      <c r="M287" s="26"/>
      <c r="N287" s="26"/>
      <c r="O287" s="26">
        <f t="shared" si="35"/>
        <v>0</v>
      </c>
      <c r="P287" s="76"/>
      <c r="Q287" s="26">
        <f t="shared" si="40"/>
        <v>6600</v>
      </c>
      <c r="R287" s="26">
        <f t="shared" si="41"/>
        <v>0</v>
      </c>
      <c r="S287" s="26">
        <f t="shared" si="41"/>
        <v>6600</v>
      </c>
    </row>
    <row r="288" spans="2:19" x14ac:dyDescent="0.2">
      <c r="B288" s="75">
        <f t="shared" si="38"/>
        <v>44</v>
      </c>
      <c r="C288" s="4"/>
      <c r="D288" s="4"/>
      <c r="E288" s="4"/>
      <c r="F288" s="53" t="s">
        <v>206</v>
      </c>
      <c r="G288" s="4">
        <v>633</v>
      </c>
      <c r="H288" s="4" t="s">
        <v>133</v>
      </c>
      <c r="I288" s="26">
        <f>500-100</f>
        <v>400</v>
      </c>
      <c r="J288" s="26"/>
      <c r="K288" s="26">
        <f t="shared" si="34"/>
        <v>400</v>
      </c>
      <c r="L288" s="76"/>
      <c r="M288" s="26"/>
      <c r="N288" s="26"/>
      <c r="O288" s="26">
        <f t="shared" si="35"/>
        <v>0</v>
      </c>
      <c r="P288" s="76"/>
      <c r="Q288" s="26">
        <f t="shared" si="40"/>
        <v>400</v>
      </c>
      <c r="R288" s="26">
        <f t="shared" si="41"/>
        <v>0</v>
      </c>
      <c r="S288" s="26">
        <f t="shared" si="41"/>
        <v>400</v>
      </c>
    </row>
    <row r="289" spans="2:19" x14ac:dyDescent="0.2">
      <c r="B289" s="75">
        <f t="shared" si="38"/>
        <v>45</v>
      </c>
      <c r="C289" s="4"/>
      <c r="D289" s="4"/>
      <c r="E289" s="4"/>
      <c r="F289" s="53" t="s">
        <v>206</v>
      </c>
      <c r="G289" s="4">
        <v>635</v>
      </c>
      <c r="H289" s="4" t="s">
        <v>139</v>
      </c>
      <c r="I289" s="26">
        <f>100+100</f>
        <v>200</v>
      </c>
      <c r="J289" s="26"/>
      <c r="K289" s="26">
        <f t="shared" si="34"/>
        <v>200</v>
      </c>
      <c r="L289" s="76"/>
      <c r="M289" s="26"/>
      <c r="N289" s="26"/>
      <c r="O289" s="26">
        <f t="shared" si="35"/>
        <v>0</v>
      </c>
      <c r="P289" s="76"/>
      <c r="Q289" s="26">
        <f t="shared" si="40"/>
        <v>200</v>
      </c>
      <c r="R289" s="26">
        <f t="shared" si="41"/>
        <v>0</v>
      </c>
      <c r="S289" s="26">
        <f t="shared" si="41"/>
        <v>200</v>
      </c>
    </row>
    <row r="290" spans="2:19" x14ac:dyDescent="0.2">
      <c r="B290" s="75">
        <f t="shared" si="38"/>
        <v>46</v>
      </c>
      <c r="C290" s="4"/>
      <c r="D290" s="4"/>
      <c r="E290" s="4"/>
      <c r="F290" s="53" t="s">
        <v>206</v>
      </c>
      <c r="G290" s="4">
        <v>636</v>
      </c>
      <c r="H290" s="4" t="s">
        <v>134</v>
      </c>
      <c r="I290" s="26">
        <v>1200</v>
      </c>
      <c r="J290" s="26"/>
      <c r="K290" s="26">
        <f t="shared" si="34"/>
        <v>1200</v>
      </c>
      <c r="L290" s="76"/>
      <c r="M290" s="26"/>
      <c r="N290" s="26"/>
      <c r="O290" s="26">
        <f t="shared" si="35"/>
        <v>0</v>
      </c>
      <c r="P290" s="76"/>
      <c r="Q290" s="26">
        <f t="shared" si="40"/>
        <v>1200</v>
      </c>
      <c r="R290" s="26">
        <f t="shared" si="41"/>
        <v>0</v>
      </c>
      <c r="S290" s="26">
        <f t="shared" si="41"/>
        <v>1200</v>
      </c>
    </row>
    <row r="291" spans="2:19" ht="12.75" customHeight="1" x14ac:dyDescent="0.2">
      <c r="B291" s="75">
        <f t="shared" si="38"/>
        <v>47</v>
      </c>
      <c r="C291" s="4"/>
      <c r="D291" s="4"/>
      <c r="E291" s="4"/>
      <c r="F291" s="53" t="s">
        <v>206</v>
      </c>
      <c r="G291" s="4">
        <v>637</v>
      </c>
      <c r="H291" s="4" t="s">
        <v>130</v>
      </c>
      <c r="I291" s="26">
        <v>10300</v>
      </c>
      <c r="J291" s="26"/>
      <c r="K291" s="26">
        <f t="shared" si="34"/>
        <v>10300</v>
      </c>
      <c r="L291" s="76"/>
      <c r="M291" s="26"/>
      <c r="N291" s="26"/>
      <c r="O291" s="26">
        <f t="shared" si="35"/>
        <v>0</v>
      </c>
      <c r="P291" s="76"/>
      <c r="Q291" s="26">
        <f t="shared" si="40"/>
        <v>10300</v>
      </c>
      <c r="R291" s="26">
        <f t="shared" si="41"/>
        <v>0</v>
      </c>
      <c r="S291" s="26">
        <f t="shared" si="41"/>
        <v>10300</v>
      </c>
    </row>
    <row r="292" spans="2:19" ht="12.75" customHeight="1" x14ac:dyDescent="0.2">
      <c r="B292" s="75">
        <f t="shared" si="38"/>
        <v>48</v>
      </c>
      <c r="C292" s="15"/>
      <c r="D292" s="15"/>
      <c r="E292" s="15"/>
      <c r="F292" s="52" t="s">
        <v>160</v>
      </c>
      <c r="G292" s="15">
        <v>630</v>
      </c>
      <c r="H292" s="15" t="s">
        <v>129</v>
      </c>
      <c r="I292" s="49">
        <f>I293</f>
        <v>450</v>
      </c>
      <c r="J292" s="49">
        <f>J293</f>
        <v>0</v>
      </c>
      <c r="K292" s="49">
        <f t="shared" si="34"/>
        <v>450</v>
      </c>
      <c r="L292" s="123"/>
      <c r="M292" s="49">
        <f>M293</f>
        <v>0</v>
      </c>
      <c r="N292" s="49">
        <f>N293</f>
        <v>0</v>
      </c>
      <c r="O292" s="49">
        <f t="shared" si="35"/>
        <v>0</v>
      </c>
      <c r="P292" s="123"/>
      <c r="Q292" s="49">
        <f t="shared" si="40"/>
        <v>450</v>
      </c>
      <c r="R292" s="49">
        <f t="shared" si="41"/>
        <v>0</v>
      </c>
      <c r="S292" s="49">
        <f t="shared" si="41"/>
        <v>450</v>
      </c>
    </row>
    <row r="293" spans="2:19" x14ac:dyDescent="0.2">
      <c r="B293" s="75">
        <f t="shared" si="38"/>
        <v>49</v>
      </c>
      <c r="C293" s="4"/>
      <c r="D293" s="4"/>
      <c r="E293" s="4"/>
      <c r="F293" s="53" t="s">
        <v>160</v>
      </c>
      <c r="G293" s="4">
        <v>636</v>
      </c>
      <c r="H293" s="4" t="s">
        <v>134</v>
      </c>
      <c r="I293" s="26">
        <v>450</v>
      </c>
      <c r="J293" s="26"/>
      <c r="K293" s="26">
        <f t="shared" si="34"/>
        <v>450</v>
      </c>
      <c r="L293" s="76"/>
      <c r="M293" s="26"/>
      <c r="N293" s="26"/>
      <c r="O293" s="26">
        <f t="shared" si="35"/>
        <v>0</v>
      </c>
      <c r="P293" s="76"/>
      <c r="Q293" s="26">
        <f t="shared" si="40"/>
        <v>450</v>
      </c>
      <c r="R293" s="26">
        <f t="shared" ref="R293:S308" si="42">J293+N293</f>
        <v>0</v>
      </c>
      <c r="S293" s="26">
        <f t="shared" si="42"/>
        <v>450</v>
      </c>
    </row>
    <row r="294" spans="2:19" ht="20.25" customHeight="1" x14ac:dyDescent="0.2">
      <c r="B294" s="75">
        <f t="shared" si="38"/>
        <v>50</v>
      </c>
      <c r="C294" s="164">
        <v>6</v>
      </c>
      <c r="D294" s="230" t="s">
        <v>152</v>
      </c>
      <c r="E294" s="228"/>
      <c r="F294" s="228"/>
      <c r="G294" s="228"/>
      <c r="H294" s="229"/>
      <c r="I294" s="45">
        <f>I295+I300</f>
        <v>151765</v>
      </c>
      <c r="J294" s="45">
        <f>J295+J300</f>
        <v>0</v>
      </c>
      <c r="K294" s="45">
        <f t="shared" si="34"/>
        <v>151765</v>
      </c>
      <c r="L294" s="172"/>
      <c r="M294" s="45">
        <f>M295+M300</f>
        <v>38212</v>
      </c>
      <c r="N294" s="45">
        <f>N295+N300</f>
        <v>0</v>
      </c>
      <c r="O294" s="45">
        <f t="shared" si="35"/>
        <v>38212</v>
      </c>
      <c r="P294" s="172"/>
      <c r="Q294" s="45">
        <f t="shared" si="40"/>
        <v>189977</v>
      </c>
      <c r="R294" s="45">
        <f t="shared" si="42"/>
        <v>0</v>
      </c>
      <c r="S294" s="45">
        <f t="shared" si="42"/>
        <v>189977</v>
      </c>
    </row>
    <row r="295" spans="2:19" ht="20.25" customHeight="1" x14ac:dyDescent="0.2">
      <c r="B295" s="75">
        <f t="shared" si="38"/>
        <v>51</v>
      </c>
      <c r="C295" s="15"/>
      <c r="D295" s="15"/>
      <c r="E295" s="15"/>
      <c r="F295" s="52" t="s">
        <v>151</v>
      </c>
      <c r="G295" s="15">
        <v>630</v>
      </c>
      <c r="H295" s="15" t="s">
        <v>129</v>
      </c>
      <c r="I295" s="49">
        <f>I298+I296+I299+I297</f>
        <v>151765</v>
      </c>
      <c r="J295" s="49">
        <f>J298+J296+J299+J297</f>
        <v>0</v>
      </c>
      <c r="K295" s="49">
        <f t="shared" si="34"/>
        <v>151765</v>
      </c>
      <c r="L295" s="123"/>
      <c r="M295" s="49">
        <f>M298+M296</f>
        <v>0</v>
      </c>
      <c r="N295" s="49">
        <f>N298+N296</f>
        <v>0</v>
      </c>
      <c r="O295" s="49">
        <f t="shared" si="35"/>
        <v>0</v>
      </c>
      <c r="P295" s="123"/>
      <c r="Q295" s="49">
        <f t="shared" si="40"/>
        <v>151765</v>
      </c>
      <c r="R295" s="49">
        <f t="shared" si="42"/>
        <v>0</v>
      </c>
      <c r="S295" s="49">
        <f t="shared" si="42"/>
        <v>151765</v>
      </c>
    </row>
    <row r="296" spans="2:19" x14ac:dyDescent="0.2">
      <c r="B296" s="75">
        <f t="shared" si="38"/>
        <v>52</v>
      </c>
      <c r="C296" s="4"/>
      <c r="D296" s="4"/>
      <c r="E296" s="4"/>
      <c r="F296" s="53" t="s">
        <v>151</v>
      </c>
      <c r="G296" s="4">
        <v>632</v>
      </c>
      <c r="H296" s="4" t="s">
        <v>140</v>
      </c>
      <c r="I296" s="26">
        <v>27000</v>
      </c>
      <c r="J296" s="26"/>
      <c r="K296" s="26">
        <f t="shared" si="34"/>
        <v>27000</v>
      </c>
      <c r="L296" s="76"/>
      <c r="M296" s="26"/>
      <c r="N296" s="26"/>
      <c r="O296" s="26">
        <f t="shared" si="35"/>
        <v>0</v>
      </c>
      <c r="P296" s="76"/>
      <c r="Q296" s="26">
        <f t="shared" si="40"/>
        <v>27000</v>
      </c>
      <c r="R296" s="26">
        <f t="shared" si="42"/>
        <v>0</v>
      </c>
      <c r="S296" s="26">
        <f t="shared" si="42"/>
        <v>27000</v>
      </c>
    </row>
    <row r="297" spans="2:19" x14ac:dyDescent="0.2">
      <c r="B297" s="75">
        <f t="shared" si="38"/>
        <v>53</v>
      </c>
      <c r="C297" s="4"/>
      <c r="D297" s="4"/>
      <c r="E297" s="4"/>
      <c r="F297" s="53" t="s">
        <v>151</v>
      </c>
      <c r="G297" s="4">
        <v>633</v>
      </c>
      <c r="H297" s="4" t="s">
        <v>133</v>
      </c>
      <c r="I297" s="26">
        <v>300</v>
      </c>
      <c r="J297" s="26"/>
      <c r="K297" s="26">
        <f t="shared" si="34"/>
        <v>300</v>
      </c>
      <c r="L297" s="76"/>
      <c r="M297" s="26"/>
      <c r="N297" s="26"/>
      <c r="O297" s="26">
        <f t="shared" si="35"/>
        <v>0</v>
      </c>
      <c r="P297" s="76"/>
      <c r="Q297" s="26">
        <f t="shared" si="40"/>
        <v>300</v>
      </c>
      <c r="R297" s="26">
        <f t="shared" si="42"/>
        <v>0</v>
      </c>
      <c r="S297" s="26">
        <f t="shared" si="42"/>
        <v>300</v>
      </c>
    </row>
    <row r="298" spans="2:19" x14ac:dyDescent="0.2">
      <c r="B298" s="75">
        <f t="shared" si="38"/>
        <v>54</v>
      </c>
      <c r="C298" s="4"/>
      <c r="D298" s="4"/>
      <c r="E298" s="4"/>
      <c r="F298" s="53" t="s">
        <v>151</v>
      </c>
      <c r="G298" s="4">
        <v>637</v>
      </c>
      <c r="H298" s="4" t="s">
        <v>130</v>
      </c>
      <c r="I298" s="26">
        <f>117630-300</f>
        <v>117330</v>
      </c>
      <c r="J298" s="26"/>
      <c r="K298" s="26">
        <f t="shared" si="34"/>
        <v>117330</v>
      </c>
      <c r="L298" s="76"/>
      <c r="M298" s="26"/>
      <c r="N298" s="26"/>
      <c r="O298" s="26">
        <f t="shared" si="35"/>
        <v>0</v>
      </c>
      <c r="P298" s="76"/>
      <c r="Q298" s="26">
        <f t="shared" si="40"/>
        <v>117330</v>
      </c>
      <c r="R298" s="26">
        <f t="shared" si="42"/>
        <v>0</v>
      </c>
      <c r="S298" s="26">
        <f t="shared" si="42"/>
        <v>117330</v>
      </c>
    </row>
    <row r="299" spans="2:19" x14ac:dyDescent="0.2">
      <c r="B299" s="75">
        <f t="shared" si="38"/>
        <v>55</v>
      </c>
      <c r="C299" s="4"/>
      <c r="D299" s="4"/>
      <c r="E299" s="4"/>
      <c r="F299" s="53" t="s">
        <v>151</v>
      </c>
      <c r="G299" s="4">
        <v>637</v>
      </c>
      <c r="H299" s="4" t="s">
        <v>529</v>
      </c>
      <c r="I299" s="26">
        <v>7135</v>
      </c>
      <c r="J299" s="26"/>
      <c r="K299" s="26">
        <f t="shared" si="34"/>
        <v>7135</v>
      </c>
      <c r="L299" s="76"/>
      <c r="M299" s="26"/>
      <c r="N299" s="26"/>
      <c r="O299" s="26">
        <f t="shared" si="35"/>
        <v>0</v>
      </c>
      <c r="P299" s="76"/>
      <c r="Q299" s="26">
        <f t="shared" si="40"/>
        <v>7135</v>
      </c>
      <c r="R299" s="26">
        <f t="shared" si="42"/>
        <v>0</v>
      </c>
      <c r="S299" s="26">
        <f t="shared" si="42"/>
        <v>7135</v>
      </c>
    </row>
    <row r="300" spans="2:19" x14ac:dyDescent="0.2">
      <c r="B300" s="75">
        <f t="shared" si="38"/>
        <v>56</v>
      </c>
      <c r="C300" s="15"/>
      <c r="D300" s="15"/>
      <c r="E300" s="15"/>
      <c r="F300" s="52" t="s">
        <v>151</v>
      </c>
      <c r="G300" s="15">
        <v>710</v>
      </c>
      <c r="H300" s="15" t="s">
        <v>185</v>
      </c>
      <c r="I300" s="49">
        <f>I304+I301</f>
        <v>0</v>
      </c>
      <c r="J300" s="49">
        <f>J304+J301</f>
        <v>0</v>
      </c>
      <c r="K300" s="49">
        <f t="shared" si="34"/>
        <v>0</v>
      </c>
      <c r="L300" s="123"/>
      <c r="M300" s="49">
        <f>M304+M301</f>
        <v>38212</v>
      </c>
      <c r="N300" s="49">
        <f>N304+N301</f>
        <v>0</v>
      </c>
      <c r="O300" s="49">
        <f t="shared" si="35"/>
        <v>38212</v>
      </c>
      <c r="P300" s="123"/>
      <c r="Q300" s="49">
        <f t="shared" si="40"/>
        <v>38212</v>
      </c>
      <c r="R300" s="49">
        <f t="shared" si="42"/>
        <v>0</v>
      </c>
      <c r="S300" s="49">
        <f t="shared" si="42"/>
        <v>38212</v>
      </c>
    </row>
    <row r="301" spans="2:19" x14ac:dyDescent="0.2">
      <c r="B301" s="75">
        <f t="shared" si="38"/>
        <v>57</v>
      </c>
      <c r="C301" s="4"/>
      <c r="D301" s="4"/>
      <c r="E301" s="4"/>
      <c r="F301" s="86" t="s">
        <v>151</v>
      </c>
      <c r="G301" s="87">
        <v>716</v>
      </c>
      <c r="H301" s="87" t="s">
        <v>0</v>
      </c>
      <c r="I301" s="88"/>
      <c r="J301" s="88"/>
      <c r="K301" s="88">
        <f t="shared" si="34"/>
        <v>0</v>
      </c>
      <c r="L301" s="76"/>
      <c r="M301" s="88">
        <f>SUM(M302:M303)</f>
        <v>4000</v>
      </c>
      <c r="N301" s="88">
        <f>SUM(N302:N303)</f>
        <v>-2250</v>
      </c>
      <c r="O301" s="88">
        <f t="shared" si="35"/>
        <v>1750</v>
      </c>
      <c r="P301" s="76"/>
      <c r="Q301" s="88">
        <f t="shared" si="40"/>
        <v>4000</v>
      </c>
      <c r="R301" s="88">
        <f t="shared" si="42"/>
        <v>-2250</v>
      </c>
      <c r="S301" s="88">
        <f t="shared" si="42"/>
        <v>1750</v>
      </c>
    </row>
    <row r="302" spans="2:19" ht="24" x14ac:dyDescent="0.2">
      <c r="B302" s="75">
        <f t="shared" si="38"/>
        <v>58</v>
      </c>
      <c r="C302" s="79"/>
      <c r="D302" s="79"/>
      <c r="E302" s="79"/>
      <c r="F302" s="80"/>
      <c r="G302" s="79"/>
      <c r="H302" s="81" t="s">
        <v>505</v>
      </c>
      <c r="I302" s="62"/>
      <c r="J302" s="62"/>
      <c r="K302" s="62">
        <f t="shared" si="34"/>
        <v>0</v>
      </c>
      <c r="L302" s="161"/>
      <c r="M302" s="62">
        <v>2250</v>
      </c>
      <c r="N302" s="62">
        <v>-2250</v>
      </c>
      <c r="O302" s="62">
        <f t="shared" si="35"/>
        <v>0</v>
      </c>
      <c r="P302" s="161"/>
      <c r="Q302" s="62">
        <f t="shared" si="40"/>
        <v>2250</v>
      </c>
      <c r="R302" s="62">
        <f t="shared" si="42"/>
        <v>-2250</v>
      </c>
      <c r="S302" s="62">
        <f t="shared" si="42"/>
        <v>0</v>
      </c>
    </row>
    <row r="303" spans="2:19" x14ac:dyDescent="0.2">
      <c r="B303" s="75">
        <f t="shared" si="38"/>
        <v>59</v>
      </c>
      <c r="C303" s="79"/>
      <c r="D303" s="79"/>
      <c r="E303" s="79"/>
      <c r="F303" s="80"/>
      <c r="G303" s="79"/>
      <c r="H303" s="81" t="s">
        <v>506</v>
      </c>
      <c r="I303" s="62"/>
      <c r="J303" s="62"/>
      <c r="K303" s="62">
        <f t="shared" si="34"/>
        <v>0</v>
      </c>
      <c r="L303" s="161"/>
      <c r="M303" s="62">
        <v>1750</v>
      </c>
      <c r="N303" s="62"/>
      <c r="O303" s="62">
        <f t="shared" si="35"/>
        <v>1750</v>
      </c>
      <c r="P303" s="161"/>
      <c r="Q303" s="62">
        <f t="shared" si="40"/>
        <v>1750</v>
      </c>
      <c r="R303" s="62">
        <f t="shared" si="42"/>
        <v>0</v>
      </c>
      <c r="S303" s="62">
        <f t="shared" si="42"/>
        <v>1750</v>
      </c>
    </row>
    <row r="304" spans="2:19" x14ac:dyDescent="0.2">
      <c r="B304" s="75">
        <f t="shared" si="38"/>
        <v>60</v>
      </c>
      <c r="C304" s="79"/>
      <c r="D304" s="79"/>
      <c r="E304" s="79"/>
      <c r="F304" s="112" t="s">
        <v>151</v>
      </c>
      <c r="G304" s="113">
        <v>717</v>
      </c>
      <c r="H304" s="113" t="s">
        <v>195</v>
      </c>
      <c r="I304" s="114"/>
      <c r="J304" s="114"/>
      <c r="K304" s="114">
        <f t="shared" si="34"/>
        <v>0</v>
      </c>
      <c r="L304" s="161"/>
      <c r="M304" s="114">
        <f>SUM(M305:M308)</f>
        <v>34212</v>
      </c>
      <c r="N304" s="114">
        <f>SUM(N305:N308)</f>
        <v>2250</v>
      </c>
      <c r="O304" s="114">
        <f t="shared" si="35"/>
        <v>36462</v>
      </c>
      <c r="P304" s="161"/>
      <c r="Q304" s="114">
        <f t="shared" si="40"/>
        <v>34212</v>
      </c>
      <c r="R304" s="114">
        <f t="shared" si="42"/>
        <v>2250</v>
      </c>
      <c r="S304" s="114">
        <f t="shared" si="42"/>
        <v>36462</v>
      </c>
    </row>
    <row r="305" spans="2:19" ht="24" x14ac:dyDescent="0.2">
      <c r="B305" s="75">
        <f t="shared" si="38"/>
        <v>61</v>
      </c>
      <c r="C305" s="79"/>
      <c r="D305" s="115"/>
      <c r="E305" s="79"/>
      <c r="F305" s="80"/>
      <c r="G305" s="79"/>
      <c r="H305" s="116" t="s">
        <v>452</v>
      </c>
      <c r="I305" s="62"/>
      <c r="J305" s="62"/>
      <c r="K305" s="62">
        <f t="shared" si="34"/>
        <v>0</v>
      </c>
      <c r="L305" s="161"/>
      <c r="M305" s="62">
        <v>19000</v>
      </c>
      <c r="N305" s="62"/>
      <c r="O305" s="62">
        <f t="shared" si="35"/>
        <v>19000</v>
      </c>
      <c r="P305" s="161"/>
      <c r="Q305" s="62">
        <f t="shared" si="40"/>
        <v>19000</v>
      </c>
      <c r="R305" s="62">
        <f t="shared" si="42"/>
        <v>0</v>
      </c>
      <c r="S305" s="62">
        <f t="shared" si="42"/>
        <v>19000</v>
      </c>
    </row>
    <row r="306" spans="2:19" x14ac:dyDescent="0.2">
      <c r="B306" s="75">
        <f t="shared" si="38"/>
        <v>62</v>
      </c>
      <c r="C306" s="79"/>
      <c r="D306" s="115"/>
      <c r="E306" s="79"/>
      <c r="F306" s="80"/>
      <c r="G306" s="79"/>
      <c r="H306" s="116" t="s">
        <v>453</v>
      </c>
      <c r="I306" s="62"/>
      <c r="J306" s="62"/>
      <c r="K306" s="62">
        <f t="shared" si="34"/>
        <v>0</v>
      </c>
      <c r="L306" s="161"/>
      <c r="M306" s="62">
        <v>3712</v>
      </c>
      <c r="N306" s="62"/>
      <c r="O306" s="62">
        <f t="shared" si="35"/>
        <v>3712</v>
      </c>
      <c r="P306" s="161"/>
      <c r="Q306" s="62">
        <f t="shared" si="40"/>
        <v>3712</v>
      </c>
      <c r="R306" s="62">
        <f t="shared" si="42"/>
        <v>0</v>
      </c>
      <c r="S306" s="62">
        <f t="shared" si="42"/>
        <v>3712</v>
      </c>
    </row>
    <row r="307" spans="2:19" ht="24" x14ac:dyDescent="0.2">
      <c r="B307" s="75">
        <f t="shared" si="38"/>
        <v>63</v>
      </c>
      <c r="C307" s="79"/>
      <c r="D307" s="115"/>
      <c r="E307" s="79"/>
      <c r="F307" s="80"/>
      <c r="G307" s="79"/>
      <c r="H307" s="138" t="s">
        <v>573</v>
      </c>
      <c r="I307" s="139"/>
      <c r="J307" s="139"/>
      <c r="K307" s="139">
        <f t="shared" si="34"/>
        <v>0</v>
      </c>
      <c r="L307" s="161"/>
      <c r="M307" s="139">
        <v>4000</v>
      </c>
      <c r="N307" s="139"/>
      <c r="O307" s="139">
        <f t="shared" si="35"/>
        <v>4000</v>
      </c>
      <c r="P307" s="161"/>
      <c r="Q307" s="139">
        <f t="shared" si="40"/>
        <v>4000</v>
      </c>
      <c r="R307" s="139">
        <f t="shared" si="42"/>
        <v>0</v>
      </c>
      <c r="S307" s="139">
        <f t="shared" si="42"/>
        <v>4000</v>
      </c>
    </row>
    <row r="308" spans="2:19" x14ac:dyDescent="0.2">
      <c r="B308" s="75">
        <f t="shared" si="38"/>
        <v>64</v>
      </c>
      <c r="C308" s="79"/>
      <c r="D308" s="115"/>
      <c r="E308" s="79"/>
      <c r="F308" s="80"/>
      <c r="G308" s="79"/>
      <c r="H308" s="116" t="s">
        <v>507</v>
      </c>
      <c r="I308" s="62"/>
      <c r="J308" s="62"/>
      <c r="K308" s="62">
        <f t="shared" si="34"/>
        <v>0</v>
      </c>
      <c r="L308" s="161"/>
      <c r="M308" s="62">
        <v>7500</v>
      </c>
      <c r="N308" s="62">
        <v>2250</v>
      </c>
      <c r="O308" s="62">
        <f t="shared" si="35"/>
        <v>9750</v>
      </c>
      <c r="P308" s="161"/>
      <c r="Q308" s="62">
        <f t="shared" si="40"/>
        <v>7500</v>
      </c>
      <c r="R308" s="62">
        <f t="shared" si="42"/>
        <v>2250</v>
      </c>
      <c r="S308" s="62">
        <f t="shared" si="42"/>
        <v>9750</v>
      </c>
    </row>
    <row r="309" spans="2:19" ht="15" x14ac:dyDescent="0.2">
      <c r="B309" s="75">
        <f t="shared" si="38"/>
        <v>65</v>
      </c>
      <c r="C309" s="164">
        <v>7</v>
      </c>
      <c r="D309" s="230" t="s">
        <v>283</v>
      </c>
      <c r="E309" s="228"/>
      <c r="F309" s="228"/>
      <c r="G309" s="228"/>
      <c r="H309" s="229"/>
      <c r="I309" s="45">
        <f>I310</f>
        <v>2870</v>
      </c>
      <c r="J309" s="45">
        <f>J310</f>
        <v>0</v>
      </c>
      <c r="K309" s="45">
        <f t="shared" ref="K309:K318" si="43">I309+J309</f>
        <v>2870</v>
      </c>
      <c r="L309" s="172"/>
      <c r="M309" s="45">
        <f>M310</f>
        <v>0</v>
      </c>
      <c r="N309" s="45">
        <f>N310</f>
        <v>0</v>
      </c>
      <c r="O309" s="45">
        <f t="shared" ref="O309:O318" si="44">M309+N309</f>
        <v>0</v>
      </c>
      <c r="P309" s="172"/>
      <c r="Q309" s="45">
        <f t="shared" ref="Q309:Q318" si="45">I309+M309</f>
        <v>2870</v>
      </c>
      <c r="R309" s="45">
        <f t="shared" ref="R309:S318" si="46">J309+N309</f>
        <v>0</v>
      </c>
      <c r="S309" s="45">
        <f t="shared" si="46"/>
        <v>2870</v>
      </c>
    </row>
    <row r="310" spans="2:19" ht="15" x14ac:dyDescent="0.25">
      <c r="B310" s="75">
        <f t="shared" ref="B310:B318" si="47">B309+1</f>
        <v>66</v>
      </c>
      <c r="C310" s="18"/>
      <c r="D310" s="18"/>
      <c r="E310" s="18">
        <v>2</v>
      </c>
      <c r="F310" s="50"/>
      <c r="G310" s="18"/>
      <c r="H310" s="18" t="s">
        <v>258</v>
      </c>
      <c r="I310" s="47">
        <f>I311+I312+I313</f>
        <v>2870</v>
      </c>
      <c r="J310" s="47">
        <f>J311+J312+J313</f>
        <v>0</v>
      </c>
      <c r="K310" s="47">
        <f t="shared" si="43"/>
        <v>2870</v>
      </c>
      <c r="L310" s="174"/>
      <c r="M310" s="47">
        <f>M311+M312+M313</f>
        <v>0</v>
      </c>
      <c r="N310" s="47">
        <f>N311+N312+N313</f>
        <v>0</v>
      </c>
      <c r="O310" s="47">
        <f t="shared" si="44"/>
        <v>0</v>
      </c>
      <c r="P310" s="174"/>
      <c r="Q310" s="47">
        <f t="shared" si="45"/>
        <v>2870</v>
      </c>
      <c r="R310" s="47">
        <f t="shared" si="46"/>
        <v>0</v>
      </c>
      <c r="S310" s="47">
        <f t="shared" si="46"/>
        <v>2870</v>
      </c>
    </row>
    <row r="311" spans="2:19" x14ac:dyDescent="0.2">
      <c r="B311" s="75">
        <f t="shared" si="47"/>
        <v>67</v>
      </c>
      <c r="C311" s="15"/>
      <c r="D311" s="15"/>
      <c r="E311" s="15"/>
      <c r="F311" s="52" t="s">
        <v>2</v>
      </c>
      <c r="G311" s="15">
        <v>610</v>
      </c>
      <c r="H311" s="15" t="s">
        <v>137</v>
      </c>
      <c r="I311" s="49">
        <v>700</v>
      </c>
      <c r="J311" s="49"/>
      <c r="K311" s="49">
        <f t="shared" si="43"/>
        <v>700</v>
      </c>
      <c r="L311" s="123"/>
      <c r="M311" s="49"/>
      <c r="N311" s="49"/>
      <c r="O311" s="49">
        <f t="shared" si="44"/>
        <v>0</v>
      </c>
      <c r="P311" s="123"/>
      <c r="Q311" s="49">
        <f t="shared" si="45"/>
        <v>700</v>
      </c>
      <c r="R311" s="49">
        <f t="shared" si="46"/>
        <v>0</v>
      </c>
      <c r="S311" s="49">
        <f t="shared" si="46"/>
        <v>700</v>
      </c>
    </row>
    <row r="312" spans="2:19" x14ac:dyDescent="0.2">
      <c r="B312" s="75">
        <f t="shared" si="47"/>
        <v>68</v>
      </c>
      <c r="C312" s="15"/>
      <c r="D312" s="15"/>
      <c r="E312" s="15"/>
      <c r="F312" s="52" t="s">
        <v>2</v>
      </c>
      <c r="G312" s="15">
        <v>620</v>
      </c>
      <c r="H312" s="15" t="s">
        <v>132</v>
      </c>
      <c r="I312" s="49">
        <v>240</v>
      </c>
      <c r="J312" s="49"/>
      <c r="K312" s="49">
        <f t="shared" si="43"/>
        <v>240</v>
      </c>
      <c r="L312" s="123"/>
      <c r="M312" s="49"/>
      <c r="N312" s="49"/>
      <c r="O312" s="49">
        <f t="shared" si="44"/>
        <v>0</v>
      </c>
      <c r="P312" s="123"/>
      <c r="Q312" s="49">
        <f t="shared" si="45"/>
        <v>240</v>
      </c>
      <c r="R312" s="49">
        <f t="shared" si="46"/>
        <v>0</v>
      </c>
      <c r="S312" s="49">
        <f t="shared" si="46"/>
        <v>240</v>
      </c>
    </row>
    <row r="313" spans="2:19" x14ac:dyDescent="0.2">
      <c r="B313" s="75">
        <f t="shared" si="47"/>
        <v>69</v>
      </c>
      <c r="C313" s="15"/>
      <c r="D313" s="15"/>
      <c r="E313" s="15"/>
      <c r="F313" s="52" t="s">
        <v>2</v>
      </c>
      <c r="G313" s="15">
        <v>630</v>
      </c>
      <c r="H313" s="15" t="s">
        <v>129</v>
      </c>
      <c r="I313" s="49">
        <f>I317+I316+I315+I314</f>
        <v>1930</v>
      </c>
      <c r="J313" s="49">
        <f>J317+J316+J315+J314</f>
        <v>0</v>
      </c>
      <c r="K313" s="49">
        <f t="shared" si="43"/>
        <v>1930</v>
      </c>
      <c r="L313" s="123"/>
      <c r="M313" s="49">
        <f>M317+M316+M315+M314</f>
        <v>0</v>
      </c>
      <c r="N313" s="49">
        <f>N317+N316+N315+N314</f>
        <v>0</v>
      </c>
      <c r="O313" s="49">
        <f t="shared" si="44"/>
        <v>0</v>
      </c>
      <c r="P313" s="123"/>
      <c r="Q313" s="49">
        <f t="shared" si="45"/>
        <v>1930</v>
      </c>
      <c r="R313" s="49">
        <f t="shared" si="46"/>
        <v>0</v>
      </c>
      <c r="S313" s="49">
        <f t="shared" si="46"/>
        <v>1930</v>
      </c>
    </row>
    <row r="314" spans="2:19" x14ac:dyDescent="0.2">
      <c r="B314" s="75">
        <f t="shared" si="47"/>
        <v>70</v>
      </c>
      <c r="C314" s="4"/>
      <c r="D314" s="4"/>
      <c r="E314" s="4"/>
      <c r="F314" s="53" t="s">
        <v>2</v>
      </c>
      <c r="G314" s="4">
        <v>633</v>
      </c>
      <c r="H314" s="4" t="s">
        <v>133</v>
      </c>
      <c r="I314" s="26">
        <v>800</v>
      </c>
      <c r="J314" s="26"/>
      <c r="K314" s="26">
        <f t="shared" si="43"/>
        <v>800</v>
      </c>
      <c r="L314" s="76"/>
      <c r="M314" s="26"/>
      <c r="N314" s="26"/>
      <c r="O314" s="26">
        <f t="shared" si="44"/>
        <v>0</v>
      </c>
      <c r="P314" s="76"/>
      <c r="Q314" s="26">
        <f t="shared" si="45"/>
        <v>800</v>
      </c>
      <c r="R314" s="26">
        <f t="shared" si="46"/>
        <v>0</v>
      </c>
      <c r="S314" s="26">
        <f t="shared" si="46"/>
        <v>800</v>
      </c>
    </row>
    <row r="315" spans="2:19" x14ac:dyDescent="0.2">
      <c r="B315" s="75">
        <f t="shared" si="47"/>
        <v>71</v>
      </c>
      <c r="C315" s="4"/>
      <c r="D315" s="4"/>
      <c r="E315" s="4"/>
      <c r="F315" s="53" t="s">
        <v>2</v>
      </c>
      <c r="G315" s="4">
        <v>634</v>
      </c>
      <c r="H315" s="4" t="s">
        <v>138</v>
      </c>
      <c r="I315" s="26">
        <v>450</v>
      </c>
      <c r="J315" s="26"/>
      <c r="K315" s="26">
        <f t="shared" si="43"/>
        <v>450</v>
      </c>
      <c r="L315" s="76"/>
      <c r="M315" s="26"/>
      <c r="N315" s="26"/>
      <c r="O315" s="26">
        <f t="shared" si="44"/>
        <v>0</v>
      </c>
      <c r="P315" s="76"/>
      <c r="Q315" s="26">
        <f t="shared" si="45"/>
        <v>450</v>
      </c>
      <c r="R315" s="26">
        <f t="shared" si="46"/>
        <v>0</v>
      </c>
      <c r="S315" s="26">
        <f t="shared" si="46"/>
        <v>450</v>
      </c>
    </row>
    <row r="316" spans="2:19" x14ac:dyDescent="0.2">
      <c r="B316" s="75">
        <f t="shared" si="47"/>
        <v>72</v>
      </c>
      <c r="C316" s="4"/>
      <c r="D316" s="4"/>
      <c r="E316" s="4"/>
      <c r="F316" s="53" t="s">
        <v>2</v>
      </c>
      <c r="G316" s="4">
        <v>635</v>
      </c>
      <c r="H316" s="4" t="s">
        <v>139</v>
      </c>
      <c r="I316" s="26">
        <v>350</v>
      </c>
      <c r="J316" s="26"/>
      <c r="K316" s="26">
        <f t="shared" si="43"/>
        <v>350</v>
      </c>
      <c r="L316" s="76"/>
      <c r="M316" s="26"/>
      <c r="N316" s="26"/>
      <c r="O316" s="26">
        <f t="shared" si="44"/>
        <v>0</v>
      </c>
      <c r="P316" s="76"/>
      <c r="Q316" s="26">
        <f t="shared" si="45"/>
        <v>350</v>
      </c>
      <c r="R316" s="26">
        <f t="shared" si="46"/>
        <v>0</v>
      </c>
      <c r="S316" s="26">
        <f t="shared" si="46"/>
        <v>350</v>
      </c>
    </row>
    <row r="317" spans="2:19" x14ac:dyDescent="0.2">
      <c r="B317" s="75">
        <f t="shared" si="47"/>
        <v>73</v>
      </c>
      <c r="C317" s="4"/>
      <c r="D317" s="4"/>
      <c r="E317" s="4"/>
      <c r="F317" s="53" t="s">
        <v>2</v>
      </c>
      <c r="G317" s="4">
        <v>637</v>
      </c>
      <c r="H317" s="4" t="s">
        <v>130</v>
      </c>
      <c r="I317" s="26">
        <v>330</v>
      </c>
      <c r="J317" s="26"/>
      <c r="K317" s="26">
        <f t="shared" si="43"/>
        <v>330</v>
      </c>
      <c r="L317" s="76"/>
      <c r="M317" s="26"/>
      <c r="N317" s="26"/>
      <c r="O317" s="26">
        <f t="shared" si="44"/>
        <v>0</v>
      </c>
      <c r="P317" s="76"/>
      <c r="Q317" s="26">
        <f t="shared" si="45"/>
        <v>330</v>
      </c>
      <c r="R317" s="26">
        <f t="shared" si="46"/>
        <v>0</v>
      </c>
      <c r="S317" s="26">
        <f t="shared" si="46"/>
        <v>330</v>
      </c>
    </row>
    <row r="318" spans="2:19" ht="15" x14ac:dyDescent="0.2">
      <c r="B318" s="75">
        <f t="shared" si="47"/>
        <v>74</v>
      </c>
      <c r="C318" s="164">
        <v>8</v>
      </c>
      <c r="D318" s="230" t="s">
        <v>362</v>
      </c>
      <c r="E318" s="228"/>
      <c r="F318" s="228"/>
      <c r="G318" s="228"/>
      <c r="H318" s="229"/>
      <c r="I318" s="45">
        <v>0</v>
      </c>
      <c r="J318" s="45">
        <v>0</v>
      </c>
      <c r="K318" s="45">
        <f t="shared" si="43"/>
        <v>0</v>
      </c>
      <c r="L318" s="172"/>
      <c r="M318" s="45">
        <v>0</v>
      </c>
      <c r="N318" s="45"/>
      <c r="O318" s="45">
        <f t="shared" si="44"/>
        <v>0</v>
      </c>
      <c r="P318" s="172"/>
      <c r="Q318" s="45">
        <f t="shared" si="45"/>
        <v>0</v>
      </c>
      <c r="R318" s="45">
        <f t="shared" si="46"/>
        <v>0</v>
      </c>
      <c r="S318" s="45">
        <f t="shared" si="46"/>
        <v>0</v>
      </c>
    </row>
    <row r="358" spans="2:19" ht="27" x14ac:dyDescent="0.35">
      <c r="B358" s="234" t="s">
        <v>303</v>
      </c>
      <c r="C358" s="235"/>
      <c r="D358" s="235"/>
      <c r="E358" s="235"/>
      <c r="F358" s="235"/>
      <c r="G358" s="235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</row>
    <row r="359" spans="2:19" x14ac:dyDescent="0.2">
      <c r="B359" s="236" t="s">
        <v>285</v>
      </c>
      <c r="C359" s="237"/>
      <c r="D359" s="237"/>
      <c r="E359" s="237"/>
      <c r="F359" s="237"/>
      <c r="G359" s="237"/>
      <c r="H359" s="237"/>
      <c r="I359" s="237"/>
      <c r="J359" s="237"/>
      <c r="K359" s="237"/>
      <c r="L359" s="237"/>
      <c r="M359" s="237"/>
      <c r="N359" s="182"/>
      <c r="O359" s="182"/>
      <c r="P359" s="183"/>
      <c r="Q359" s="222" t="s">
        <v>602</v>
      </c>
      <c r="R359" s="222" t="s">
        <v>657</v>
      </c>
      <c r="S359" s="222" t="s">
        <v>602</v>
      </c>
    </row>
    <row r="360" spans="2:19" x14ac:dyDescent="0.2">
      <c r="B360" s="238" t="s">
        <v>113</v>
      </c>
      <c r="C360" s="225" t="s">
        <v>121</v>
      </c>
      <c r="D360" s="225" t="s">
        <v>122</v>
      </c>
      <c r="E360" s="231" t="s">
        <v>126</v>
      </c>
      <c r="F360" s="225" t="s">
        <v>123</v>
      </c>
      <c r="G360" s="225" t="s">
        <v>124</v>
      </c>
      <c r="H360" s="240" t="s">
        <v>125</v>
      </c>
      <c r="I360" s="222" t="s">
        <v>599</v>
      </c>
      <c r="J360" s="222" t="s">
        <v>657</v>
      </c>
      <c r="K360" s="222" t="s">
        <v>659</v>
      </c>
      <c r="L360" s="168"/>
      <c r="M360" s="222" t="s">
        <v>600</v>
      </c>
      <c r="N360" s="222" t="s">
        <v>657</v>
      </c>
      <c r="O360" s="222" t="s">
        <v>660</v>
      </c>
      <c r="P360" s="169"/>
      <c r="Q360" s="223"/>
      <c r="R360" s="223"/>
      <c r="S360" s="223"/>
    </row>
    <row r="361" spans="2:19" x14ac:dyDescent="0.2">
      <c r="B361" s="238"/>
      <c r="C361" s="225"/>
      <c r="D361" s="225"/>
      <c r="E361" s="232"/>
      <c r="F361" s="225"/>
      <c r="G361" s="225"/>
      <c r="H361" s="240"/>
      <c r="I361" s="223"/>
      <c r="J361" s="223"/>
      <c r="K361" s="223"/>
      <c r="L361" s="169"/>
      <c r="M361" s="223"/>
      <c r="N361" s="223"/>
      <c r="O361" s="223"/>
      <c r="P361" s="169"/>
      <c r="Q361" s="223"/>
      <c r="R361" s="223"/>
      <c r="S361" s="223"/>
    </row>
    <row r="362" spans="2:19" x14ac:dyDescent="0.2">
      <c r="B362" s="238"/>
      <c r="C362" s="225"/>
      <c r="D362" s="225"/>
      <c r="E362" s="232"/>
      <c r="F362" s="225"/>
      <c r="G362" s="225"/>
      <c r="H362" s="240"/>
      <c r="I362" s="223"/>
      <c r="J362" s="223"/>
      <c r="K362" s="223"/>
      <c r="L362" s="169"/>
      <c r="M362" s="223"/>
      <c r="N362" s="223"/>
      <c r="O362" s="223"/>
      <c r="P362" s="169"/>
      <c r="Q362" s="223"/>
      <c r="R362" s="223"/>
      <c r="S362" s="223"/>
    </row>
    <row r="363" spans="2:19" ht="13.5" thickBot="1" x14ac:dyDescent="0.25">
      <c r="B363" s="239"/>
      <c r="C363" s="226"/>
      <c r="D363" s="226"/>
      <c r="E363" s="233"/>
      <c r="F363" s="226"/>
      <c r="G363" s="226"/>
      <c r="H363" s="241"/>
      <c r="I363" s="224"/>
      <c r="J363" s="224"/>
      <c r="K363" s="224"/>
      <c r="L363" s="170"/>
      <c r="M363" s="224"/>
      <c r="N363" s="224"/>
      <c r="O363" s="224"/>
      <c r="P363" s="170"/>
      <c r="Q363" s="224"/>
      <c r="R363" s="224"/>
      <c r="S363" s="224"/>
    </row>
    <row r="364" spans="2:19" ht="16.5" thickTop="1" x14ac:dyDescent="0.2">
      <c r="B364" s="74">
        <v>1</v>
      </c>
      <c r="C364" s="242" t="s">
        <v>303</v>
      </c>
      <c r="D364" s="243"/>
      <c r="E364" s="243"/>
      <c r="F364" s="243"/>
      <c r="G364" s="243"/>
      <c r="H364" s="244"/>
      <c r="I364" s="107">
        <f>I365+I383+I408+I416+I419</f>
        <v>1543800</v>
      </c>
      <c r="J364" s="107">
        <f>J365+J383+J408+J416+J419</f>
        <v>0</v>
      </c>
      <c r="K364" s="107">
        <f t="shared" ref="K364:K430" si="48">I364+J364</f>
        <v>1543800</v>
      </c>
      <c r="L364" s="171"/>
      <c r="M364" s="107">
        <f>M365+M383+M408+M416+M419</f>
        <v>172377</v>
      </c>
      <c r="N364" s="107">
        <f>N365+N383+N408+N416+N419</f>
        <v>0</v>
      </c>
      <c r="O364" s="107">
        <f t="shared" ref="O364:O430" si="49">M364+N364</f>
        <v>172377</v>
      </c>
      <c r="P364" s="171"/>
      <c r="Q364" s="44">
        <f t="shared" ref="Q364:Q397" si="50">M364+I364</f>
        <v>1716177</v>
      </c>
      <c r="R364" s="44">
        <f t="shared" ref="R364:S379" si="51">N364+J364</f>
        <v>0</v>
      </c>
      <c r="S364" s="44">
        <f t="shared" si="51"/>
        <v>1716177</v>
      </c>
    </row>
    <row r="365" spans="2:19" ht="15" x14ac:dyDescent="0.2">
      <c r="B365" s="75">
        <f t="shared" ref="B365:B431" si="52">B364+1</f>
        <v>2</v>
      </c>
      <c r="C365" s="164">
        <v>1</v>
      </c>
      <c r="D365" s="230" t="s">
        <v>158</v>
      </c>
      <c r="E365" s="228"/>
      <c r="F365" s="228"/>
      <c r="G365" s="228"/>
      <c r="H365" s="229"/>
      <c r="I365" s="45">
        <f>I366+I367+I368+I376+I377+I379</f>
        <v>1009700</v>
      </c>
      <c r="J365" s="45">
        <f>J366+J367+J368+J376+J377+J379</f>
        <v>0</v>
      </c>
      <c r="K365" s="45">
        <f t="shared" si="48"/>
        <v>1009700</v>
      </c>
      <c r="L365" s="172"/>
      <c r="M365" s="45">
        <f>M366+M367+M368+M376+M377+M379</f>
        <v>17300</v>
      </c>
      <c r="N365" s="45">
        <f>N366+N367+N368+N376+N377+N379</f>
        <v>0</v>
      </c>
      <c r="O365" s="45">
        <f t="shared" si="49"/>
        <v>17300</v>
      </c>
      <c r="P365" s="172"/>
      <c r="Q365" s="45">
        <f t="shared" si="50"/>
        <v>1027000</v>
      </c>
      <c r="R365" s="45">
        <f t="shared" si="51"/>
        <v>0</v>
      </c>
      <c r="S365" s="45">
        <f t="shared" si="51"/>
        <v>1027000</v>
      </c>
    </row>
    <row r="366" spans="2:19" x14ac:dyDescent="0.2">
      <c r="B366" s="75">
        <f t="shared" si="52"/>
        <v>3</v>
      </c>
      <c r="C366" s="15"/>
      <c r="D366" s="15"/>
      <c r="E366" s="15"/>
      <c r="F366" s="52" t="s">
        <v>157</v>
      </c>
      <c r="G366" s="15">
        <v>610</v>
      </c>
      <c r="H366" s="15" t="s">
        <v>137</v>
      </c>
      <c r="I366" s="49">
        <f>582000+29250-6000-3100+15000-5500</f>
        <v>611650</v>
      </c>
      <c r="J366" s="49"/>
      <c r="K366" s="49">
        <f t="shared" si="48"/>
        <v>611650</v>
      </c>
      <c r="L366" s="123"/>
      <c r="M366" s="49"/>
      <c r="N366" s="49"/>
      <c r="O366" s="49">
        <f t="shared" si="49"/>
        <v>0</v>
      </c>
      <c r="P366" s="123"/>
      <c r="Q366" s="49">
        <f t="shared" si="50"/>
        <v>611650</v>
      </c>
      <c r="R366" s="49">
        <f t="shared" si="51"/>
        <v>0</v>
      </c>
      <c r="S366" s="49">
        <f t="shared" si="51"/>
        <v>611650</v>
      </c>
    </row>
    <row r="367" spans="2:19" x14ac:dyDescent="0.2">
      <c r="B367" s="75">
        <f t="shared" si="52"/>
        <v>4</v>
      </c>
      <c r="C367" s="15"/>
      <c r="D367" s="15"/>
      <c r="E367" s="15"/>
      <c r="F367" s="52" t="s">
        <v>157</v>
      </c>
      <c r="G367" s="15">
        <v>620</v>
      </c>
      <c r="H367" s="15" t="s">
        <v>132</v>
      </c>
      <c r="I367" s="49">
        <f>210000+15750+4300</f>
        <v>230050</v>
      </c>
      <c r="J367" s="49"/>
      <c r="K367" s="49">
        <f t="shared" si="48"/>
        <v>230050</v>
      </c>
      <c r="L367" s="123"/>
      <c r="M367" s="49"/>
      <c r="N367" s="49"/>
      <c r="O367" s="49">
        <f t="shared" si="49"/>
        <v>0</v>
      </c>
      <c r="P367" s="123"/>
      <c r="Q367" s="49">
        <f t="shared" si="50"/>
        <v>230050</v>
      </c>
      <c r="R367" s="49">
        <f t="shared" si="51"/>
        <v>0</v>
      </c>
      <c r="S367" s="49">
        <f t="shared" si="51"/>
        <v>230050</v>
      </c>
    </row>
    <row r="368" spans="2:19" x14ac:dyDescent="0.2">
      <c r="B368" s="75">
        <f t="shared" si="52"/>
        <v>5</v>
      </c>
      <c r="C368" s="15"/>
      <c r="D368" s="15"/>
      <c r="E368" s="15"/>
      <c r="F368" s="52" t="s">
        <v>157</v>
      </c>
      <c r="G368" s="15">
        <v>630</v>
      </c>
      <c r="H368" s="15" t="s">
        <v>129</v>
      </c>
      <c r="I368" s="49">
        <f>I375+I374+I373+I372+I371+I370+I369</f>
        <v>161830</v>
      </c>
      <c r="J368" s="49">
        <f>J375+J374+J373+J372+J371+J370+J369</f>
        <v>0</v>
      </c>
      <c r="K368" s="49">
        <f t="shared" si="48"/>
        <v>161830</v>
      </c>
      <c r="L368" s="123"/>
      <c r="M368" s="49">
        <f>M375+M374+M373+M372+M371+M370+M369</f>
        <v>0</v>
      </c>
      <c r="N368" s="49">
        <f>N375+N374+N373+N372+N371+N370+N369</f>
        <v>0</v>
      </c>
      <c r="O368" s="49">
        <f t="shared" si="49"/>
        <v>0</v>
      </c>
      <c r="P368" s="123"/>
      <c r="Q368" s="49">
        <f t="shared" si="50"/>
        <v>161830</v>
      </c>
      <c r="R368" s="49">
        <f t="shared" si="51"/>
        <v>0</v>
      </c>
      <c r="S368" s="49">
        <f t="shared" si="51"/>
        <v>161830</v>
      </c>
    </row>
    <row r="369" spans="2:19" x14ac:dyDescent="0.2">
      <c r="B369" s="75">
        <f t="shared" si="52"/>
        <v>6</v>
      </c>
      <c r="C369" s="4"/>
      <c r="D369" s="4"/>
      <c r="E369" s="4"/>
      <c r="F369" s="53" t="s">
        <v>157</v>
      </c>
      <c r="G369" s="4">
        <v>631</v>
      </c>
      <c r="H369" s="4" t="s">
        <v>135</v>
      </c>
      <c r="I369" s="26">
        <f>2370+6000+2800</f>
        <v>11170</v>
      </c>
      <c r="J369" s="26"/>
      <c r="K369" s="26">
        <f t="shared" si="48"/>
        <v>11170</v>
      </c>
      <c r="L369" s="76"/>
      <c r="M369" s="26"/>
      <c r="N369" s="26"/>
      <c r="O369" s="26">
        <f t="shared" si="49"/>
        <v>0</v>
      </c>
      <c r="P369" s="76"/>
      <c r="Q369" s="26">
        <f t="shared" si="50"/>
        <v>11170</v>
      </c>
      <c r="R369" s="26">
        <f t="shared" si="51"/>
        <v>0</v>
      </c>
      <c r="S369" s="26">
        <f t="shared" si="51"/>
        <v>11170</v>
      </c>
    </row>
    <row r="370" spans="2:19" x14ac:dyDescent="0.2">
      <c r="B370" s="75">
        <f t="shared" si="52"/>
        <v>7</v>
      </c>
      <c r="C370" s="4"/>
      <c r="D370" s="4"/>
      <c r="E370" s="4"/>
      <c r="F370" s="53" t="s">
        <v>157</v>
      </c>
      <c r="G370" s="4">
        <v>632</v>
      </c>
      <c r="H370" s="4" t="s">
        <v>140</v>
      </c>
      <c r="I370" s="26">
        <v>25000</v>
      </c>
      <c r="J370" s="26"/>
      <c r="K370" s="26">
        <f t="shared" si="48"/>
        <v>25000</v>
      </c>
      <c r="L370" s="76"/>
      <c r="M370" s="26"/>
      <c r="N370" s="26"/>
      <c r="O370" s="26">
        <f t="shared" si="49"/>
        <v>0</v>
      </c>
      <c r="P370" s="76"/>
      <c r="Q370" s="26">
        <f t="shared" si="50"/>
        <v>25000</v>
      </c>
      <c r="R370" s="26">
        <f t="shared" si="51"/>
        <v>0</v>
      </c>
      <c r="S370" s="26">
        <f t="shared" si="51"/>
        <v>25000</v>
      </c>
    </row>
    <row r="371" spans="2:19" x14ac:dyDescent="0.2">
      <c r="B371" s="75">
        <f t="shared" si="52"/>
        <v>8</v>
      </c>
      <c r="C371" s="4"/>
      <c r="D371" s="4"/>
      <c r="E371" s="4"/>
      <c r="F371" s="53" t="s">
        <v>157</v>
      </c>
      <c r="G371" s="4">
        <v>633</v>
      </c>
      <c r="H371" s="4" t="s">
        <v>133</v>
      </c>
      <c r="I371" s="26">
        <f>40000-1700+5400</f>
        <v>43700</v>
      </c>
      <c r="J371" s="26"/>
      <c r="K371" s="26">
        <f t="shared" si="48"/>
        <v>43700</v>
      </c>
      <c r="L371" s="76"/>
      <c r="M371" s="26"/>
      <c r="N371" s="26"/>
      <c r="O371" s="26">
        <f t="shared" si="49"/>
        <v>0</v>
      </c>
      <c r="P371" s="76"/>
      <c r="Q371" s="26">
        <f t="shared" si="50"/>
        <v>43700</v>
      </c>
      <c r="R371" s="26">
        <f t="shared" si="51"/>
        <v>0</v>
      </c>
      <c r="S371" s="26">
        <f t="shared" si="51"/>
        <v>43700</v>
      </c>
    </row>
    <row r="372" spans="2:19" x14ac:dyDescent="0.2">
      <c r="B372" s="75">
        <f t="shared" si="52"/>
        <v>9</v>
      </c>
      <c r="C372" s="4"/>
      <c r="D372" s="4"/>
      <c r="E372" s="4"/>
      <c r="F372" s="53" t="s">
        <v>157</v>
      </c>
      <c r="G372" s="4">
        <v>634</v>
      </c>
      <c r="H372" s="4" t="s">
        <v>138</v>
      </c>
      <c r="I372" s="26">
        <v>31980</v>
      </c>
      <c r="J372" s="26"/>
      <c r="K372" s="26">
        <f t="shared" si="48"/>
        <v>31980</v>
      </c>
      <c r="L372" s="76"/>
      <c r="M372" s="26"/>
      <c r="N372" s="26"/>
      <c r="O372" s="26">
        <f t="shared" si="49"/>
        <v>0</v>
      </c>
      <c r="P372" s="76"/>
      <c r="Q372" s="26">
        <f t="shared" si="50"/>
        <v>31980</v>
      </c>
      <c r="R372" s="26">
        <f t="shared" si="51"/>
        <v>0</v>
      </c>
      <c r="S372" s="26">
        <f t="shared" si="51"/>
        <v>31980</v>
      </c>
    </row>
    <row r="373" spans="2:19" x14ac:dyDescent="0.2">
      <c r="B373" s="75">
        <f t="shared" si="52"/>
        <v>10</v>
      </c>
      <c r="C373" s="4"/>
      <c r="D373" s="4"/>
      <c r="E373" s="4"/>
      <c r="F373" s="53" t="s">
        <v>157</v>
      </c>
      <c r="G373" s="4">
        <v>635</v>
      </c>
      <c r="H373" s="4" t="s">
        <v>139</v>
      </c>
      <c r="I373" s="26">
        <v>1800</v>
      </c>
      <c r="J373" s="26"/>
      <c r="K373" s="26">
        <f t="shared" si="48"/>
        <v>1800</v>
      </c>
      <c r="L373" s="76"/>
      <c r="M373" s="26"/>
      <c r="N373" s="26"/>
      <c r="O373" s="26">
        <f t="shared" si="49"/>
        <v>0</v>
      </c>
      <c r="P373" s="76"/>
      <c r="Q373" s="26">
        <f t="shared" si="50"/>
        <v>1800</v>
      </c>
      <c r="R373" s="26">
        <f t="shared" si="51"/>
        <v>0</v>
      </c>
      <c r="S373" s="26">
        <f t="shared" si="51"/>
        <v>1800</v>
      </c>
    </row>
    <row r="374" spans="2:19" x14ac:dyDescent="0.2">
      <c r="B374" s="75">
        <f t="shared" si="52"/>
        <v>11</v>
      </c>
      <c r="C374" s="4"/>
      <c r="D374" s="4"/>
      <c r="E374" s="4"/>
      <c r="F374" s="53" t="s">
        <v>157</v>
      </c>
      <c r="G374" s="4">
        <v>636</v>
      </c>
      <c r="H374" s="4" t="s">
        <v>134</v>
      </c>
      <c r="I374" s="26">
        <v>800</v>
      </c>
      <c r="J374" s="26"/>
      <c r="K374" s="26">
        <f t="shared" si="48"/>
        <v>800</v>
      </c>
      <c r="L374" s="76"/>
      <c r="M374" s="26"/>
      <c r="N374" s="26"/>
      <c r="O374" s="26">
        <f t="shared" si="49"/>
        <v>0</v>
      </c>
      <c r="P374" s="76"/>
      <c r="Q374" s="26">
        <f t="shared" si="50"/>
        <v>800</v>
      </c>
      <c r="R374" s="26">
        <f t="shared" si="51"/>
        <v>0</v>
      </c>
      <c r="S374" s="26">
        <f t="shared" si="51"/>
        <v>800</v>
      </c>
    </row>
    <row r="375" spans="2:19" x14ac:dyDescent="0.2">
      <c r="B375" s="75">
        <f t="shared" si="52"/>
        <v>12</v>
      </c>
      <c r="C375" s="4"/>
      <c r="D375" s="4"/>
      <c r="E375" s="4"/>
      <c r="F375" s="53" t="s">
        <v>157</v>
      </c>
      <c r="G375" s="4">
        <v>637</v>
      </c>
      <c r="H375" s="4" t="s">
        <v>130</v>
      </c>
      <c r="I375" s="26">
        <f>44880+2500</f>
        <v>47380</v>
      </c>
      <c r="J375" s="26"/>
      <c r="K375" s="26">
        <f t="shared" si="48"/>
        <v>47380</v>
      </c>
      <c r="L375" s="76"/>
      <c r="M375" s="26"/>
      <c r="N375" s="26"/>
      <c r="O375" s="26">
        <f t="shared" si="49"/>
        <v>0</v>
      </c>
      <c r="P375" s="76"/>
      <c r="Q375" s="26">
        <f t="shared" si="50"/>
        <v>47380</v>
      </c>
      <c r="R375" s="26">
        <f t="shared" si="51"/>
        <v>0</v>
      </c>
      <c r="S375" s="26">
        <f t="shared" si="51"/>
        <v>47380</v>
      </c>
    </row>
    <row r="376" spans="2:19" x14ac:dyDescent="0.2">
      <c r="B376" s="75">
        <f t="shared" si="52"/>
        <v>13</v>
      </c>
      <c r="C376" s="15"/>
      <c r="D376" s="15"/>
      <c r="E376" s="15"/>
      <c r="F376" s="52" t="s">
        <v>157</v>
      </c>
      <c r="G376" s="15">
        <v>640</v>
      </c>
      <c r="H376" s="15" t="s">
        <v>136</v>
      </c>
      <c r="I376" s="49">
        <f>170+5500</f>
        <v>5670</v>
      </c>
      <c r="J376" s="49"/>
      <c r="K376" s="49">
        <f t="shared" si="48"/>
        <v>5670</v>
      </c>
      <c r="L376" s="123"/>
      <c r="M376" s="49"/>
      <c r="N376" s="49"/>
      <c r="O376" s="49">
        <f t="shared" si="49"/>
        <v>0</v>
      </c>
      <c r="P376" s="123"/>
      <c r="Q376" s="49">
        <f t="shared" si="50"/>
        <v>5670</v>
      </c>
      <c r="R376" s="49">
        <f t="shared" si="51"/>
        <v>0</v>
      </c>
      <c r="S376" s="49">
        <f t="shared" si="51"/>
        <v>5670</v>
      </c>
    </row>
    <row r="377" spans="2:19" x14ac:dyDescent="0.2">
      <c r="B377" s="75">
        <f t="shared" si="52"/>
        <v>14</v>
      </c>
      <c r="C377" s="15"/>
      <c r="D377" s="15"/>
      <c r="E377" s="15"/>
      <c r="F377" s="52" t="s">
        <v>165</v>
      </c>
      <c r="G377" s="15">
        <v>630</v>
      </c>
      <c r="H377" s="15" t="s">
        <v>129</v>
      </c>
      <c r="I377" s="49">
        <f>I378</f>
        <v>500</v>
      </c>
      <c r="J377" s="49">
        <f>J378</f>
        <v>0</v>
      </c>
      <c r="K377" s="49">
        <f t="shared" si="48"/>
        <v>500</v>
      </c>
      <c r="L377" s="123"/>
      <c r="M377" s="49">
        <f>M378</f>
        <v>0</v>
      </c>
      <c r="N377" s="49">
        <f>N378</f>
        <v>0</v>
      </c>
      <c r="O377" s="49">
        <f t="shared" si="49"/>
        <v>0</v>
      </c>
      <c r="P377" s="123"/>
      <c r="Q377" s="49">
        <f t="shared" si="50"/>
        <v>500</v>
      </c>
      <c r="R377" s="49">
        <f t="shared" si="51"/>
        <v>0</v>
      </c>
      <c r="S377" s="49">
        <f t="shared" si="51"/>
        <v>500</v>
      </c>
    </row>
    <row r="378" spans="2:19" x14ac:dyDescent="0.2">
      <c r="B378" s="75">
        <f t="shared" si="52"/>
        <v>15</v>
      </c>
      <c r="C378" s="4"/>
      <c r="D378" s="4"/>
      <c r="E378" s="4"/>
      <c r="F378" s="53" t="s">
        <v>165</v>
      </c>
      <c r="G378" s="4">
        <v>637</v>
      </c>
      <c r="H378" s="4" t="s">
        <v>130</v>
      </c>
      <c r="I378" s="26">
        <v>500</v>
      </c>
      <c r="J378" s="26"/>
      <c r="K378" s="26">
        <f t="shared" si="48"/>
        <v>500</v>
      </c>
      <c r="L378" s="76"/>
      <c r="M378" s="26"/>
      <c r="N378" s="26"/>
      <c r="O378" s="26">
        <f t="shared" si="49"/>
        <v>0</v>
      </c>
      <c r="P378" s="76"/>
      <c r="Q378" s="26">
        <f t="shared" si="50"/>
        <v>500</v>
      </c>
      <c r="R378" s="26">
        <f t="shared" si="51"/>
        <v>0</v>
      </c>
      <c r="S378" s="26">
        <f t="shared" si="51"/>
        <v>500</v>
      </c>
    </row>
    <row r="379" spans="2:19" x14ac:dyDescent="0.2">
      <c r="B379" s="75">
        <f t="shared" si="52"/>
        <v>16</v>
      </c>
      <c r="C379" s="15"/>
      <c r="D379" s="15"/>
      <c r="E379" s="15"/>
      <c r="F379" s="52" t="s">
        <v>157</v>
      </c>
      <c r="G379" s="15">
        <v>710</v>
      </c>
      <c r="H379" s="15" t="s">
        <v>185</v>
      </c>
      <c r="I379" s="49">
        <f>I382+I380</f>
        <v>0</v>
      </c>
      <c r="J379" s="49">
        <f>J382+J380</f>
        <v>0</v>
      </c>
      <c r="K379" s="49">
        <f t="shared" si="48"/>
        <v>0</v>
      </c>
      <c r="L379" s="123"/>
      <c r="M379" s="49">
        <f>M382+M380</f>
        <v>17300</v>
      </c>
      <c r="N379" s="49">
        <f>N382+N380</f>
        <v>0</v>
      </c>
      <c r="O379" s="49">
        <f t="shared" si="49"/>
        <v>17300</v>
      </c>
      <c r="P379" s="123"/>
      <c r="Q379" s="49">
        <f t="shared" si="50"/>
        <v>17300</v>
      </c>
      <c r="R379" s="49">
        <f t="shared" si="51"/>
        <v>0</v>
      </c>
      <c r="S379" s="49">
        <f t="shared" si="51"/>
        <v>17300</v>
      </c>
    </row>
    <row r="380" spans="2:19" x14ac:dyDescent="0.2">
      <c r="B380" s="75">
        <f t="shared" si="52"/>
        <v>17</v>
      </c>
      <c r="C380" s="4"/>
      <c r="D380" s="4"/>
      <c r="E380" s="4"/>
      <c r="F380" s="86" t="s">
        <v>157</v>
      </c>
      <c r="G380" s="87">
        <v>713</v>
      </c>
      <c r="H380" s="87" t="s">
        <v>4</v>
      </c>
      <c r="I380" s="88"/>
      <c r="J380" s="88"/>
      <c r="K380" s="88">
        <f t="shared" si="48"/>
        <v>0</v>
      </c>
      <c r="L380" s="76"/>
      <c r="M380" s="88">
        <f>M381</f>
        <v>4800</v>
      </c>
      <c r="N380" s="88">
        <f>N381</f>
        <v>0</v>
      </c>
      <c r="O380" s="88">
        <f t="shared" si="49"/>
        <v>4800</v>
      </c>
      <c r="P380" s="76"/>
      <c r="Q380" s="88">
        <f t="shared" si="50"/>
        <v>4800</v>
      </c>
      <c r="R380" s="88">
        <f t="shared" ref="R380:S397" si="53">N380+J380</f>
        <v>0</v>
      </c>
      <c r="S380" s="88">
        <f t="shared" si="53"/>
        <v>4800</v>
      </c>
    </row>
    <row r="381" spans="2:19" x14ac:dyDescent="0.2">
      <c r="B381" s="75">
        <f t="shared" si="52"/>
        <v>18</v>
      </c>
      <c r="C381" s="4"/>
      <c r="D381" s="4"/>
      <c r="E381" s="4"/>
      <c r="F381" s="53"/>
      <c r="G381" s="4"/>
      <c r="H381" s="4" t="s">
        <v>379</v>
      </c>
      <c r="I381" s="26"/>
      <c r="J381" s="26"/>
      <c r="K381" s="26">
        <f t="shared" si="48"/>
        <v>0</v>
      </c>
      <c r="L381" s="76"/>
      <c r="M381" s="26">
        <f>1700+3100</f>
        <v>4800</v>
      </c>
      <c r="N381" s="26"/>
      <c r="O381" s="26">
        <f t="shared" si="49"/>
        <v>4800</v>
      </c>
      <c r="P381" s="76"/>
      <c r="Q381" s="26">
        <f t="shared" si="50"/>
        <v>4800</v>
      </c>
      <c r="R381" s="26">
        <f t="shared" si="53"/>
        <v>0</v>
      </c>
      <c r="S381" s="26">
        <f t="shared" si="53"/>
        <v>4800</v>
      </c>
    </row>
    <row r="382" spans="2:19" x14ac:dyDescent="0.2">
      <c r="B382" s="75">
        <f t="shared" si="52"/>
        <v>19</v>
      </c>
      <c r="C382" s="4"/>
      <c r="D382" s="4"/>
      <c r="E382" s="4"/>
      <c r="F382" s="86" t="s">
        <v>157</v>
      </c>
      <c r="G382" s="87">
        <v>714</v>
      </c>
      <c r="H382" s="87" t="s">
        <v>186</v>
      </c>
      <c r="I382" s="88"/>
      <c r="J382" s="88"/>
      <c r="K382" s="88">
        <f t="shared" si="48"/>
        <v>0</v>
      </c>
      <c r="L382" s="76"/>
      <c r="M382" s="88">
        <v>12500</v>
      </c>
      <c r="N382" s="88"/>
      <c r="O382" s="88">
        <f t="shared" si="49"/>
        <v>12500</v>
      </c>
      <c r="P382" s="76"/>
      <c r="Q382" s="88">
        <f t="shared" si="50"/>
        <v>12500</v>
      </c>
      <c r="R382" s="88">
        <f t="shared" si="53"/>
        <v>0</v>
      </c>
      <c r="S382" s="88">
        <f t="shared" si="53"/>
        <v>12500</v>
      </c>
    </row>
    <row r="383" spans="2:19" ht="15" x14ac:dyDescent="0.2">
      <c r="B383" s="75">
        <f t="shared" si="52"/>
        <v>20</v>
      </c>
      <c r="C383" s="164">
        <v>2</v>
      </c>
      <c r="D383" s="230" t="s">
        <v>220</v>
      </c>
      <c r="E383" s="228"/>
      <c r="F383" s="228"/>
      <c r="G383" s="228"/>
      <c r="H383" s="229"/>
      <c r="I383" s="45">
        <f>I384+I386+I396</f>
        <v>497200</v>
      </c>
      <c r="J383" s="45">
        <f>J384+J386+J396</f>
        <v>0</v>
      </c>
      <c r="K383" s="45">
        <f t="shared" si="48"/>
        <v>497200</v>
      </c>
      <c r="L383" s="172"/>
      <c r="M383" s="45">
        <f>M384+M386+M396</f>
        <v>137000</v>
      </c>
      <c r="N383" s="45">
        <f>N384+N386+N396</f>
        <v>0</v>
      </c>
      <c r="O383" s="45">
        <f t="shared" si="49"/>
        <v>137000</v>
      </c>
      <c r="P383" s="172"/>
      <c r="Q383" s="45">
        <f t="shared" si="50"/>
        <v>634200</v>
      </c>
      <c r="R383" s="45">
        <f t="shared" si="53"/>
        <v>0</v>
      </c>
      <c r="S383" s="45">
        <f t="shared" si="53"/>
        <v>634200</v>
      </c>
    </row>
    <row r="384" spans="2:19" x14ac:dyDescent="0.2">
      <c r="B384" s="75">
        <f t="shared" si="52"/>
        <v>21</v>
      </c>
      <c r="C384" s="15"/>
      <c r="D384" s="15"/>
      <c r="E384" s="15"/>
      <c r="F384" s="52" t="s">
        <v>219</v>
      </c>
      <c r="G384" s="15">
        <v>630</v>
      </c>
      <c r="H384" s="15" t="s">
        <v>129</v>
      </c>
      <c r="I384" s="49">
        <f>I385</f>
        <v>400000</v>
      </c>
      <c r="J384" s="49">
        <f>J385</f>
        <v>0</v>
      </c>
      <c r="K384" s="49">
        <f t="shared" si="48"/>
        <v>400000</v>
      </c>
      <c r="L384" s="123"/>
      <c r="M384" s="49">
        <v>0</v>
      </c>
      <c r="N384" s="49"/>
      <c r="O384" s="49">
        <f t="shared" si="49"/>
        <v>0</v>
      </c>
      <c r="P384" s="123"/>
      <c r="Q384" s="49">
        <f t="shared" si="50"/>
        <v>400000</v>
      </c>
      <c r="R384" s="49">
        <f t="shared" si="53"/>
        <v>0</v>
      </c>
      <c r="S384" s="49">
        <f t="shared" si="53"/>
        <v>400000</v>
      </c>
    </row>
    <row r="385" spans="1:19" s="71" customFormat="1" x14ac:dyDescent="0.2">
      <c r="A385" s="67"/>
      <c r="B385" s="75">
        <f t="shared" si="52"/>
        <v>22</v>
      </c>
      <c r="C385" s="4"/>
      <c r="D385" s="4"/>
      <c r="E385" s="4"/>
      <c r="F385" s="53" t="s">
        <v>219</v>
      </c>
      <c r="G385" s="4">
        <v>632</v>
      </c>
      <c r="H385" s="4" t="s">
        <v>140</v>
      </c>
      <c r="I385" s="26">
        <v>400000</v>
      </c>
      <c r="J385" s="26"/>
      <c r="K385" s="26">
        <f t="shared" si="48"/>
        <v>400000</v>
      </c>
      <c r="L385" s="76"/>
      <c r="M385" s="26"/>
      <c r="N385" s="26"/>
      <c r="O385" s="26">
        <f t="shared" si="49"/>
        <v>0</v>
      </c>
      <c r="P385" s="76"/>
      <c r="Q385" s="26">
        <f t="shared" si="50"/>
        <v>400000</v>
      </c>
      <c r="R385" s="26">
        <f t="shared" si="53"/>
        <v>0</v>
      </c>
      <c r="S385" s="26">
        <f t="shared" si="53"/>
        <v>400000</v>
      </c>
    </row>
    <row r="386" spans="1:19" s="71" customFormat="1" x14ac:dyDescent="0.2">
      <c r="A386" s="67"/>
      <c r="B386" s="75">
        <f t="shared" si="52"/>
        <v>23</v>
      </c>
      <c r="C386" s="15"/>
      <c r="D386" s="15"/>
      <c r="E386" s="15"/>
      <c r="F386" s="52" t="s">
        <v>219</v>
      </c>
      <c r="G386" s="15">
        <v>710</v>
      </c>
      <c r="H386" s="15" t="s">
        <v>185</v>
      </c>
      <c r="I386" s="49">
        <f>I389</f>
        <v>0</v>
      </c>
      <c r="J386" s="49">
        <f>J389</f>
        <v>0</v>
      </c>
      <c r="K386" s="49">
        <f t="shared" si="48"/>
        <v>0</v>
      </c>
      <c r="L386" s="123"/>
      <c r="M386" s="49">
        <f>M389</f>
        <v>131000</v>
      </c>
      <c r="N386" s="49">
        <f>N387+N389</f>
        <v>0</v>
      </c>
      <c r="O386" s="49">
        <f t="shared" si="49"/>
        <v>131000</v>
      </c>
      <c r="P386" s="123"/>
      <c r="Q386" s="49">
        <f t="shared" si="50"/>
        <v>131000</v>
      </c>
      <c r="R386" s="49">
        <f t="shared" si="53"/>
        <v>0</v>
      </c>
      <c r="S386" s="49">
        <f t="shared" si="53"/>
        <v>131000</v>
      </c>
    </row>
    <row r="387" spans="1:19" s="71" customFormat="1" x14ac:dyDescent="0.2">
      <c r="A387" s="67"/>
      <c r="B387" s="75">
        <f t="shared" si="52"/>
        <v>24</v>
      </c>
      <c r="C387" s="15"/>
      <c r="D387" s="15"/>
      <c r="E387" s="15"/>
      <c r="F387" s="86" t="s">
        <v>219</v>
      </c>
      <c r="G387" s="87">
        <v>716</v>
      </c>
      <c r="H387" s="87" t="s">
        <v>0</v>
      </c>
      <c r="I387" s="88"/>
      <c r="J387" s="88"/>
      <c r="K387" s="88">
        <f t="shared" ref="K387" si="54">I387+J387</f>
        <v>0</v>
      </c>
      <c r="L387" s="76"/>
      <c r="M387" s="88">
        <f>SUM(M388:M392)</f>
        <v>240500</v>
      </c>
      <c r="N387" s="88">
        <f>N388</f>
        <v>2000</v>
      </c>
      <c r="O387" s="88">
        <f t="shared" ref="O387" si="55">M387+N387</f>
        <v>242500</v>
      </c>
      <c r="P387" s="76"/>
      <c r="Q387" s="88">
        <f t="shared" ref="Q387" si="56">M387+I387</f>
        <v>240500</v>
      </c>
      <c r="R387" s="88">
        <f t="shared" ref="R387" si="57">N387+J387</f>
        <v>2000</v>
      </c>
      <c r="S387" s="88">
        <f t="shared" ref="S387" si="58">O387+K387</f>
        <v>242500</v>
      </c>
    </row>
    <row r="388" spans="1:19" s="71" customFormat="1" x14ac:dyDescent="0.2">
      <c r="A388" s="67"/>
      <c r="B388" s="75">
        <f t="shared" si="52"/>
        <v>25</v>
      </c>
      <c r="C388" s="15"/>
      <c r="D388" s="15"/>
      <c r="E388" s="15"/>
      <c r="F388" s="52"/>
      <c r="G388" s="15"/>
      <c r="H388" s="60" t="s">
        <v>679</v>
      </c>
      <c r="I388" s="58"/>
      <c r="J388" s="58"/>
      <c r="K388" s="58"/>
      <c r="L388" s="76"/>
      <c r="M388" s="58">
        <v>0</v>
      </c>
      <c r="N388" s="58">
        <v>2000</v>
      </c>
      <c r="O388" s="58">
        <f>N388+M388</f>
        <v>2000</v>
      </c>
      <c r="P388" s="76"/>
      <c r="Q388" s="58">
        <f>M388</f>
        <v>0</v>
      </c>
      <c r="R388" s="58">
        <f>N388</f>
        <v>2000</v>
      </c>
      <c r="S388" s="58">
        <f>R388+Q388</f>
        <v>2000</v>
      </c>
    </row>
    <row r="389" spans="1:19" s="71" customFormat="1" x14ac:dyDescent="0.2">
      <c r="A389" s="67"/>
      <c r="B389" s="75">
        <f t="shared" si="52"/>
        <v>26</v>
      </c>
      <c r="C389" s="4"/>
      <c r="D389" s="4"/>
      <c r="E389" s="4"/>
      <c r="F389" s="86" t="s">
        <v>219</v>
      </c>
      <c r="G389" s="87">
        <v>717</v>
      </c>
      <c r="H389" s="87" t="s">
        <v>195</v>
      </c>
      <c r="I389" s="88"/>
      <c r="J389" s="88"/>
      <c r="K389" s="88">
        <f t="shared" si="48"/>
        <v>0</v>
      </c>
      <c r="L389" s="76"/>
      <c r="M389" s="88">
        <f>SUM(M390:M395)</f>
        <v>131000</v>
      </c>
      <c r="N389" s="88">
        <f>SUM(N390:N395)</f>
        <v>-2000</v>
      </c>
      <c r="O389" s="88">
        <f t="shared" si="49"/>
        <v>129000</v>
      </c>
      <c r="P389" s="76"/>
      <c r="Q389" s="88">
        <f t="shared" si="50"/>
        <v>131000</v>
      </c>
      <c r="R389" s="88">
        <f t="shared" si="53"/>
        <v>-2000</v>
      </c>
      <c r="S389" s="88">
        <f t="shared" si="53"/>
        <v>129000</v>
      </c>
    </row>
    <row r="390" spans="1:19" s="71" customFormat="1" x14ac:dyDescent="0.2">
      <c r="A390" s="67"/>
      <c r="B390" s="75">
        <f t="shared" si="52"/>
        <v>27</v>
      </c>
      <c r="C390" s="4"/>
      <c r="D390" s="4"/>
      <c r="E390" s="4"/>
      <c r="F390" s="53"/>
      <c r="G390" s="4"/>
      <c r="H390" s="4" t="s">
        <v>491</v>
      </c>
      <c r="I390" s="26"/>
      <c r="J390" s="26"/>
      <c r="K390" s="26">
        <f t="shared" si="48"/>
        <v>0</v>
      </c>
      <c r="L390" s="76"/>
      <c r="M390" s="26">
        <v>19500</v>
      </c>
      <c r="N390" s="26"/>
      <c r="O390" s="26">
        <f t="shared" si="49"/>
        <v>19500</v>
      </c>
      <c r="P390" s="76"/>
      <c r="Q390" s="26">
        <f t="shared" si="50"/>
        <v>19500</v>
      </c>
      <c r="R390" s="26">
        <f t="shared" si="53"/>
        <v>0</v>
      </c>
      <c r="S390" s="26">
        <f t="shared" si="53"/>
        <v>19500</v>
      </c>
    </row>
    <row r="391" spans="1:19" s="71" customFormat="1" x14ac:dyDescent="0.2">
      <c r="A391" s="67"/>
      <c r="B391" s="75">
        <f t="shared" si="52"/>
        <v>28</v>
      </c>
      <c r="C391" s="4"/>
      <c r="D391" s="4"/>
      <c r="E391" s="4"/>
      <c r="F391" s="53"/>
      <c r="G391" s="4"/>
      <c r="H391" s="4" t="s">
        <v>492</v>
      </c>
      <c r="I391" s="26"/>
      <c r="J391" s="26"/>
      <c r="K391" s="26">
        <f t="shared" si="48"/>
        <v>0</v>
      </c>
      <c r="L391" s="76"/>
      <c r="M391" s="26">
        <v>20000</v>
      </c>
      <c r="N391" s="26"/>
      <c r="O391" s="26">
        <f t="shared" si="49"/>
        <v>20000</v>
      </c>
      <c r="P391" s="76"/>
      <c r="Q391" s="26">
        <f t="shared" si="50"/>
        <v>20000</v>
      </c>
      <c r="R391" s="26">
        <f t="shared" si="53"/>
        <v>0</v>
      </c>
      <c r="S391" s="26">
        <f t="shared" si="53"/>
        <v>20000</v>
      </c>
    </row>
    <row r="392" spans="1:19" s="71" customFormat="1" x14ac:dyDescent="0.2">
      <c r="A392" s="67"/>
      <c r="B392" s="75">
        <f t="shared" si="52"/>
        <v>29</v>
      </c>
      <c r="C392" s="4"/>
      <c r="D392" s="4"/>
      <c r="E392" s="4"/>
      <c r="F392" s="53"/>
      <c r="G392" s="4"/>
      <c r="H392" s="4" t="s">
        <v>611</v>
      </c>
      <c r="I392" s="26"/>
      <c r="J392" s="26"/>
      <c r="K392" s="26">
        <f t="shared" si="48"/>
        <v>0</v>
      </c>
      <c r="L392" s="76"/>
      <c r="M392" s="26">
        <v>70000</v>
      </c>
      <c r="N392" s="26">
        <v>-2000</v>
      </c>
      <c r="O392" s="26">
        <f t="shared" si="49"/>
        <v>68000</v>
      </c>
      <c r="P392" s="76"/>
      <c r="Q392" s="26">
        <f t="shared" si="50"/>
        <v>70000</v>
      </c>
      <c r="R392" s="26">
        <f t="shared" si="53"/>
        <v>-2000</v>
      </c>
      <c r="S392" s="26">
        <f t="shared" si="53"/>
        <v>68000</v>
      </c>
    </row>
    <row r="393" spans="1:19" x14ac:dyDescent="0.2">
      <c r="B393" s="75">
        <f t="shared" si="52"/>
        <v>30</v>
      </c>
      <c r="C393" s="4"/>
      <c r="D393" s="4"/>
      <c r="E393" s="4"/>
      <c r="F393" s="53"/>
      <c r="G393" s="4"/>
      <c r="H393" s="126" t="s">
        <v>541</v>
      </c>
      <c r="I393" s="125"/>
      <c r="J393" s="125"/>
      <c r="K393" s="125">
        <f t="shared" si="48"/>
        <v>0</v>
      </c>
      <c r="L393" s="76"/>
      <c r="M393" s="125">
        <f>7500+2500</f>
        <v>10000</v>
      </c>
      <c r="N393" s="125"/>
      <c r="O393" s="125">
        <f t="shared" si="49"/>
        <v>10000</v>
      </c>
      <c r="P393" s="76"/>
      <c r="Q393" s="125">
        <f t="shared" si="50"/>
        <v>10000</v>
      </c>
      <c r="R393" s="125">
        <f t="shared" si="53"/>
        <v>0</v>
      </c>
      <c r="S393" s="125">
        <f t="shared" si="53"/>
        <v>10000</v>
      </c>
    </row>
    <row r="394" spans="1:19" ht="24" x14ac:dyDescent="0.2">
      <c r="B394" s="75">
        <f t="shared" si="52"/>
        <v>31</v>
      </c>
      <c r="C394" s="79"/>
      <c r="D394" s="79"/>
      <c r="E394" s="79"/>
      <c r="F394" s="80"/>
      <c r="G394" s="79"/>
      <c r="H394" s="131" t="s">
        <v>542</v>
      </c>
      <c r="I394" s="128"/>
      <c r="J394" s="128"/>
      <c r="K394" s="128">
        <f t="shared" si="48"/>
        <v>0</v>
      </c>
      <c r="L394" s="161"/>
      <c r="M394" s="128">
        <v>5000</v>
      </c>
      <c r="N394" s="128"/>
      <c r="O394" s="128">
        <f t="shared" si="49"/>
        <v>5000</v>
      </c>
      <c r="P394" s="161"/>
      <c r="Q394" s="128">
        <f t="shared" si="50"/>
        <v>5000</v>
      </c>
      <c r="R394" s="128">
        <f t="shared" si="53"/>
        <v>0</v>
      </c>
      <c r="S394" s="128">
        <f t="shared" si="53"/>
        <v>5000</v>
      </c>
    </row>
    <row r="395" spans="1:19" x14ac:dyDescent="0.2">
      <c r="B395" s="75">
        <f t="shared" si="52"/>
        <v>32</v>
      </c>
      <c r="C395" s="4"/>
      <c r="D395" s="4"/>
      <c r="E395" s="4"/>
      <c r="F395" s="53"/>
      <c r="G395" s="4"/>
      <c r="H395" s="126" t="s">
        <v>543</v>
      </c>
      <c r="I395" s="125"/>
      <c r="J395" s="125"/>
      <c r="K395" s="125">
        <f t="shared" si="48"/>
        <v>0</v>
      </c>
      <c r="L395" s="76"/>
      <c r="M395" s="125">
        <f>5000+1500</f>
        <v>6500</v>
      </c>
      <c r="N395" s="125"/>
      <c r="O395" s="125">
        <f t="shared" si="49"/>
        <v>6500</v>
      </c>
      <c r="P395" s="76"/>
      <c r="Q395" s="125">
        <f t="shared" si="50"/>
        <v>6500</v>
      </c>
      <c r="R395" s="125">
        <f t="shared" si="53"/>
        <v>0</v>
      </c>
      <c r="S395" s="125">
        <f t="shared" si="53"/>
        <v>6500</v>
      </c>
    </row>
    <row r="396" spans="1:19" ht="15" x14ac:dyDescent="0.25">
      <c r="B396" s="75">
        <f t="shared" si="52"/>
        <v>33</v>
      </c>
      <c r="C396" s="18"/>
      <c r="D396" s="18"/>
      <c r="E396" s="18">
        <v>2</v>
      </c>
      <c r="F396" s="50"/>
      <c r="G396" s="18"/>
      <c r="H396" s="18" t="s">
        <v>258</v>
      </c>
      <c r="I396" s="47">
        <f>I397+I398+I399+I405</f>
        <v>97200</v>
      </c>
      <c r="J396" s="47">
        <f>J397+J398+J399+J405+J404</f>
        <v>0</v>
      </c>
      <c r="K396" s="47">
        <f t="shared" si="48"/>
        <v>97200</v>
      </c>
      <c r="L396" s="174"/>
      <c r="M396" s="47">
        <f>M397+M398+M399+M405</f>
        <v>6000</v>
      </c>
      <c r="N396" s="47">
        <f>N397+N398+N399+N405</f>
        <v>0</v>
      </c>
      <c r="O396" s="47">
        <f t="shared" si="49"/>
        <v>6000</v>
      </c>
      <c r="P396" s="174"/>
      <c r="Q396" s="47">
        <f t="shared" si="50"/>
        <v>103200</v>
      </c>
      <c r="R396" s="47">
        <f t="shared" si="53"/>
        <v>0</v>
      </c>
      <c r="S396" s="47">
        <f t="shared" si="53"/>
        <v>103200</v>
      </c>
    </row>
    <row r="397" spans="1:19" x14ac:dyDescent="0.2">
      <c r="B397" s="75">
        <f t="shared" si="52"/>
        <v>34</v>
      </c>
      <c r="C397" s="15"/>
      <c r="D397" s="15"/>
      <c r="E397" s="15"/>
      <c r="F397" s="52" t="s">
        <v>219</v>
      </c>
      <c r="G397" s="15">
        <v>610</v>
      </c>
      <c r="H397" s="15" t="s">
        <v>137</v>
      </c>
      <c r="I397" s="49">
        <v>29300</v>
      </c>
      <c r="J397" s="49"/>
      <c r="K397" s="49">
        <f t="shared" si="48"/>
        <v>29300</v>
      </c>
      <c r="L397" s="123"/>
      <c r="M397" s="49"/>
      <c r="N397" s="49"/>
      <c r="O397" s="49">
        <f t="shared" si="49"/>
        <v>0</v>
      </c>
      <c r="P397" s="123"/>
      <c r="Q397" s="49">
        <f t="shared" si="50"/>
        <v>29300</v>
      </c>
      <c r="R397" s="49">
        <f t="shared" si="53"/>
        <v>0</v>
      </c>
      <c r="S397" s="49">
        <f t="shared" si="53"/>
        <v>29300</v>
      </c>
    </row>
    <row r="398" spans="1:19" x14ac:dyDescent="0.2">
      <c r="B398" s="75">
        <f t="shared" si="52"/>
        <v>35</v>
      </c>
      <c r="C398" s="15"/>
      <c r="D398" s="15"/>
      <c r="E398" s="15"/>
      <c r="F398" s="52" t="s">
        <v>219</v>
      </c>
      <c r="G398" s="15">
        <v>620</v>
      </c>
      <c r="H398" s="15" t="s">
        <v>132</v>
      </c>
      <c r="I398" s="49">
        <v>15300</v>
      </c>
      <c r="J398" s="49"/>
      <c r="K398" s="49">
        <f t="shared" si="48"/>
        <v>15300</v>
      </c>
      <c r="L398" s="123"/>
      <c r="M398" s="49"/>
      <c r="N398" s="49"/>
      <c r="O398" s="49">
        <f t="shared" si="49"/>
        <v>0</v>
      </c>
      <c r="P398" s="123"/>
      <c r="Q398" s="49">
        <f t="shared" ref="Q398:Q430" si="59">M398+I398</f>
        <v>15300</v>
      </c>
      <c r="R398" s="49">
        <f t="shared" ref="R398:S414" si="60">N398+J398</f>
        <v>0</v>
      </c>
      <c r="S398" s="49">
        <f t="shared" si="60"/>
        <v>15300</v>
      </c>
    </row>
    <row r="399" spans="1:19" x14ac:dyDescent="0.2">
      <c r="B399" s="75">
        <f t="shared" si="52"/>
        <v>36</v>
      </c>
      <c r="C399" s="15"/>
      <c r="D399" s="15"/>
      <c r="E399" s="15"/>
      <c r="F399" s="52" t="s">
        <v>219</v>
      </c>
      <c r="G399" s="15">
        <v>630</v>
      </c>
      <c r="H399" s="15" t="s">
        <v>129</v>
      </c>
      <c r="I399" s="49">
        <f>I403+I402+I401+I400</f>
        <v>52600</v>
      </c>
      <c r="J399" s="49">
        <f>J403+J402+J401+J400</f>
        <v>-100</v>
      </c>
      <c r="K399" s="49">
        <f t="shared" si="48"/>
        <v>52500</v>
      </c>
      <c r="L399" s="123"/>
      <c r="M399" s="49">
        <f>M403+M402+M401+M400</f>
        <v>0</v>
      </c>
      <c r="N399" s="49">
        <f>N403+N402+N401+N400</f>
        <v>0</v>
      </c>
      <c r="O399" s="49">
        <f t="shared" si="49"/>
        <v>0</v>
      </c>
      <c r="P399" s="123"/>
      <c r="Q399" s="49">
        <f t="shared" si="59"/>
        <v>52600</v>
      </c>
      <c r="R399" s="49">
        <f t="shared" si="60"/>
        <v>-100</v>
      </c>
      <c r="S399" s="49">
        <f t="shared" si="60"/>
        <v>52500</v>
      </c>
    </row>
    <row r="400" spans="1:19" x14ac:dyDescent="0.2">
      <c r="B400" s="75">
        <f t="shared" si="52"/>
        <v>37</v>
      </c>
      <c r="C400" s="4"/>
      <c r="D400" s="4"/>
      <c r="E400" s="4"/>
      <c r="F400" s="53" t="s">
        <v>219</v>
      </c>
      <c r="G400" s="4">
        <v>633</v>
      </c>
      <c r="H400" s="4" t="s">
        <v>133</v>
      </c>
      <c r="I400" s="26">
        <v>14400</v>
      </c>
      <c r="J400" s="26"/>
      <c r="K400" s="26">
        <f t="shared" si="48"/>
        <v>14400</v>
      </c>
      <c r="L400" s="76"/>
      <c r="M400" s="26"/>
      <c r="N400" s="26"/>
      <c r="O400" s="26">
        <f t="shared" si="49"/>
        <v>0</v>
      </c>
      <c r="P400" s="76"/>
      <c r="Q400" s="26">
        <f t="shared" si="59"/>
        <v>14400</v>
      </c>
      <c r="R400" s="26">
        <f t="shared" si="60"/>
        <v>0</v>
      </c>
      <c r="S400" s="26">
        <f t="shared" si="60"/>
        <v>14400</v>
      </c>
    </row>
    <row r="401" spans="2:19" x14ac:dyDescent="0.2">
      <c r="B401" s="75">
        <f t="shared" si="52"/>
        <v>38</v>
      </c>
      <c r="C401" s="4"/>
      <c r="D401" s="4"/>
      <c r="E401" s="4"/>
      <c r="F401" s="53" t="s">
        <v>219</v>
      </c>
      <c r="G401" s="4">
        <v>634</v>
      </c>
      <c r="H401" s="4" t="s">
        <v>138</v>
      </c>
      <c r="I401" s="26">
        <v>6100</v>
      </c>
      <c r="J401" s="26"/>
      <c r="K401" s="26">
        <f t="shared" si="48"/>
        <v>6100</v>
      </c>
      <c r="L401" s="76"/>
      <c r="M401" s="26"/>
      <c r="N401" s="26"/>
      <c r="O401" s="26">
        <f t="shared" si="49"/>
        <v>0</v>
      </c>
      <c r="P401" s="76"/>
      <c r="Q401" s="26">
        <f t="shared" si="59"/>
        <v>6100</v>
      </c>
      <c r="R401" s="26">
        <f t="shared" si="60"/>
        <v>0</v>
      </c>
      <c r="S401" s="26">
        <f t="shared" si="60"/>
        <v>6100</v>
      </c>
    </row>
    <row r="402" spans="2:19" x14ac:dyDescent="0.2">
      <c r="B402" s="75">
        <f t="shared" si="52"/>
        <v>39</v>
      </c>
      <c r="C402" s="4"/>
      <c r="D402" s="4"/>
      <c r="E402" s="4"/>
      <c r="F402" s="53" t="s">
        <v>219</v>
      </c>
      <c r="G402" s="4">
        <v>635</v>
      </c>
      <c r="H402" s="4" t="s">
        <v>139</v>
      </c>
      <c r="I402" s="26">
        <v>9000</v>
      </c>
      <c r="J402" s="26"/>
      <c r="K402" s="26">
        <f t="shared" si="48"/>
        <v>9000</v>
      </c>
      <c r="L402" s="76"/>
      <c r="M402" s="26"/>
      <c r="N402" s="26"/>
      <c r="O402" s="26">
        <f t="shared" si="49"/>
        <v>0</v>
      </c>
      <c r="P402" s="76"/>
      <c r="Q402" s="26">
        <f t="shared" si="59"/>
        <v>9000</v>
      </c>
      <c r="R402" s="26">
        <f t="shared" si="60"/>
        <v>0</v>
      </c>
      <c r="S402" s="26">
        <f t="shared" si="60"/>
        <v>9000</v>
      </c>
    </row>
    <row r="403" spans="2:19" x14ac:dyDescent="0.2">
      <c r="B403" s="75">
        <f t="shared" si="52"/>
        <v>40</v>
      </c>
      <c r="C403" s="4"/>
      <c r="D403" s="4"/>
      <c r="E403" s="4"/>
      <c r="F403" s="53" t="s">
        <v>219</v>
      </c>
      <c r="G403" s="4">
        <v>637</v>
      </c>
      <c r="H403" s="4" t="s">
        <v>130</v>
      </c>
      <c r="I403" s="26">
        <f>25600-2500</f>
        <v>23100</v>
      </c>
      <c r="J403" s="26">
        <v>-100</v>
      </c>
      <c r="K403" s="26">
        <f t="shared" si="48"/>
        <v>23000</v>
      </c>
      <c r="L403" s="76"/>
      <c r="M403" s="26"/>
      <c r="N403" s="26"/>
      <c r="O403" s="26">
        <f t="shared" si="49"/>
        <v>0</v>
      </c>
      <c r="P403" s="76"/>
      <c r="Q403" s="26">
        <f t="shared" si="59"/>
        <v>23100</v>
      </c>
      <c r="R403" s="26">
        <f t="shared" si="60"/>
        <v>-100</v>
      </c>
      <c r="S403" s="26">
        <f t="shared" si="60"/>
        <v>23000</v>
      </c>
    </row>
    <row r="404" spans="2:19" x14ac:dyDescent="0.2">
      <c r="B404" s="75">
        <f t="shared" si="52"/>
        <v>41</v>
      </c>
      <c r="C404" s="4"/>
      <c r="D404" s="4"/>
      <c r="E404" s="4"/>
      <c r="F404" s="52" t="s">
        <v>219</v>
      </c>
      <c r="G404" s="15">
        <v>640</v>
      </c>
      <c r="H404" s="15" t="s">
        <v>136</v>
      </c>
      <c r="I404" s="49">
        <v>0</v>
      </c>
      <c r="J404" s="49">
        <v>100</v>
      </c>
      <c r="K404" s="49">
        <f t="shared" ref="K404" si="61">I404+J404</f>
        <v>100</v>
      </c>
      <c r="L404" s="123"/>
      <c r="M404" s="49"/>
      <c r="N404" s="49"/>
      <c r="O404" s="49">
        <f t="shared" ref="O404" si="62">M404+N404</f>
        <v>0</v>
      </c>
      <c r="P404" s="123"/>
      <c r="Q404" s="49">
        <f t="shared" si="59"/>
        <v>0</v>
      </c>
      <c r="R404" s="49">
        <f t="shared" si="60"/>
        <v>100</v>
      </c>
      <c r="S404" s="49">
        <f t="shared" si="60"/>
        <v>100</v>
      </c>
    </row>
    <row r="405" spans="2:19" x14ac:dyDescent="0.2">
      <c r="B405" s="75">
        <f t="shared" si="52"/>
        <v>42</v>
      </c>
      <c r="C405" s="15"/>
      <c r="D405" s="15"/>
      <c r="E405" s="15"/>
      <c r="F405" s="52" t="s">
        <v>219</v>
      </c>
      <c r="G405" s="15">
        <v>710</v>
      </c>
      <c r="H405" s="15" t="s">
        <v>185</v>
      </c>
      <c r="I405" s="49">
        <f>I406</f>
        <v>0</v>
      </c>
      <c r="J405" s="49">
        <f>J406</f>
        <v>0</v>
      </c>
      <c r="K405" s="49">
        <f t="shared" si="48"/>
        <v>0</v>
      </c>
      <c r="L405" s="123"/>
      <c r="M405" s="49">
        <f>M406</f>
        <v>6000</v>
      </c>
      <c r="N405" s="49">
        <f>N406</f>
        <v>0</v>
      </c>
      <c r="O405" s="49">
        <f t="shared" si="49"/>
        <v>6000</v>
      </c>
      <c r="P405" s="123"/>
      <c r="Q405" s="49">
        <f t="shared" si="59"/>
        <v>6000</v>
      </c>
      <c r="R405" s="49">
        <f t="shared" si="60"/>
        <v>0</v>
      </c>
      <c r="S405" s="49">
        <f t="shared" si="60"/>
        <v>6000</v>
      </c>
    </row>
    <row r="406" spans="2:19" x14ac:dyDescent="0.2">
      <c r="B406" s="75">
        <f t="shared" si="52"/>
        <v>43</v>
      </c>
      <c r="C406" s="4"/>
      <c r="D406" s="4"/>
      <c r="E406" s="4"/>
      <c r="F406" s="86" t="s">
        <v>219</v>
      </c>
      <c r="G406" s="87">
        <v>713</v>
      </c>
      <c r="H406" s="87" t="s">
        <v>4</v>
      </c>
      <c r="I406" s="88"/>
      <c r="J406" s="88"/>
      <c r="K406" s="88">
        <f t="shared" si="48"/>
        <v>0</v>
      </c>
      <c r="L406" s="76"/>
      <c r="M406" s="88">
        <f>M407</f>
        <v>6000</v>
      </c>
      <c r="N406" s="88">
        <f>N407</f>
        <v>0</v>
      </c>
      <c r="O406" s="88">
        <f t="shared" si="49"/>
        <v>6000</v>
      </c>
      <c r="P406" s="76"/>
      <c r="Q406" s="88">
        <f t="shared" si="59"/>
        <v>6000</v>
      </c>
      <c r="R406" s="88">
        <f t="shared" si="60"/>
        <v>0</v>
      </c>
      <c r="S406" s="88">
        <f t="shared" si="60"/>
        <v>6000</v>
      </c>
    </row>
    <row r="407" spans="2:19" x14ac:dyDescent="0.2">
      <c r="B407" s="75">
        <f t="shared" si="52"/>
        <v>44</v>
      </c>
      <c r="C407" s="4"/>
      <c r="D407" s="54"/>
      <c r="E407" s="4"/>
      <c r="F407" s="53"/>
      <c r="G407" s="4"/>
      <c r="H407" s="38" t="s">
        <v>390</v>
      </c>
      <c r="I407" s="26"/>
      <c r="J407" s="26"/>
      <c r="K407" s="26">
        <f t="shared" si="48"/>
        <v>0</v>
      </c>
      <c r="L407" s="76"/>
      <c r="M407" s="26">
        <v>6000</v>
      </c>
      <c r="N407" s="26"/>
      <c r="O407" s="26">
        <f t="shared" si="49"/>
        <v>6000</v>
      </c>
      <c r="P407" s="76"/>
      <c r="Q407" s="26">
        <f t="shared" si="59"/>
        <v>6000</v>
      </c>
      <c r="R407" s="26">
        <f t="shared" si="60"/>
        <v>0</v>
      </c>
      <c r="S407" s="26">
        <f t="shared" si="60"/>
        <v>6000</v>
      </c>
    </row>
    <row r="408" spans="2:19" ht="15" x14ac:dyDescent="0.2">
      <c r="B408" s="75">
        <f t="shared" si="52"/>
        <v>45</v>
      </c>
      <c r="C408" s="164">
        <v>3</v>
      </c>
      <c r="D408" s="230" t="s">
        <v>14</v>
      </c>
      <c r="E408" s="228"/>
      <c r="F408" s="228"/>
      <c r="G408" s="228"/>
      <c r="H408" s="229"/>
      <c r="I408" s="45">
        <f>I409+I411</f>
        <v>8000</v>
      </c>
      <c r="J408" s="45">
        <f>J409+J411</f>
        <v>0</v>
      </c>
      <c r="K408" s="45">
        <f t="shared" si="48"/>
        <v>8000</v>
      </c>
      <c r="L408" s="172"/>
      <c r="M408" s="45">
        <f>M409+M411+M414</f>
        <v>2377</v>
      </c>
      <c r="N408" s="45">
        <f>N409+N411+N414</f>
        <v>0</v>
      </c>
      <c r="O408" s="45">
        <f t="shared" si="49"/>
        <v>2377</v>
      </c>
      <c r="P408" s="172"/>
      <c r="Q408" s="45">
        <f t="shared" si="59"/>
        <v>10377</v>
      </c>
      <c r="R408" s="45">
        <f t="shared" si="60"/>
        <v>0</v>
      </c>
      <c r="S408" s="45">
        <f t="shared" si="60"/>
        <v>10377</v>
      </c>
    </row>
    <row r="409" spans="2:19" x14ac:dyDescent="0.2">
      <c r="B409" s="75">
        <f t="shared" si="52"/>
        <v>46</v>
      </c>
      <c r="C409" s="15"/>
      <c r="D409" s="15"/>
      <c r="E409" s="15"/>
      <c r="F409" s="52" t="s">
        <v>206</v>
      </c>
      <c r="G409" s="15">
        <v>630</v>
      </c>
      <c r="H409" s="15" t="s">
        <v>129</v>
      </c>
      <c r="I409" s="49">
        <f>I410</f>
        <v>8000</v>
      </c>
      <c r="J409" s="49">
        <f>J410</f>
        <v>0</v>
      </c>
      <c r="K409" s="49">
        <f t="shared" si="48"/>
        <v>8000</v>
      </c>
      <c r="L409" s="123"/>
      <c r="M409" s="49">
        <f>M410</f>
        <v>0</v>
      </c>
      <c r="N409" s="49">
        <f>N410</f>
        <v>0</v>
      </c>
      <c r="O409" s="49">
        <f t="shared" si="49"/>
        <v>0</v>
      </c>
      <c r="P409" s="123"/>
      <c r="Q409" s="49">
        <f t="shared" si="59"/>
        <v>8000</v>
      </c>
      <c r="R409" s="49">
        <f t="shared" si="60"/>
        <v>0</v>
      </c>
      <c r="S409" s="49">
        <f t="shared" si="60"/>
        <v>8000</v>
      </c>
    </row>
    <row r="410" spans="2:19" x14ac:dyDescent="0.2">
      <c r="B410" s="75">
        <f t="shared" si="52"/>
        <v>47</v>
      </c>
      <c r="C410" s="4"/>
      <c r="D410" s="4"/>
      <c r="E410" s="4"/>
      <c r="F410" s="53" t="s">
        <v>206</v>
      </c>
      <c r="G410" s="4">
        <v>635</v>
      </c>
      <c r="H410" s="4" t="s">
        <v>139</v>
      </c>
      <c r="I410" s="26">
        <f>5000+3000</f>
        <v>8000</v>
      </c>
      <c r="J410" s="26"/>
      <c r="K410" s="26">
        <f t="shared" si="48"/>
        <v>8000</v>
      </c>
      <c r="L410" s="76"/>
      <c r="M410" s="26"/>
      <c r="N410" s="26"/>
      <c r="O410" s="26">
        <f t="shared" si="49"/>
        <v>0</v>
      </c>
      <c r="P410" s="76"/>
      <c r="Q410" s="26">
        <f t="shared" si="59"/>
        <v>8000</v>
      </c>
      <c r="R410" s="26">
        <f t="shared" si="60"/>
        <v>0</v>
      </c>
      <c r="S410" s="26">
        <f t="shared" si="60"/>
        <v>8000</v>
      </c>
    </row>
    <row r="411" spans="2:19" x14ac:dyDescent="0.2">
      <c r="B411" s="75">
        <f t="shared" si="52"/>
        <v>48</v>
      </c>
      <c r="C411" s="15"/>
      <c r="D411" s="15"/>
      <c r="E411" s="15"/>
      <c r="F411" s="52" t="s">
        <v>206</v>
      </c>
      <c r="G411" s="15">
        <v>710</v>
      </c>
      <c r="H411" s="15" t="s">
        <v>185</v>
      </c>
      <c r="I411" s="49">
        <f>I412</f>
        <v>0</v>
      </c>
      <c r="J411" s="49">
        <f>J412</f>
        <v>0</v>
      </c>
      <c r="K411" s="49">
        <f t="shared" si="48"/>
        <v>0</v>
      </c>
      <c r="L411" s="123"/>
      <c r="M411" s="49">
        <f>M412</f>
        <v>2000</v>
      </c>
      <c r="N411" s="49">
        <f>N412</f>
        <v>0</v>
      </c>
      <c r="O411" s="49">
        <f t="shared" si="49"/>
        <v>2000</v>
      </c>
      <c r="P411" s="123"/>
      <c r="Q411" s="49">
        <f t="shared" si="59"/>
        <v>2000</v>
      </c>
      <c r="R411" s="49">
        <f t="shared" si="60"/>
        <v>0</v>
      </c>
      <c r="S411" s="49">
        <f t="shared" si="60"/>
        <v>2000</v>
      </c>
    </row>
    <row r="412" spans="2:19" x14ac:dyDescent="0.2">
      <c r="B412" s="75">
        <f t="shared" si="52"/>
        <v>49</v>
      </c>
      <c r="C412" s="4"/>
      <c r="D412" s="4"/>
      <c r="E412" s="4"/>
      <c r="F412" s="86" t="s">
        <v>206</v>
      </c>
      <c r="G412" s="87">
        <v>713</v>
      </c>
      <c r="H412" s="87" t="s">
        <v>4</v>
      </c>
      <c r="I412" s="88"/>
      <c r="J412" s="88"/>
      <c r="K412" s="88">
        <f t="shared" si="48"/>
        <v>0</v>
      </c>
      <c r="L412" s="76"/>
      <c r="M412" s="88">
        <f>M413</f>
        <v>2000</v>
      </c>
      <c r="N412" s="88">
        <f>N413</f>
        <v>0</v>
      </c>
      <c r="O412" s="88">
        <f t="shared" si="49"/>
        <v>2000</v>
      </c>
      <c r="P412" s="76"/>
      <c r="Q412" s="88">
        <f t="shared" si="59"/>
        <v>2000</v>
      </c>
      <c r="R412" s="88">
        <f t="shared" si="60"/>
        <v>0</v>
      </c>
      <c r="S412" s="88">
        <f t="shared" si="60"/>
        <v>2000</v>
      </c>
    </row>
    <row r="413" spans="2:19" x14ac:dyDescent="0.2">
      <c r="B413" s="75">
        <f t="shared" si="52"/>
        <v>50</v>
      </c>
      <c r="C413" s="4"/>
      <c r="D413" s="54"/>
      <c r="E413" s="4"/>
      <c r="F413" s="53"/>
      <c r="G413" s="4"/>
      <c r="H413" s="4" t="s">
        <v>380</v>
      </c>
      <c r="I413" s="26"/>
      <c r="J413" s="26"/>
      <c r="K413" s="26">
        <f t="shared" si="48"/>
        <v>0</v>
      </c>
      <c r="L413" s="76"/>
      <c r="M413" s="26">
        <f>5000-3000</f>
        <v>2000</v>
      </c>
      <c r="N413" s="26"/>
      <c r="O413" s="26">
        <f t="shared" si="49"/>
        <v>2000</v>
      </c>
      <c r="P413" s="76"/>
      <c r="Q413" s="26">
        <f t="shared" si="59"/>
        <v>2000</v>
      </c>
      <c r="R413" s="26">
        <f t="shared" si="60"/>
        <v>0</v>
      </c>
      <c r="S413" s="26">
        <f t="shared" si="60"/>
        <v>2000</v>
      </c>
    </row>
    <row r="414" spans="2:19" x14ac:dyDescent="0.2">
      <c r="B414" s="75">
        <f t="shared" si="52"/>
        <v>51</v>
      </c>
      <c r="C414" s="4"/>
      <c r="D414" s="54"/>
      <c r="E414" s="4"/>
      <c r="F414" s="86" t="s">
        <v>206</v>
      </c>
      <c r="G414" s="87">
        <v>719</v>
      </c>
      <c r="H414" s="87" t="s">
        <v>612</v>
      </c>
      <c r="I414" s="88"/>
      <c r="J414" s="88"/>
      <c r="K414" s="88">
        <f t="shared" si="48"/>
        <v>0</v>
      </c>
      <c r="L414" s="76"/>
      <c r="M414" s="88">
        <f>M415</f>
        <v>377</v>
      </c>
      <c r="N414" s="88">
        <f>N415</f>
        <v>0</v>
      </c>
      <c r="O414" s="88">
        <f t="shared" si="49"/>
        <v>377</v>
      </c>
      <c r="P414" s="76"/>
      <c r="Q414" s="88">
        <f t="shared" si="59"/>
        <v>377</v>
      </c>
      <c r="R414" s="88">
        <f t="shared" si="60"/>
        <v>0</v>
      </c>
      <c r="S414" s="88">
        <f t="shared" si="60"/>
        <v>377</v>
      </c>
    </row>
    <row r="415" spans="2:19" x14ac:dyDescent="0.2">
      <c r="B415" s="75">
        <f t="shared" si="52"/>
        <v>52</v>
      </c>
      <c r="C415" s="4"/>
      <c r="D415" s="54"/>
      <c r="E415" s="4"/>
      <c r="F415" s="53"/>
      <c r="G415" s="4"/>
      <c r="H415" s="4" t="s">
        <v>613</v>
      </c>
      <c r="I415" s="26"/>
      <c r="J415" s="26"/>
      <c r="K415" s="26">
        <f t="shared" si="48"/>
        <v>0</v>
      </c>
      <c r="L415" s="76"/>
      <c r="M415" s="26">
        <v>377</v>
      </c>
      <c r="N415" s="26"/>
      <c r="O415" s="26">
        <f t="shared" si="49"/>
        <v>377</v>
      </c>
      <c r="P415" s="76"/>
      <c r="Q415" s="26">
        <f t="shared" si="59"/>
        <v>377</v>
      </c>
      <c r="R415" s="26">
        <f t="shared" ref="R415:S430" si="63">N415+J415</f>
        <v>0</v>
      </c>
      <c r="S415" s="26">
        <f t="shared" si="63"/>
        <v>377</v>
      </c>
    </row>
    <row r="416" spans="2:19" ht="15" x14ac:dyDescent="0.2">
      <c r="B416" s="75">
        <f t="shared" si="52"/>
        <v>53</v>
      </c>
      <c r="C416" s="164">
        <v>4</v>
      </c>
      <c r="D416" s="230" t="s">
        <v>164</v>
      </c>
      <c r="E416" s="228"/>
      <c r="F416" s="228"/>
      <c r="G416" s="228"/>
      <c r="H416" s="229"/>
      <c r="I416" s="45">
        <f>I417</f>
        <v>7000</v>
      </c>
      <c r="J416" s="45">
        <f>J417</f>
        <v>0</v>
      </c>
      <c r="K416" s="45">
        <f t="shared" si="48"/>
        <v>7000</v>
      </c>
      <c r="L416" s="172"/>
      <c r="M416" s="45">
        <f>M417</f>
        <v>0</v>
      </c>
      <c r="N416" s="45">
        <f>N417</f>
        <v>0</v>
      </c>
      <c r="O416" s="45">
        <f t="shared" si="49"/>
        <v>0</v>
      </c>
      <c r="P416" s="172"/>
      <c r="Q416" s="45">
        <f t="shared" si="59"/>
        <v>7000</v>
      </c>
      <c r="R416" s="45">
        <f t="shared" si="63"/>
        <v>0</v>
      </c>
      <c r="S416" s="45">
        <f t="shared" si="63"/>
        <v>7000</v>
      </c>
    </row>
    <row r="417" spans="2:19" x14ac:dyDescent="0.2">
      <c r="B417" s="75">
        <f t="shared" si="52"/>
        <v>54</v>
      </c>
      <c r="C417" s="15"/>
      <c r="D417" s="15"/>
      <c r="E417" s="15"/>
      <c r="F417" s="52" t="s">
        <v>163</v>
      </c>
      <c r="G417" s="15">
        <v>630</v>
      </c>
      <c r="H417" s="15" t="s">
        <v>129</v>
      </c>
      <c r="I417" s="49">
        <f>I418</f>
        <v>7000</v>
      </c>
      <c r="J417" s="49">
        <f>J418</f>
        <v>0</v>
      </c>
      <c r="K417" s="49">
        <f t="shared" si="48"/>
        <v>7000</v>
      </c>
      <c r="L417" s="123"/>
      <c r="M417" s="49">
        <v>0</v>
      </c>
      <c r="N417" s="49"/>
      <c r="O417" s="49">
        <f t="shared" si="49"/>
        <v>0</v>
      </c>
      <c r="P417" s="123"/>
      <c r="Q417" s="49">
        <f t="shared" si="59"/>
        <v>7000</v>
      </c>
      <c r="R417" s="49">
        <f t="shared" si="63"/>
        <v>0</v>
      </c>
      <c r="S417" s="49">
        <f t="shared" si="63"/>
        <v>7000</v>
      </c>
    </row>
    <row r="418" spans="2:19" x14ac:dyDescent="0.2">
      <c r="B418" s="75">
        <f t="shared" si="52"/>
        <v>55</v>
      </c>
      <c r="C418" s="4"/>
      <c r="D418" s="4"/>
      <c r="E418" s="4"/>
      <c r="F418" s="53" t="s">
        <v>163</v>
      </c>
      <c r="G418" s="4">
        <v>637</v>
      </c>
      <c r="H418" s="4" t="s">
        <v>130</v>
      </c>
      <c r="I418" s="26">
        <v>7000</v>
      </c>
      <c r="J418" s="26"/>
      <c r="K418" s="26">
        <f t="shared" si="48"/>
        <v>7000</v>
      </c>
      <c r="L418" s="76"/>
      <c r="M418" s="26"/>
      <c r="N418" s="26"/>
      <c r="O418" s="26">
        <f t="shared" si="49"/>
        <v>0</v>
      </c>
      <c r="P418" s="76"/>
      <c r="Q418" s="26">
        <f t="shared" si="59"/>
        <v>7000</v>
      </c>
      <c r="R418" s="26">
        <f t="shared" si="63"/>
        <v>0</v>
      </c>
      <c r="S418" s="26">
        <f t="shared" si="63"/>
        <v>7000</v>
      </c>
    </row>
    <row r="419" spans="2:19" ht="15" x14ac:dyDescent="0.2">
      <c r="B419" s="75">
        <f t="shared" si="52"/>
        <v>56</v>
      </c>
      <c r="C419" s="164">
        <v>5</v>
      </c>
      <c r="D419" s="230" t="s">
        <v>154</v>
      </c>
      <c r="E419" s="228"/>
      <c r="F419" s="228"/>
      <c r="G419" s="228"/>
      <c r="H419" s="229"/>
      <c r="I419" s="45">
        <f>I420+I425</f>
        <v>21900</v>
      </c>
      <c r="J419" s="45">
        <f>J420+J425</f>
        <v>0</v>
      </c>
      <c r="K419" s="45">
        <f t="shared" si="48"/>
        <v>21900</v>
      </c>
      <c r="L419" s="172"/>
      <c r="M419" s="45">
        <f>M429+M432</f>
        <v>15700</v>
      </c>
      <c r="N419" s="45">
        <f>N429+N432</f>
        <v>0</v>
      </c>
      <c r="O419" s="45">
        <f t="shared" si="49"/>
        <v>15700</v>
      </c>
      <c r="P419" s="172"/>
      <c r="Q419" s="45">
        <f t="shared" si="59"/>
        <v>37600</v>
      </c>
      <c r="R419" s="45">
        <f t="shared" si="63"/>
        <v>0</v>
      </c>
      <c r="S419" s="45">
        <f t="shared" si="63"/>
        <v>37600</v>
      </c>
    </row>
    <row r="420" spans="2:19" x14ac:dyDescent="0.2">
      <c r="B420" s="75">
        <f t="shared" si="52"/>
        <v>57</v>
      </c>
      <c r="C420" s="15"/>
      <c r="D420" s="15"/>
      <c r="E420" s="15"/>
      <c r="F420" s="52" t="s">
        <v>153</v>
      </c>
      <c r="G420" s="15">
        <v>630</v>
      </c>
      <c r="H420" s="15" t="s">
        <v>129</v>
      </c>
      <c r="I420" s="49">
        <f>I424+I423+I421+I422</f>
        <v>12900</v>
      </c>
      <c r="J420" s="49">
        <f>J424+J423+J421+J422</f>
        <v>0</v>
      </c>
      <c r="K420" s="49">
        <f t="shared" si="48"/>
        <v>12900</v>
      </c>
      <c r="L420" s="123"/>
      <c r="M420" s="49">
        <f>M424+M423</f>
        <v>0</v>
      </c>
      <c r="N420" s="49">
        <f>N424+N423</f>
        <v>0</v>
      </c>
      <c r="O420" s="49">
        <f t="shared" si="49"/>
        <v>0</v>
      </c>
      <c r="P420" s="123"/>
      <c r="Q420" s="49">
        <f t="shared" si="59"/>
        <v>12900</v>
      </c>
      <c r="R420" s="49">
        <f t="shared" si="63"/>
        <v>0</v>
      </c>
      <c r="S420" s="49">
        <f t="shared" si="63"/>
        <v>12900</v>
      </c>
    </row>
    <row r="421" spans="2:19" x14ac:dyDescent="0.2">
      <c r="B421" s="75">
        <f t="shared" si="52"/>
        <v>58</v>
      </c>
      <c r="C421" s="15"/>
      <c r="D421" s="15"/>
      <c r="E421" s="15"/>
      <c r="F421" s="53" t="s">
        <v>153</v>
      </c>
      <c r="G421" s="4">
        <v>633</v>
      </c>
      <c r="H421" s="4" t="s">
        <v>133</v>
      </c>
      <c r="I421" s="26">
        <v>500</v>
      </c>
      <c r="J421" s="26"/>
      <c r="K421" s="26">
        <f t="shared" si="48"/>
        <v>500</v>
      </c>
      <c r="L421" s="76"/>
      <c r="M421" s="26"/>
      <c r="N421" s="26"/>
      <c r="O421" s="26">
        <f t="shared" si="49"/>
        <v>0</v>
      </c>
      <c r="P421" s="76"/>
      <c r="Q421" s="26">
        <f t="shared" si="59"/>
        <v>500</v>
      </c>
      <c r="R421" s="26">
        <f t="shared" si="63"/>
        <v>0</v>
      </c>
      <c r="S421" s="26">
        <f t="shared" si="63"/>
        <v>500</v>
      </c>
    </row>
    <row r="422" spans="2:19" x14ac:dyDescent="0.2">
      <c r="B422" s="75">
        <f t="shared" si="52"/>
        <v>59</v>
      </c>
      <c r="C422" s="15"/>
      <c r="D422" s="15"/>
      <c r="E422" s="15"/>
      <c r="F422" s="53" t="s">
        <v>153</v>
      </c>
      <c r="G422" s="4">
        <v>633</v>
      </c>
      <c r="H422" s="4" t="s">
        <v>608</v>
      </c>
      <c r="I422" s="26">
        <v>2000</v>
      </c>
      <c r="J422" s="26"/>
      <c r="K422" s="26">
        <f t="shared" si="48"/>
        <v>2000</v>
      </c>
      <c r="L422" s="76"/>
      <c r="M422" s="26"/>
      <c r="N422" s="26"/>
      <c r="O422" s="26">
        <f t="shared" si="49"/>
        <v>0</v>
      </c>
      <c r="P422" s="76"/>
      <c r="Q422" s="26">
        <f t="shared" si="59"/>
        <v>2000</v>
      </c>
      <c r="R422" s="26">
        <f t="shared" si="63"/>
        <v>0</v>
      </c>
      <c r="S422" s="26">
        <f t="shared" si="63"/>
        <v>2000</v>
      </c>
    </row>
    <row r="423" spans="2:19" x14ac:dyDescent="0.2">
      <c r="B423" s="75">
        <f t="shared" si="52"/>
        <v>60</v>
      </c>
      <c r="C423" s="4"/>
      <c r="D423" s="4"/>
      <c r="E423" s="4"/>
      <c r="F423" s="53" t="s">
        <v>153</v>
      </c>
      <c r="G423" s="4">
        <v>634</v>
      </c>
      <c r="H423" s="4" t="s">
        <v>138</v>
      </c>
      <c r="I423" s="26">
        <f>480+1700</f>
        <v>2180</v>
      </c>
      <c r="J423" s="26"/>
      <c r="K423" s="26">
        <f t="shared" si="48"/>
        <v>2180</v>
      </c>
      <c r="L423" s="76"/>
      <c r="M423" s="26"/>
      <c r="N423" s="26"/>
      <c r="O423" s="26">
        <f t="shared" si="49"/>
        <v>0</v>
      </c>
      <c r="P423" s="76"/>
      <c r="Q423" s="26">
        <f t="shared" si="59"/>
        <v>2180</v>
      </c>
      <c r="R423" s="26">
        <f t="shared" si="63"/>
        <v>0</v>
      </c>
      <c r="S423" s="26">
        <f t="shared" si="63"/>
        <v>2180</v>
      </c>
    </row>
    <row r="424" spans="2:19" x14ac:dyDescent="0.2">
      <c r="B424" s="75">
        <f t="shared" si="52"/>
        <v>61</v>
      </c>
      <c r="C424" s="4"/>
      <c r="D424" s="4"/>
      <c r="E424" s="4"/>
      <c r="F424" s="53" t="s">
        <v>153</v>
      </c>
      <c r="G424" s="4">
        <v>637</v>
      </c>
      <c r="H424" s="4" t="s">
        <v>130</v>
      </c>
      <c r="I424" s="26">
        <f>8720-500</f>
        <v>8220</v>
      </c>
      <c r="J424" s="26"/>
      <c r="K424" s="26">
        <f t="shared" si="48"/>
        <v>8220</v>
      </c>
      <c r="L424" s="76"/>
      <c r="M424" s="26"/>
      <c r="N424" s="26"/>
      <c r="O424" s="26">
        <f t="shared" si="49"/>
        <v>0</v>
      </c>
      <c r="P424" s="76"/>
      <c r="Q424" s="26">
        <f t="shared" si="59"/>
        <v>8220</v>
      </c>
      <c r="R424" s="26">
        <f t="shared" si="63"/>
        <v>0</v>
      </c>
      <c r="S424" s="26">
        <f t="shared" si="63"/>
        <v>8220</v>
      </c>
    </row>
    <row r="425" spans="2:19" x14ac:dyDescent="0.2">
      <c r="B425" s="75">
        <f t="shared" si="52"/>
        <v>62</v>
      </c>
      <c r="C425" s="15"/>
      <c r="D425" s="15"/>
      <c r="E425" s="15"/>
      <c r="F425" s="52" t="s">
        <v>153</v>
      </c>
      <c r="G425" s="15">
        <v>640</v>
      </c>
      <c r="H425" s="15" t="s">
        <v>136</v>
      </c>
      <c r="I425" s="49">
        <f>SUM(I426:I428)</f>
        <v>9000</v>
      </c>
      <c r="J425" s="49">
        <f>SUM(J426:J428)</f>
        <v>0</v>
      </c>
      <c r="K425" s="49">
        <f t="shared" si="48"/>
        <v>9000</v>
      </c>
      <c r="L425" s="123"/>
      <c r="M425" s="49"/>
      <c r="N425" s="49"/>
      <c r="O425" s="49">
        <f t="shared" si="49"/>
        <v>0</v>
      </c>
      <c r="P425" s="123"/>
      <c r="Q425" s="25">
        <f t="shared" si="59"/>
        <v>9000</v>
      </c>
      <c r="R425" s="25">
        <f t="shared" si="63"/>
        <v>0</v>
      </c>
      <c r="S425" s="25">
        <f t="shared" si="63"/>
        <v>9000</v>
      </c>
    </row>
    <row r="426" spans="2:19" x14ac:dyDescent="0.2">
      <c r="B426" s="75">
        <f t="shared" si="52"/>
        <v>63</v>
      </c>
      <c r="C426" s="15"/>
      <c r="D426" s="15"/>
      <c r="E426" s="15"/>
      <c r="F426" s="52"/>
      <c r="G426" s="15"/>
      <c r="H426" s="60" t="s">
        <v>472</v>
      </c>
      <c r="I426" s="58">
        <v>4000</v>
      </c>
      <c r="J426" s="58"/>
      <c r="K426" s="58">
        <f t="shared" si="48"/>
        <v>4000</v>
      </c>
      <c r="L426" s="76"/>
      <c r="M426" s="58"/>
      <c r="N426" s="58"/>
      <c r="O426" s="58">
        <f t="shared" si="49"/>
        <v>0</v>
      </c>
      <c r="P426" s="76"/>
      <c r="Q426" s="58">
        <f t="shared" si="59"/>
        <v>4000</v>
      </c>
      <c r="R426" s="58">
        <f t="shared" si="63"/>
        <v>0</v>
      </c>
      <c r="S426" s="58">
        <f t="shared" si="63"/>
        <v>4000</v>
      </c>
    </row>
    <row r="427" spans="2:19" x14ac:dyDescent="0.2">
      <c r="B427" s="75">
        <f t="shared" si="52"/>
        <v>64</v>
      </c>
      <c r="C427" s="15"/>
      <c r="D427" s="15"/>
      <c r="E427" s="15"/>
      <c r="F427" s="52"/>
      <c r="G427" s="15"/>
      <c r="H427" s="60" t="s">
        <v>473</v>
      </c>
      <c r="I427" s="58">
        <v>4000</v>
      </c>
      <c r="J427" s="58"/>
      <c r="K427" s="58">
        <f t="shared" si="48"/>
        <v>4000</v>
      </c>
      <c r="L427" s="76"/>
      <c r="M427" s="58"/>
      <c r="N427" s="58"/>
      <c r="O427" s="58">
        <f t="shared" si="49"/>
        <v>0</v>
      </c>
      <c r="P427" s="76"/>
      <c r="Q427" s="58">
        <f t="shared" si="59"/>
        <v>4000</v>
      </c>
      <c r="R427" s="58">
        <f t="shared" si="63"/>
        <v>0</v>
      </c>
      <c r="S427" s="58">
        <f t="shared" si="63"/>
        <v>4000</v>
      </c>
    </row>
    <row r="428" spans="2:19" x14ac:dyDescent="0.2">
      <c r="B428" s="75">
        <f t="shared" si="52"/>
        <v>65</v>
      </c>
      <c r="C428" s="15"/>
      <c r="D428" s="15"/>
      <c r="E428" s="15"/>
      <c r="F428" s="52"/>
      <c r="G428" s="15"/>
      <c r="H428" s="60" t="s">
        <v>474</v>
      </c>
      <c r="I428" s="58">
        <v>1000</v>
      </c>
      <c r="J428" s="58"/>
      <c r="K428" s="58">
        <f t="shared" si="48"/>
        <v>1000</v>
      </c>
      <c r="L428" s="76"/>
      <c r="M428" s="58"/>
      <c r="N428" s="58"/>
      <c r="O428" s="58">
        <f t="shared" si="49"/>
        <v>0</v>
      </c>
      <c r="P428" s="76"/>
      <c r="Q428" s="58">
        <f t="shared" si="59"/>
        <v>1000</v>
      </c>
      <c r="R428" s="58">
        <f t="shared" si="63"/>
        <v>0</v>
      </c>
      <c r="S428" s="58">
        <f t="shared" si="63"/>
        <v>1000</v>
      </c>
    </row>
    <row r="429" spans="2:19" x14ac:dyDescent="0.2">
      <c r="B429" s="75">
        <f t="shared" si="52"/>
        <v>66</v>
      </c>
      <c r="C429" s="15"/>
      <c r="D429" s="15"/>
      <c r="E429" s="15"/>
      <c r="F429" s="52" t="s">
        <v>153</v>
      </c>
      <c r="G429" s="15">
        <v>710</v>
      </c>
      <c r="H429" s="15" t="s">
        <v>185</v>
      </c>
      <c r="I429" s="49">
        <f>I430</f>
        <v>0</v>
      </c>
      <c r="J429" s="49">
        <f>J430</f>
        <v>0</v>
      </c>
      <c r="K429" s="49">
        <f t="shared" si="48"/>
        <v>0</v>
      </c>
      <c r="L429" s="123"/>
      <c r="M429" s="49">
        <f>M430</f>
        <v>700</v>
      </c>
      <c r="N429" s="49">
        <f>N430</f>
        <v>0</v>
      </c>
      <c r="O429" s="49">
        <f t="shared" si="49"/>
        <v>700</v>
      </c>
      <c r="P429" s="123"/>
      <c r="Q429" s="49">
        <f t="shared" si="59"/>
        <v>700</v>
      </c>
      <c r="R429" s="49">
        <f t="shared" si="63"/>
        <v>0</v>
      </c>
      <c r="S429" s="49">
        <f t="shared" si="63"/>
        <v>700</v>
      </c>
    </row>
    <row r="430" spans="2:19" x14ac:dyDescent="0.2">
      <c r="B430" s="75">
        <f t="shared" si="52"/>
        <v>67</v>
      </c>
      <c r="C430" s="15"/>
      <c r="D430" s="15"/>
      <c r="E430" s="15"/>
      <c r="F430" s="86" t="s">
        <v>153</v>
      </c>
      <c r="G430" s="87">
        <v>717</v>
      </c>
      <c r="H430" s="87" t="s">
        <v>0</v>
      </c>
      <c r="I430" s="88"/>
      <c r="J430" s="88"/>
      <c r="K430" s="88">
        <f t="shared" si="48"/>
        <v>0</v>
      </c>
      <c r="L430" s="76"/>
      <c r="M430" s="88">
        <f>M431</f>
        <v>700</v>
      </c>
      <c r="N430" s="88">
        <f>N431</f>
        <v>0</v>
      </c>
      <c r="O430" s="88">
        <f t="shared" si="49"/>
        <v>700</v>
      </c>
      <c r="P430" s="76"/>
      <c r="Q430" s="88">
        <f t="shared" si="59"/>
        <v>700</v>
      </c>
      <c r="R430" s="88">
        <f t="shared" si="63"/>
        <v>0</v>
      </c>
      <c r="S430" s="88">
        <f t="shared" si="63"/>
        <v>700</v>
      </c>
    </row>
    <row r="431" spans="2:19" x14ac:dyDescent="0.2">
      <c r="B431" s="75">
        <f t="shared" si="52"/>
        <v>68</v>
      </c>
      <c r="C431" s="15"/>
      <c r="D431" s="15"/>
      <c r="E431" s="15"/>
      <c r="F431" s="52"/>
      <c r="G431" s="15"/>
      <c r="H431" s="60" t="s">
        <v>518</v>
      </c>
      <c r="I431" s="58"/>
      <c r="J431" s="58"/>
      <c r="K431" s="58">
        <f t="shared" ref="K431:K434" si="64">I431+J431</f>
        <v>0</v>
      </c>
      <c r="L431" s="76"/>
      <c r="M431" s="58">
        <v>700</v>
      </c>
      <c r="N431" s="58"/>
      <c r="O431" s="58">
        <f t="shared" ref="O431:O434" si="65">M431+N431</f>
        <v>700</v>
      </c>
      <c r="P431" s="76"/>
      <c r="Q431" s="58">
        <f>M431</f>
        <v>700</v>
      </c>
      <c r="R431" s="58">
        <f t="shared" ref="R431:S431" si="66">N431</f>
        <v>0</v>
      </c>
      <c r="S431" s="58">
        <f t="shared" si="66"/>
        <v>700</v>
      </c>
    </row>
    <row r="432" spans="2:19" x14ac:dyDescent="0.2">
      <c r="B432" s="75">
        <f t="shared" ref="B432:B434" si="67">B431+1</f>
        <v>69</v>
      </c>
      <c r="C432" s="15"/>
      <c r="D432" s="15"/>
      <c r="E432" s="15"/>
      <c r="F432" s="52" t="s">
        <v>153</v>
      </c>
      <c r="G432" s="15">
        <v>720</v>
      </c>
      <c r="H432" s="15" t="s">
        <v>442</v>
      </c>
      <c r="I432" s="49">
        <f>I433</f>
        <v>0</v>
      </c>
      <c r="J432" s="49">
        <f>J433</f>
        <v>0</v>
      </c>
      <c r="K432" s="49">
        <f t="shared" si="64"/>
        <v>0</v>
      </c>
      <c r="L432" s="123"/>
      <c r="M432" s="49">
        <f>M433</f>
        <v>15000</v>
      </c>
      <c r="N432" s="49">
        <f>N433</f>
        <v>0</v>
      </c>
      <c r="O432" s="49">
        <f t="shared" si="65"/>
        <v>15000</v>
      </c>
      <c r="P432" s="123"/>
      <c r="Q432" s="49">
        <f>M432+I432</f>
        <v>15000</v>
      </c>
      <c r="R432" s="49">
        <f t="shared" ref="R432:S433" si="68">N432+J432</f>
        <v>0</v>
      </c>
      <c r="S432" s="49">
        <f t="shared" si="68"/>
        <v>15000</v>
      </c>
    </row>
    <row r="433" spans="2:19" x14ac:dyDescent="0.2">
      <c r="B433" s="75">
        <f t="shared" si="67"/>
        <v>70</v>
      </c>
      <c r="C433" s="15"/>
      <c r="D433" s="15"/>
      <c r="E433" s="15"/>
      <c r="F433" s="86" t="s">
        <v>153</v>
      </c>
      <c r="G433" s="87">
        <v>722</v>
      </c>
      <c r="H433" s="87" t="s">
        <v>614</v>
      </c>
      <c r="I433" s="88"/>
      <c r="J433" s="88"/>
      <c r="K433" s="88">
        <f t="shared" si="64"/>
        <v>0</v>
      </c>
      <c r="L433" s="76"/>
      <c r="M433" s="88">
        <f>M434</f>
        <v>15000</v>
      </c>
      <c r="N433" s="88">
        <f>N434</f>
        <v>0</v>
      </c>
      <c r="O433" s="88">
        <f t="shared" si="65"/>
        <v>15000</v>
      </c>
      <c r="P433" s="76"/>
      <c r="Q433" s="88">
        <f>M433+I433</f>
        <v>15000</v>
      </c>
      <c r="R433" s="88">
        <f t="shared" si="68"/>
        <v>0</v>
      </c>
      <c r="S433" s="88">
        <f t="shared" si="68"/>
        <v>15000</v>
      </c>
    </row>
    <row r="434" spans="2:19" x14ac:dyDescent="0.2">
      <c r="B434" s="75">
        <f t="shared" si="67"/>
        <v>71</v>
      </c>
      <c r="C434" s="15"/>
      <c r="D434" s="15"/>
      <c r="E434" s="15"/>
      <c r="F434" s="52"/>
      <c r="G434" s="15"/>
      <c r="H434" s="60" t="s">
        <v>615</v>
      </c>
      <c r="I434" s="58"/>
      <c r="J434" s="58"/>
      <c r="K434" s="58">
        <f t="shared" si="64"/>
        <v>0</v>
      </c>
      <c r="L434" s="76"/>
      <c r="M434" s="58">
        <v>15000</v>
      </c>
      <c r="N434" s="58"/>
      <c r="O434" s="58">
        <f t="shared" si="65"/>
        <v>15000</v>
      </c>
      <c r="P434" s="76"/>
      <c r="Q434" s="58">
        <f>M434</f>
        <v>15000</v>
      </c>
      <c r="R434" s="58">
        <f t="shared" ref="R434:S434" si="69">N434</f>
        <v>0</v>
      </c>
      <c r="S434" s="58">
        <f t="shared" si="69"/>
        <v>15000</v>
      </c>
    </row>
    <row r="478" spans="2:19" ht="27" x14ac:dyDescent="0.35">
      <c r="B478" s="234" t="s">
        <v>305</v>
      </c>
      <c r="C478" s="235"/>
      <c r="D478" s="235"/>
      <c r="E478" s="235"/>
      <c r="F478" s="235"/>
      <c r="G478" s="235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</row>
    <row r="479" spans="2:19" x14ac:dyDescent="0.2">
      <c r="B479" s="236" t="s">
        <v>285</v>
      </c>
      <c r="C479" s="237"/>
      <c r="D479" s="237"/>
      <c r="E479" s="237"/>
      <c r="F479" s="237"/>
      <c r="G479" s="237"/>
      <c r="H479" s="237"/>
      <c r="I479" s="237"/>
      <c r="J479" s="237"/>
      <c r="K479" s="237"/>
      <c r="L479" s="237"/>
      <c r="M479" s="237"/>
      <c r="N479" s="182"/>
      <c r="O479" s="182"/>
      <c r="P479" s="183"/>
      <c r="Q479" s="222" t="s">
        <v>602</v>
      </c>
      <c r="R479" s="222" t="s">
        <v>657</v>
      </c>
      <c r="S479" s="222" t="s">
        <v>602</v>
      </c>
    </row>
    <row r="480" spans="2:19" x14ac:dyDescent="0.2">
      <c r="B480" s="238" t="s">
        <v>113</v>
      </c>
      <c r="C480" s="225" t="s">
        <v>121</v>
      </c>
      <c r="D480" s="225" t="s">
        <v>122</v>
      </c>
      <c r="E480" s="231" t="s">
        <v>126</v>
      </c>
      <c r="F480" s="225" t="s">
        <v>123</v>
      </c>
      <c r="G480" s="225" t="s">
        <v>124</v>
      </c>
      <c r="H480" s="240" t="s">
        <v>125</v>
      </c>
      <c r="I480" s="222" t="s">
        <v>599</v>
      </c>
      <c r="J480" s="222" t="s">
        <v>657</v>
      </c>
      <c r="K480" s="222" t="s">
        <v>659</v>
      </c>
      <c r="L480" s="168"/>
      <c r="M480" s="222" t="s">
        <v>600</v>
      </c>
      <c r="N480" s="222" t="s">
        <v>657</v>
      </c>
      <c r="O480" s="222" t="s">
        <v>660</v>
      </c>
      <c r="P480" s="169"/>
      <c r="Q480" s="223"/>
      <c r="R480" s="223"/>
      <c r="S480" s="223"/>
    </row>
    <row r="481" spans="2:19" x14ac:dyDescent="0.2">
      <c r="B481" s="238"/>
      <c r="C481" s="225"/>
      <c r="D481" s="225"/>
      <c r="E481" s="232"/>
      <c r="F481" s="225"/>
      <c r="G481" s="225"/>
      <c r="H481" s="240"/>
      <c r="I481" s="223"/>
      <c r="J481" s="223"/>
      <c r="K481" s="223"/>
      <c r="L481" s="169"/>
      <c r="M481" s="223"/>
      <c r="N481" s="223"/>
      <c r="O481" s="223"/>
      <c r="P481" s="169"/>
      <c r="Q481" s="223"/>
      <c r="R481" s="223"/>
      <c r="S481" s="223"/>
    </row>
    <row r="482" spans="2:19" x14ac:dyDescent="0.2">
      <c r="B482" s="238"/>
      <c r="C482" s="225"/>
      <c r="D482" s="225"/>
      <c r="E482" s="232"/>
      <c r="F482" s="225"/>
      <c r="G482" s="225"/>
      <c r="H482" s="240"/>
      <c r="I482" s="223"/>
      <c r="J482" s="223"/>
      <c r="K482" s="223"/>
      <c r="L482" s="169"/>
      <c r="M482" s="223"/>
      <c r="N482" s="223"/>
      <c r="O482" s="223"/>
      <c r="P482" s="169"/>
      <c r="Q482" s="223"/>
      <c r="R482" s="223"/>
      <c r="S482" s="223"/>
    </row>
    <row r="483" spans="2:19" ht="12.75" customHeight="1" thickBot="1" x14ac:dyDescent="0.25">
      <c r="B483" s="239"/>
      <c r="C483" s="226"/>
      <c r="D483" s="226"/>
      <c r="E483" s="233"/>
      <c r="F483" s="226"/>
      <c r="G483" s="226"/>
      <c r="H483" s="241"/>
      <c r="I483" s="224"/>
      <c r="J483" s="224"/>
      <c r="K483" s="224"/>
      <c r="L483" s="170"/>
      <c r="M483" s="224"/>
      <c r="N483" s="224"/>
      <c r="O483" s="224"/>
      <c r="P483" s="170"/>
      <c r="Q483" s="224"/>
      <c r="R483" s="224"/>
      <c r="S483" s="224"/>
    </row>
    <row r="484" spans="2:19" ht="18" customHeight="1" thickTop="1" x14ac:dyDescent="0.2">
      <c r="B484" s="74">
        <v>1</v>
      </c>
      <c r="C484" s="242" t="s">
        <v>305</v>
      </c>
      <c r="D484" s="243"/>
      <c r="E484" s="243"/>
      <c r="F484" s="243"/>
      <c r="G484" s="243"/>
      <c r="H484" s="244"/>
      <c r="I484" s="44">
        <f>I511+I488+I485</f>
        <v>3190641</v>
      </c>
      <c r="J484" s="44">
        <f>J511+J488+J485</f>
        <v>0</v>
      </c>
      <c r="K484" s="44">
        <f t="shared" ref="K484:K549" si="70">I484+J484</f>
        <v>3190641</v>
      </c>
      <c r="L484" s="171"/>
      <c r="M484" s="44">
        <f>M511+M488+M485</f>
        <v>2994987</v>
      </c>
      <c r="N484" s="44">
        <f>N511+N488+N485</f>
        <v>4750</v>
      </c>
      <c r="O484" s="44">
        <f t="shared" ref="O484:O549" si="71">M484+N484</f>
        <v>2999737</v>
      </c>
      <c r="P484" s="171"/>
      <c r="Q484" s="44">
        <f t="shared" ref="Q484:Q511" si="72">I484+M484</f>
        <v>6185628</v>
      </c>
      <c r="R484" s="44">
        <f t="shared" ref="R484:S499" si="73">J484+N484</f>
        <v>4750</v>
      </c>
      <c r="S484" s="44">
        <f t="shared" si="73"/>
        <v>6190378</v>
      </c>
    </row>
    <row r="485" spans="2:19" ht="15.75" customHeight="1" x14ac:dyDescent="0.2">
      <c r="B485" s="75">
        <f t="shared" ref="B485:B550" si="74">B484+1</f>
        <v>2</v>
      </c>
      <c r="C485" s="164">
        <v>1</v>
      </c>
      <c r="D485" s="230" t="s">
        <v>29</v>
      </c>
      <c r="E485" s="228"/>
      <c r="F485" s="228"/>
      <c r="G485" s="228"/>
      <c r="H485" s="229"/>
      <c r="I485" s="45">
        <f>I486</f>
        <v>2010541</v>
      </c>
      <c r="J485" s="45">
        <f>J486</f>
        <v>0</v>
      </c>
      <c r="K485" s="45">
        <f t="shared" si="70"/>
        <v>2010541</v>
      </c>
      <c r="L485" s="172"/>
      <c r="M485" s="45">
        <f>M486</f>
        <v>0</v>
      </c>
      <c r="N485" s="45">
        <f>N486</f>
        <v>0</v>
      </c>
      <c r="O485" s="45">
        <f t="shared" si="71"/>
        <v>0</v>
      </c>
      <c r="P485" s="172"/>
      <c r="Q485" s="45">
        <f t="shared" si="72"/>
        <v>2010541</v>
      </c>
      <c r="R485" s="45">
        <f t="shared" si="73"/>
        <v>0</v>
      </c>
      <c r="S485" s="45">
        <f t="shared" si="73"/>
        <v>2010541</v>
      </c>
    </row>
    <row r="486" spans="2:19" ht="18.75" customHeight="1" x14ac:dyDescent="0.2">
      <c r="B486" s="75">
        <f t="shared" si="74"/>
        <v>3</v>
      </c>
      <c r="C486" s="15"/>
      <c r="D486" s="15"/>
      <c r="E486" s="15"/>
      <c r="F486" s="52" t="s">
        <v>5</v>
      </c>
      <c r="G486" s="15">
        <v>630</v>
      </c>
      <c r="H486" s="15" t="s">
        <v>129</v>
      </c>
      <c r="I486" s="49">
        <f>I487</f>
        <v>2010541</v>
      </c>
      <c r="J486" s="49">
        <f>J487</f>
        <v>0</v>
      </c>
      <c r="K486" s="49">
        <f t="shared" si="70"/>
        <v>2010541</v>
      </c>
      <c r="L486" s="123"/>
      <c r="M486" s="49">
        <f>M487</f>
        <v>0</v>
      </c>
      <c r="N486" s="49">
        <f>N487</f>
        <v>0</v>
      </c>
      <c r="O486" s="49">
        <f t="shared" si="71"/>
        <v>0</v>
      </c>
      <c r="P486" s="123"/>
      <c r="Q486" s="49">
        <f t="shared" si="72"/>
        <v>2010541</v>
      </c>
      <c r="R486" s="49">
        <f t="shared" si="73"/>
        <v>0</v>
      </c>
      <c r="S486" s="49">
        <f t="shared" si="73"/>
        <v>2010541</v>
      </c>
    </row>
    <row r="487" spans="2:19" x14ac:dyDescent="0.2">
      <c r="B487" s="75">
        <f t="shared" si="74"/>
        <v>4</v>
      </c>
      <c r="C487" s="4"/>
      <c r="D487" s="4"/>
      <c r="E487" s="4"/>
      <c r="F487" s="53" t="s">
        <v>5</v>
      </c>
      <c r="G487" s="4">
        <v>637</v>
      </c>
      <c r="H487" s="4" t="s">
        <v>130</v>
      </c>
      <c r="I487" s="26">
        <f>1905000+105541</f>
        <v>2010541</v>
      </c>
      <c r="J487" s="26"/>
      <c r="K487" s="26">
        <f t="shared" si="70"/>
        <v>2010541</v>
      </c>
      <c r="L487" s="76"/>
      <c r="M487" s="26"/>
      <c r="N487" s="26"/>
      <c r="O487" s="26">
        <f t="shared" si="71"/>
        <v>0</v>
      </c>
      <c r="P487" s="76"/>
      <c r="Q487" s="26">
        <f t="shared" si="72"/>
        <v>2010541</v>
      </c>
      <c r="R487" s="26">
        <f t="shared" si="73"/>
        <v>0</v>
      </c>
      <c r="S487" s="26">
        <f t="shared" si="73"/>
        <v>2010541</v>
      </c>
    </row>
    <row r="488" spans="2:19" ht="15" x14ac:dyDescent="0.2">
      <c r="B488" s="75">
        <f t="shared" si="74"/>
        <v>5</v>
      </c>
      <c r="C488" s="164">
        <v>2</v>
      </c>
      <c r="D488" s="230" t="s">
        <v>6</v>
      </c>
      <c r="E488" s="228"/>
      <c r="F488" s="228"/>
      <c r="G488" s="228"/>
      <c r="H488" s="229"/>
      <c r="I488" s="45">
        <f>I489+I499+I498</f>
        <v>1180100</v>
      </c>
      <c r="J488" s="45">
        <f>J489+J499+J498</f>
        <v>0</v>
      </c>
      <c r="K488" s="45">
        <f t="shared" si="70"/>
        <v>1180100</v>
      </c>
      <c r="L488" s="172"/>
      <c r="M488" s="45">
        <f>M489+M499</f>
        <v>105000</v>
      </c>
      <c r="N488" s="45">
        <f>N489+N499</f>
        <v>0</v>
      </c>
      <c r="O488" s="45">
        <f t="shared" si="71"/>
        <v>105000</v>
      </c>
      <c r="P488" s="172"/>
      <c r="Q488" s="45">
        <f t="shared" si="72"/>
        <v>1285100</v>
      </c>
      <c r="R488" s="45">
        <f t="shared" si="73"/>
        <v>0</v>
      </c>
      <c r="S488" s="45">
        <f t="shared" si="73"/>
        <v>1285100</v>
      </c>
    </row>
    <row r="489" spans="2:19" x14ac:dyDescent="0.2">
      <c r="B489" s="75">
        <f t="shared" si="74"/>
        <v>6</v>
      </c>
      <c r="C489" s="15"/>
      <c r="D489" s="15"/>
      <c r="E489" s="15"/>
      <c r="F489" s="52" t="s">
        <v>5</v>
      </c>
      <c r="G489" s="15">
        <v>630</v>
      </c>
      <c r="H489" s="15" t="s">
        <v>129</v>
      </c>
      <c r="I489" s="49">
        <f>I497+I490+I496</f>
        <v>1092000</v>
      </c>
      <c r="J489" s="49">
        <f>J497+J490+J496</f>
        <v>0</v>
      </c>
      <c r="K489" s="49">
        <f t="shared" si="70"/>
        <v>1092000</v>
      </c>
      <c r="L489" s="123"/>
      <c r="M489" s="49">
        <f>M497+M490</f>
        <v>0</v>
      </c>
      <c r="N489" s="49">
        <f>N497+N490</f>
        <v>0</v>
      </c>
      <c r="O489" s="49">
        <f t="shared" si="71"/>
        <v>0</v>
      </c>
      <c r="P489" s="123"/>
      <c r="Q489" s="49">
        <f t="shared" si="72"/>
        <v>1092000</v>
      </c>
      <c r="R489" s="49">
        <f t="shared" si="73"/>
        <v>0</v>
      </c>
      <c r="S489" s="49">
        <f t="shared" si="73"/>
        <v>1092000</v>
      </c>
    </row>
    <row r="490" spans="2:19" x14ac:dyDescent="0.2">
      <c r="B490" s="75">
        <f t="shared" si="74"/>
        <v>7</v>
      </c>
      <c r="C490" s="4"/>
      <c r="D490" s="4"/>
      <c r="E490" s="4"/>
      <c r="F490" s="53" t="s">
        <v>5</v>
      </c>
      <c r="G490" s="4">
        <v>635</v>
      </c>
      <c r="H490" s="4" t="s">
        <v>139</v>
      </c>
      <c r="I490" s="26">
        <f>I491+I492+I493+I494+I495</f>
        <v>1080000</v>
      </c>
      <c r="J490" s="26">
        <f>J491+J492+J493+J494+J495</f>
        <v>0</v>
      </c>
      <c r="K490" s="26">
        <f t="shared" si="70"/>
        <v>1080000</v>
      </c>
      <c r="L490" s="76"/>
      <c r="M490" s="26"/>
      <c r="N490" s="26"/>
      <c r="O490" s="26">
        <f t="shared" si="71"/>
        <v>0</v>
      </c>
      <c r="P490" s="76"/>
      <c r="Q490" s="26">
        <f t="shared" si="72"/>
        <v>1080000</v>
      </c>
      <c r="R490" s="26">
        <f t="shared" si="73"/>
        <v>0</v>
      </c>
      <c r="S490" s="26">
        <f t="shared" si="73"/>
        <v>1080000</v>
      </c>
    </row>
    <row r="491" spans="2:19" x14ac:dyDescent="0.2">
      <c r="B491" s="75">
        <f t="shared" si="74"/>
        <v>8</v>
      </c>
      <c r="C491" s="4"/>
      <c r="D491" s="4"/>
      <c r="E491" s="4"/>
      <c r="F491" s="53"/>
      <c r="G491" s="4"/>
      <c r="H491" s="4" t="s">
        <v>494</v>
      </c>
      <c r="I491" s="26">
        <v>380000</v>
      </c>
      <c r="J491" s="26"/>
      <c r="K491" s="26">
        <f t="shared" si="70"/>
        <v>380000</v>
      </c>
      <c r="L491" s="76"/>
      <c r="M491" s="26"/>
      <c r="N491" s="26"/>
      <c r="O491" s="26">
        <f t="shared" si="71"/>
        <v>0</v>
      </c>
      <c r="P491" s="76"/>
      <c r="Q491" s="26">
        <f t="shared" si="72"/>
        <v>380000</v>
      </c>
      <c r="R491" s="26">
        <f t="shared" si="73"/>
        <v>0</v>
      </c>
      <c r="S491" s="26">
        <f t="shared" si="73"/>
        <v>380000</v>
      </c>
    </row>
    <row r="492" spans="2:19" x14ac:dyDescent="0.2">
      <c r="B492" s="75">
        <f t="shared" si="74"/>
        <v>9</v>
      </c>
      <c r="C492" s="4"/>
      <c r="D492" s="4"/>
      <c r="E492" s="4"/>
      <c r="F492" s="53"/>
      <c r="G492" s="4"/>
      <c r="H492" s="4" t="s">
        <v>495</v>
      </c>
      <c r="I492" s="26">
        <v>220000</v>
      </c>
      <c r="J492" s="26"/>
      <c r="K492" s="26">
        <f t="shared" si="70"/>
        <v>220000</v>
      </c>
      <c r="L492" s="76"/>
      <c r="M492" s="26"/>
      <c r="N492" s="26"/>
      <c r="O492" s="26">
        <f t="shared" si="71"/>
        <v>0</v>
      </c>
      <c r="P492" s="76"/>
      <c r="Q492" s="26">
        <f t="shared" si="72"/>
        <v>220000</v>
      </c>
      <c r="R492" s="26">
        <f t="shared" si="73"/>
        <v>0</v>
      </c>
      <c r="S492" s="26">
        <f t="shared" si="73"/>
        <v>220000</v>
      </c>
    </row>
    <row r="493" spans="2:19" x14ac:dyDescent="0.2">
      <c r="B493" s="75">
        <f t="shared" si="74"/>
        <v>10</v>
      </c>
      <c r="C493" s="4"/>
      <c r="D493" s="4"/>
      <c r="E493" s="4"/>
      <c r="F493" s="53"/>
      <c r="G493" s="4"/>
      <c r="H493" s="4" t="s">
        <v>496</v>
      </c>
      <c r="I493" s="26">
        <f>250000-85000</f>
        <v>165000</v>
      </c>
      <c r="J493" s="26"/>
      <c r="K493" s="26">
        <f t="shared" si="70"/>
        <v>165000</v>
      </c>
      <c r="L493" s="76"/>
      <c r="M493" s="26"/>
      <c r="N493" s="26"/>
      <c r="O493" s="26">
        <f t="shared" si="71"/>
        <v>0</v>
      </c>
      <c r="P493" s="76"/>
      <c r="Q493" s="26">
        <f t="shared" si="72"/>
        <v>165000</v>
      </c>
      <c r="R493" s="26">
        <f t="shared" si="73"/>
        <v>0</v>
      </c>
      <c r="S493" s="26">
        <f t="shared" si="73"/>
        <v>165000</v>
      </c>
    </row>
    <row r="494" spans="2:19" x14ac:dyDescent="0.2">
      <c r="B494" s="75">
        <f t="shared" si="74"/>
        <v>11</v>
      </c>
      <c r="C494" s="4"/>
      <c r="D494" s="4"/>
      <c r="E494" s="4"/>
      <c r="F494" s="53"/>
      <c r="G494" s="4"/>
      <c r="H494" s="160" t="s">
        <v>618</v>
      </c>
      <c r="I494" s="161">
        <v>280000</v>
      </c>
      <c r="J494" s="161"/>
      <c r="K494" s="161">
        <f t="shared" si="70"/>
        <v>280000</v>
      </c>
      <c r="L494" s="161"/>
      <c r="M494" s="161"/>
      <c r="N494" s="161"/>
      <c r="O494" s="161">
        <f t="shared" si="71"/>
        <v>0</v>
      </c>
      <c r="P494" s="161"/>
      <c r="Q494" s="161">
        <f t="shared" si="72"/>
        <v>280000</v>
      </c>
      <c r="R494" s="161">
        <f t="shared" si="73"/>
        <v>0</v>
      </c>
      <c r="S494" s="161">
        <f t="shared" si="73"/>
        <v>280000</v>
      </c>
    </row>
    <row r="495" spans="2:19" x14ac:dyDescent="0.2">
      <c r="B495" s="75">
        <f t="shared" si="74"/>
        <v>12</v>
      </c>
      <c r="C495" s="4"/>
      <c r="D495" s="4"/>
      <c r="E495" s="4"/>
      <c r="F495" s="53"/>
      <c r="G495" s="4"/>
      <c r="H495" s="160" t="s">
        <v>619</v>
      </c>
      <c r="I495" s="161">
        <v>35000</v>
      </c>
      <c r="J495" s="161"/>
      <c r="K495" s="161">
        <f t="shared" si="70"/>
        <v>35000</v>
      </c>
      <c r="L495" s="161"/>
      <c r="M495" s="161"/>
      <c r="N495" s="161"/>
      <c r="O495" s="161">
        <f t="shared" si="71"/>
        <v>0</v>
      </c>
      <c r="P495" s="161"/>
      <c r="Q495" s="161">
        <f t="shared" si="72"/>
        <v>35000</v>
      </c>
      <c r="R495" s="161">
        <f t="shared" si="73"/>
        <v>0</v>
      </c>
      <c r="S495" s="161">
        <f t="shared" si="73"/>
        <v>35000</v>
      </c>
    </row>
    <row r="496" spans="2:19" x14ac:dyDescent="0.2">
      <c r="B496" s="75">
        <f t="shared" si="74"/>
        <v>13</v>
      </c>
      <c r="C496" s="4"/>
      <c r="D496" s="4"/>
      <c r="E496" s="4"/>
      <c r="F496" s="142" t="s">
        <v>5</v>
      </c>
      <c r="G496" s="143">
        <v>635</v>
      </c>
      <c r="H496" s="143" t="s">
        <v>574</v>
      </c>
      <c r="I496" s="141">
        <v>10000</v>
      </c>
      <c r="J496" s="141"/>
      <c r="K496" s="141">
        <f t="shared" si="70"/>
        <v>10000</v>
      </c>
      <c r="L496" s="76"/>
      <c r="M496" s="141"/>
      <c r="N496" s="141"/>
      <c r="O496" s="141">
        <f t="shared" si="71"/>
        <v>0</v>
      </c>
      <c r="P496" s="76"/>
      <c r="Q496" s="141">
        <f t="shared" si="72"/>
        <v>10000</v>
      </c>
      <c r="R496" s="141">
        <f t="shared" si="73"/>
        <v>0</v>
      </c>
      <c r="S496" s="141">
        <f t="shared" si="73"/>
        <v>10000</v>
      </c>
    </row>
    <row r="497" spans="2:19" x14ac:dyDescent="0.2">
      <c r="B497" s="75">
        <f t="shared" si="74"/>
        <v>14</v>
      </c>
      <c r="C497" s="4"/>
      <c r="D497" s="4"/>
      <c r="E497" s="4"/>
      <c r="F497" s="53" t="s">
        <v>5</v>
      </c>
      <c r="G497" s="4">
        <v>637</v>
      </c>
      <c r="H497" s="4" t="s">
        <v>130</v>
      </c>
      <c r="I497" s="26">
        <v>2000</v>
      </c>
      <c r="J497" s="26"/>
      <c r="K497" s="26">
        <f t="shared" si="70"/>
        <v>2000</v>
      </c>
      <c r="L497" s="76"/>
      <c r="M497" s="26"/>
      <c r="N497" s="26"/>
      <c r="O497" s="26">
        <f t="shared" si="71"/>
        <v>0</v>
      </c>
      <c r="P497" s="76"/>
      <c r="Q497" s="26">
        <f t="shared" si="72"/>
        <v>2000</v>
      </c>
      <c r="R497" s="26">
        <f t="shared" si="73"/>
        <v>0</v>
      </c>
      <c r="S497" s="26">
        <f t="shared" si="73"/>
        <v>2000</v>
      </c>
    </row>
    <row r="498" spans="2:19" x14ac:dyDescent="0.2">
      <c r="B498" s="75">
        <f t="shared" si="74"/>
        <v>15</v>
      </c>
      <c r="C498" s="4"/>
      <c r="D498" s="4"/>
      <c r="E498" s="4"/>
      <c r="F498" s="52" t="s">
        <v>5</v>
      </c>
      <c r="G498" s="15">
        <v>630</v>
      </c>
      <c r="H498" s="129" t="s">
        <v>550</v>
      </c>
      <c r="I498" s="130">
        <v>400</v>
      </c>
      <c r="J498" s="130"/>
      <c r="K498" s="130">
        <f t="shared" si="70"/>
        <v>400</v>
      </c>
      <c r="L498" s="123"/>
      <c r="M498" s="130"/>
      <c r="N498" s="130"/>
      <c r="O498" s="130">
        <f t="shared" si="71"/>
        <v>0</v>
      </c>
      <c r="P498" s="123"/>
      <c r="Q498" s="130">
        <f t="shared" si="72"/>
        <v>400</v>
      </c>
      <c r="R498" s="130">
        <f t="shared" si="73"/>
        <v>0</v>
      </c>
      <c r="S498" s="130">
        <f t="shared" si="73"/>
        <v>400</v>
      </c>
    </row>
    <row r="499" spans="2:19" ht="15" x14ac:dyDescent="0.25">
      <c r="B499" s="75">
        <f t="shared" si="74"/>
        <v>16</v>
      </c>
      <c r="C499" s="18"/>
      <c r="D499" s="18"/>
      <c r="E499" s="18">
        <v>2</v>
      </c>
      <c r="F499" s="50"/>
      <c r="G499" s="18"/>
      <c r="H499" s="18" t="s">
        <v>258</v>
      </c>
      <c r="I499" s="47">
        <f>I500+I501+I502+I508</f>
        <v>87700</v>
      </c>
      <c r="J499" s="47">
        <f>J500+J501+J502+J508+J507</f>
        <v>0</v>
      </c>
      <c r="K499" s="47">
        <f t="shared" si="70"/>
        <v>87700</v>
      </c>
      <c r="L499" s="174"/>
      <c r="M499" s="47">
        <f>M500+M501+M502+M508</f>
        <v>105000</v>
      </c>
      <c r="N499" s="47">
        <f>N500+N501+N502+N508</f>
        <v>0</v>
      </c>
      <c r="O499" s="47">
        <f t="shared" si="71"/>
        <v>105000</v>
      </c>
      <c r="P499" s="174"/>
      <c r="Q499" s="47">
        <f t="shared" si="72"/>
        <v>192700</v>
      </c>
      <c r="R499" s="47">
        <f t="shared" si="73"/>
        <v>0</v>
      </c>
      <c r="S499" s="47">
        <f t="shared" si="73"/>
        <v>192700</v>
      </c>
    </row>
    <row r="500" spans="2:19" x14ac:dyDescent="0.2">
      <c r="B500" s="75">
        <f t="shared" si="74"/>
        <v>17</v>
      </c>
      <c r="C500" s="15"/>
      <c r="D500" s="15"/>
      <c r="E500" s="15"/>
      <c r="F500" s="52" t="s">
        <v>5</v>
      </c>
      <c r="G500" s="15">
        <v>610</v>
      </c>
      <c r="H500" s="15" t="s">
        <v>137</v>
      </c>
      <c r="I500" s="49">
        <v>19900</v>
      </c>
      <c r="J500" s="49"/>
      <c r="K500" s="49">
        <f t="shared" si="70"/>
        <v>19900</v>
      </c>
      <c r="L500" s="123"/>
      <c r="M500" s="49"/>
      <c r="N500" s="49"/>
      <c r="O500" s="49">
        <f t="shared" si="71"/>
        <v>0</v>
      </c>
      <c r="P500" s="123"/>
      <c r="Q500" s="49">
        <f t="shared" si="72"/>
        <v>19900</v>
      </c>
      <c r="R500" s="49">
        <f t="shared" ref="R500:S511" si="75">J500+N500</f>
        <v>0</v>
      </c>
      <c r="S500" s="49">
        <f t="shared" si="75"/>
        <v>19900</v>
      </c>
    </row>
    <row r="501" spans="2:19" x14ac:dyDescent="0.2">
      <c r="B501" s="75">
        <f t="shared" si="74"/>
        <v>18</v>
      </c>
      <c r="C501" s="15"/>
      <c r="D501" s="15"/>
      <c r="E501" s="15"/>
      <c r="F501" s="52" t="s">
        <v>5</v>
      </c>
      <c r="G501" s="15">
        <v>620</v>
      </c>
      <c r="H501" s="15" t="s">
        <v>132</v>
      </c>
      <c r="I501" s="49">
        <v>10900</v>
      </c>
      <c r="J501" s="49"/>
      <c r="K501" s="49">
        <f t="shared" si="70"/>
        <v>10900</v>
      </c>
      <c r="L501" s="123"/>
      <c r="M501" s="49"/>
      <c r="N501" s="49"/>
      <c r="O501" s="49">
        <f t="shared" si="71"/>
        <v>0</v>
      </c>
      <c r="P501" s="123"/>
      <c r="Q501" s="49">
        <f t="shared" si="72"/>
        <v>10900</v>
      </c>
      <c r="R501" s="49">
        <f t="shared" si="75"/>
        <v>0</v>
      </c>
      <c r="S501" s="49">
        <f t="shared" si="75"/>
        <v>10900</v>
      </c>
    </row>
    <row r="502" spans="2:19" x14ac:dyDescent="0.2">
      <c r="B502" s="75">
        <f t="shared" si="74"/>
        <v>19</v>
      </c>
      <c r="C502" s="15"/>
      <c r="D502" s="15"/>
      <c r="E502" s="15"/>
      <c r="F502" s="52" t="s">
        <v>5</v>
      </c>
      <c r="G502" s="15">
        <v>630</v>
      </c>
      <c r="H502" s="15" t="s">
        <v>129</v>
      </c>
      <c r="I502" s="49">
        <f>I506+I505+I504+I503</f>
        <v>56900</v>
      </c>
      <c r="J502" s="49">
        <f>J506+J505+J504+J503</f>
        <v>-100</v>
      </c>
      <c r="K502" s="49">
        <f t="shared" si="70"/>
        <v>56800</v>
      </c>
      <c r="L502" s="123"/>
      <c r="M502" s="49">
        <f>M506+M505+M504+M503</f>
        <v>0</v>
      </c>
      <c r="N502" s="49">
        <f>N506+N505+N504+N503</f>
        <v>0</v>
      </c>
      <c r="O502" s="49">
        <f t="shared" si="71"/>
        <v>0</v>
      </c>
      <c r="P502" s="123"/>
      <c r="Q502" s="49">
        <f t="shared" si="72"/>
        <v>56900</v>
      </c>
      <c r="R502" s="49">
        <f t="shared" si="75"/>
        <v>-100</v>
      </c>
      <c r="S502" s="49">
        <f t="shared" si="75"/>
        <v>56800</v>
      </c>
    </row>
    <row r="503" spans="2:19" x14ac:dyDescent="0.2">
      <c r="B503" s="75">
        <f t="shared" si="74"/>
        <v>20</v>
      </c>
      <c r="C503" s="4"/>
      <c r="D503" s="4"/>
      <c r="E503" s="4"/>
      <c r="F503" s="53" t="s">
        <v>5</v>
      </c>
      <c r="G503" s="4">
        <v>633</v>
      </c>
      <c r="H503" s="4" t="s">
        <v>133</v>
      </c>
      <c r="I503" s="26">
        <v>35200</v>
      </c>
      <c r="J503" s="26"/>
      <c r="K503" s="26">
        <f t="shared" si="70"/>
        <v>35200</v>
      </c>
      <c r="L503" s="76"/>
      <c r="M503" s="26"/>
      <c r="N503" s="26"/>
      <c r="O503" s="26">
        <f t="shared" si="71"/>
        <v>0</v>
      </c>
      <c r="P503" s="76"/>
      <c r="Q503" s="26">
        <f t="shared" si="72"/>
        <v>35200</v>
      </c>
      <c r="R503" s="26">
        <f t="shared" si="75"/>
        <v>0</v>
      </c>
      <c r="S503" s="26">
        <f t="shared" si="75"/>
        <v>35200</v>
      </c>
    </row>
    <row r="504" spans="2:19" x14ac:dyDescent="0.2">
      <c r="B504" s="75">
        <f t="shared" si="74"/>
        <v>21</v>
      </c>
      <c r="C504" s="4"/>
      <c r="D504" s="4"/>
      <c r="E504" s="4"/>
      <c r="F504" s="53" t="s">
        <v>5</v>
      </c>
      <c r="G504" s="4">
        <v>634</v>
      </c>
      <c r="H504" s="4" t="s">
        <v>138</v>
      </c>
      <c r="I504" s="26">
        <v>8000</v>
      </c>
      <c r="J504" s="26"/>
      <c r="K504" s="26">
        <f t="shared" si="70"/>
        <v>8000</v>
      </c>
      <c r="L504" s="76"/>
      <c r="M504" s="26"/>
      <c r="N504" s="26"/>
      <c r="O504" s="26">
        <f t="shared" si="71"/>
        <v>0</v>
      </c>
      <c r="P504" s="76"/>
      <c r="Q504" s="26">
        <f t="shared" si="72"/>
        <v>8000</v>
      </c>
      <c r="R504" s="26">
        <f t="shared" si="75"/>
        <v>0</v>
      </c>
      <c r="S504" s="26">
        <f t="shared" si="75"/>
        <v>8000</v>
      </c>
    </row>
    <row r="505" spans="2:19" x14ac:dyDescent="0.2">
      <c r="B505" s="75">
        <f t="shared" si="74"/>
        <v>22</v>
      </c>
      <c r="C505" s="4"/>
      <c r="D505" s="4"/>
      <c r="E505" s="4"/>
      <c r="F505" s="53" t="s">
        <v>5</v>
      </c>
      <c r="G505" s="4">
        <v>635</v>
      </c>
      <c r="H505" s="4" t="s">
        <v>139</v>
      </c>
      <c r="I505" s="26">
        <v>500</v>
      </c>
      <c r="J505" s="26"/>
      <c r="K505" s="26">
        <f t="shared" si="70"/>
        <v>500</v>
      </c>
      <c r="L505" s="76"/>
      <c r="M505" s="26"/>
      <c r="N505" s="26"/>
      <c r="O505" s="26">
        <f t="shared" si="71"/>
        <v>0</v>
      </c>
      <c r="P505" s="76"/>
      <c r="Q505" s="26">
        <f t="shared" si="72"/>
        <v>500</v>
      </c>
      <c r="R505" s="26">
        <f t="shared" si="75"/>
        <v>0</v>
      </c>
      <c r="S505" s="26">
        <f t="shared" si="75"/>
        <v>500</v>
      </c>
    </row>
    <row r="506" spans="2:19" x14ac:dyDescent="0.2">
      <c r="B506" s="75">
        <f t="shared" si="74"/>
        <v>23</v>
      </c>
      <c r="C506" s="4"/>
      <c r="D506" s="4"/>
      <c r="E506" s="4"/>
      <c r="F506" s="53" t="s">
        <v>5</v>
      </c>
      <c r="G506" s="4">
        <v>637</v>
      </c>
      <c r="H506" s="4" t="s">
        <v>130</v>
      </c>
      <c r="I506" s="26">
        <v>13200</v>
      </c>
      <c r="J506" s="26">
        <v>-100</v>
      </c>
      <c r="K506" s="26">
        <f t="shared" si="70"/>
        <v>13100</v>
      </c>
      <c r="L506" s="76"/>
      <c r="M506" s="26"/>
      <c r="N506" s="26"/>
      <c r="O506" s="26">
        <f t="shared" si="71"/>
        <v>0</v>
      </c>
      <c r="P506" s="76"/>
      <c r="Q506" s="26">
        <f t="shared" si="72"/>
        <v>13200</v>
      </c>
      <c r="R506" s="26">
        <f t="shared" si="75"/>
        <v>-100</v>
      </c>
      <c r="S506" s="26">
        <f t="shared" si="75"/>
        <v>13100</v>
      </c>
    </row>
    <row r="507" spans="2:19" x14ac:dyDescent="0.2">
      <c r="B507" s="75">
        <f t="shared" si="74"/>
        <v>24</v>
      </c>
      <c r="C507" s="4"/>
      <c r="D507" s="4"/>
      <c r="E507" s="4"/>
      <c r="F507" s="52" t="s">
        <v>5</v>
      </c>
      <c r="G507" s="15">
        <v>640</v>
      </c>
      <c r="H507" s="15" t="s">
        <v>136</v>
      </c>
      <c r="I507" s="49">
        <f>SUM(I508:I510)</f>
        <v>0</v>
      </c>
      <c r="J507" s="49">
        <v>100</v>
      </c>
      <c r="K507" s="49">
        <f t="shared" si="70"/>
        <v>100</v>
      </c>
      <c r="L507" s="123"/>
      <c r="M507" s="49"/>
      <c r="N507" s="49"/>
      <c r="O507" s="49">
        <f t="shared" si="71"/>
        <v>0</v>
      </c>
      <c r="P507" s="123"/>
      <c r="Q507" s="25">
        <f t="shared" ref="Q507" si="76">M507+I507</f>
        <v>0</v>
      </c>
      <c r="R507" s="25">
        <f t="shared" ref="R507" si="77">N507+J507</f>
        <v>100</v>
      </c>
      <c r="S507" s="25">
        <f t="shared" ref="S507" si="78">O507+K507</f>
        <v>100</v>
      </c>
    </row>
    <row r="508" spans="2:19" x14ac:dyDescent="0.2">
      <c r="B508" s="75">
        <f t="shared" si="74"/>
        <v>25</v>
      </c>
      <c r="C508" s="15"/>
      <c r="D508" s="15"/>
      <c r="E508" s="15"/>
      <c r="F508" s="52" t="s">
        <v>5</v>
      </c>
      <c r="G508" s="15">
        <v>710</v>
      </c>
      <c r="H508" s="15" t="s">
        <v>185</v>
      </c>
      <c r="I508" s="49">
        <f>I509</f>
        <v>0</v>
      </c>
      <c r="J508" s="49">
        <f>J509</f>
        <v>0</v>
      </c>
      <c r="K508" s="49">
        <f t="shared" si="70"/>
        <v>0</v>
      </c>
      <c r="L508" s="123"/>
      <c r="M508" s="49">
        <f>M509</f>
        <v>105000</v>
      </c>
      <c r="N508" s="49">
        <f>N509</f>
        <v>0</v>
      </c>
      <c r="O508" s="49">
        <f t="shared" si="71"/>
        <v>105000</v>
      </c>
      <c r="P508" s="123"/>
      <c r="Q508" s="49">
        <f t="shared" si="72"/>
        <v>105000</v>
      </c>
      <c r="R508" s="49">
        <f t="shared" si="75"/>
        <v>0</v>
      </c>
      <c r="S508" s="49">
        <f t="shared" si="75"/>
        <v>105000</v>
      </c>
    </row>
    <row r="509" spans="2:19" x14ac:dyDescent="0.2">
      <c r="B509" s="75">
        <f t="shared" si="74"/>
        <v>26</v>
      </c>
      <c r="C509" s="4"/>
      <c r="D509" s="4"/>
      <c r="E509" s="4"/>
      <c r="F509" s="86" t="s">
        <v>5</v>
      </c>
      <c r="G509" s="87">
        <v>714</v>
      </c>
      <c r="H509" s="87" t="s">
        <v>186</v>
      </c>
      <c r="I509" s="88"/>
      <c r="J509" s="88"/>
      <c r="K509" s="88">
        <f t="shared" si="70"/>
        <v>0</v>
      </c>
      <c r="L509" s="76"/>
      <c r="M509" s="88">
        <f>M510</f>
        <v>105000</v>
      </c>
      <c r="N509" s="88">
        <f>N510</f>
        <v>0</v>
      </c>
      <c r="O509" s="88">
        <f t="shared" si="71"/>
        <v>105000</v>
      </c>
      <c r="P509" s="76"/>
      <c r="Q509" s="88">
        <f t="shared" si="72"/>
        <v>105000</v>
      </c>
      <c r="R509" s="88">
        <f t="shared" si="75"/>
        <v>0</v>
      </c>
      <c r="S509" s="88">
        <f t="shared" si="75"/>
        <v>105000</v>
      </c>
    </row>
    <row r="510" spans="2:19" x14ac:dyDescent="0.2">
      <c r="B510" s="75">
        <f t="shared" si="74"/>
        <v>27</v>
      </c>
      <c r="C510" s="4"/>
      <c r="D510" s="4"/>
      <c r="E510" s="4"/>
      <c r="F510" s="53"/>
      <c r="G510" s="4"/>
      <c r="H510" s="4" t="s">
        <v>381</v>
      </c>
      <c r="I510" s="26"/>
      <c r="J510" s="26"/>
      <c r="K510" s="26">
        <f t="shared" si="70"/>
        <v>0</v>
      </c>
      <c r="L510" s="76"/>
      <c r="M510" s="26">
        <v>105000</v>
      </c>
      <c r="N510" s="26"/>
      <c r="O510" s="26">
        <f t="shared" si="71"/>
        <v>105000</v>
      </c>
      <c r="P510" s="76"/>
      <c r="Q510" s="26">
        <f t="shared" si="72"/>
        <v>105000</v>
      </c>
      <c r="R510" s="26">
        <f t="shared" si="75"/>
        <v>0</v>
      </c>
      <c r="S510" s="26">
        <f t="shared" si="75"/>
        <v>105000</v>
      </c>
    </row>
    <row r="511" spans="2:19" ht="15" x14ac:dyDescent="0.2">
      <c r="B511" s="75">
        <f t="shared" si="74"/>
        <v>28</v>
      </c>
      <c r="C511" s="164">
        <v>3</v>
      </c>
      <c r="D511" s="230" t="s">
        <v>10</v>
      </c>
      <c r="E511" s="228"/>
      <c r="F511" s="228"/>
      <c r="G511" s="228"/>
      <c r="H511" s="229"/>
      <c r="I511" s="45">
        <f>I512</f>
        <v>0</v>
      </c>
      <c r="J511" s="45">
        <f>J512</f>
        <v>0</v>
      </c>
      <c r="K511" s="45">
        <f t="shared" si="70"/>
        <v>0</v>
      </c>
      <c r="L511" s="172"/>
      <c r="M511" s="45">
        <f>M512+M593</f>
        <v>2889987</v>
      </c>
      <c r="N511" s="45">
        <f>N512+N593</f>
        <v>4750</v>
      </c>
      <c r="O511" s="45">
        <f t="shared" si="71"/>
        <v>2894737</v>
      </c>
      <c r="P511" s="172"/>
      <c r="Q511" s="45">
        <f t="shared" si="72"/>
        <v>2889987</v>
      </c>
      <c r="R511" s="45">
        <f t="shared" si="75"/>
        <v>4750</v>
      </c>
      <c r="S511" s="45">
        <f t="shared" si="75"/>
        <v>2894737</v>
      </c>
    </row>
    <row r="512" spans="2:19" x14ac:dyDescent="0.2">
      <c r="B512" s="75">
        <f t="shared" si="74"/>
        <v>29</v>
      </c>
      <c r="C512" s="15"/>
      <c r="D512" s="15"/>
      <c r="E512" s="15"/>
      <c r="F512" s="52" t="s">
        <v>5</v>
      </c>
      <c r="G512" s="15">
        <v>710</v>
      </c>
      <c r="H512" s="15" t="s">
        <v>185</v>
      </c>
      <c r="I512" s="49">
        <f>I541+I515</f>
        <v>0</v>
      </c>
      <c r="J512" s="49">
        <f>J541+J515</f>
        <v>0</v>
      </c>
      <c r="K512" s="49">
        <f t="shared" si="70"/>
        <v>0</v>
      </c>
      <c r="L512" s="123"/>
      <c r="M512" s="49">
        <f>M541+M515+M513</f>
        <v>2619861</v>
      </c>
      <c r="N512" s="49">
        <f>N541+N515+N513</f>
        <v>4750</v>
      </c>
      <c r="O512" s="49">
        <f t="shared" si="71"/>
        <v>2624611</v>
      </c>
      <c r="P512" s="123"/>
      <c r="Q512" s="49">
        <f>I512+M512+Q513</f>
        <v>2639861</v>
      </c>
      <c r="R512" s="49">
        <f t="shared" ref="R512:S512" si="79">J512+N512+R513</f>
        <v>4750</v>
      </c>
      <c r="S512" s="49">
        <f t="shared" si="79"/>
        <v>2644611</v>
      </c>
    </row>
    <row r="513" spans="2:19" x14ac:dyDescent="0.2">
      <c r="B513" s="75">
        <f t="shared" si="74"/>
        <v>30</v>
      </c>
      <c r="C513" s="15"/>
      <c r="D513" s="15"/>
      <c r="E513" s="15"/>
      <c r="F513" s="86" t="s">
        <v>5</v>
      </c>
      <c r="G513" s="87">
        <v>712</v>
      </c>
      <c r="H513" s="87" t="s">
        <v>245</v>
      </c>
      <c r="I513" s="88"/>
      <c r="J513" s="88"/>
      <c r="K513" s="88">
        <f t="shared" si="70"/>
        <v>0</v>
      </c>
      <c r="L513" s="76"/>
      <c r="M513" s="88">
        <f>M514</f>
        <v>20000</v>
      </c>
      <c r="N513" s="88">
        <f>N514</f>
        <v>0</v>
      </c>
      <c r="O513" s="88">
        <f t="shared" si="71"/>
        <v>20000</v>
      </c>
      <c r="P513" s="76"/>
      <c r="Q513" s="88">
        <f>Q514</f>
        <v>20000</v>
      </c>
      <c r="R513" s="88">
        <f t="shared" ref="R513:S513" si="80">R514</f>
        <v>0</v>
      </c>
      <c r="S513" s="88">
        <f t="shared" si="80"/>
        <v>20000</v>
      </c>
    </row>
    <row r="514" spans="2:19" x14ac:dyDescent="0.2">
      <c r="B514" s="75">
        <f t="shared" si="74"/>
        <v>31</v>
      </c>
      <c r="C514" s="15"/>
      <c r="D514" s="15"/>
      <c r="E514" s="15"/>
      <c r="F514" s="52"/>
      <c r="G514" s="15"/>
      <c r="H514" s="60" t="s">
        <v>616</v>
      </c>
      <c r="I514" s="49"/>
      <c r="J514" s="49"/>
      <c r="K514" s="49">
        <f t="shared" si="70"/>
        <v>0</v>
      </c>
      <c r="L514" s="123"/>
      <c r="M514" s="58">
        <v>20000</v>
      </c>
      <c r="N514" s="58"/>
      <c r="O514" s="58">
        <f t="shared" si="71"/>
        <v>20000</v>
      </c>
      <c r="P514" s="76"/>
      <c r="Q514" s="58">
        <f>M514</f>
        <v>20000</v>
      </c>
      <c r="R514" s="58">
        <f t="shared" ref="R514:S514" si="81">N514</f>
        <v>0</v>
      </c>
      <c r="S514" s="58">
        <f t="shared" si="81"/>
        <v>20000</v>
      </c>
    </row>
    <row r="515" spans="2:19" x14ac:dyDescent="0.2">
      <c r="B515" s="75">
        <f t="shared" si="74"/>
        <v>32</v>
      </c>
      <c r="C515" s="4"/>
      <c r="D515" s="4"/>
      <c r="E515" s="4"/>
      <c r="F515" s="86" t="s">
        <v>5</v>
      </c>
      <c r="G515" s="87">
        <v>716</v>
      </c>
      <c r="H515" s="87" t="s">
        <v>0</v>
      </c>
      <c r="I515" s="88"/>
      <c r="J515" s="88"/>
      <c r="K515" s="88">
        <f t="shared" si="70"/>
        <v>0</v>
      </c>
      <c r="L515" s="76"/>
      <c r="M515" s="88">
        <f>SUM(M516:M539)</f>
        <v>214196</v>
      </c>
      <c r="N515" s="88">
        <f>SUM(N516:N540)</f>
        <v>2000</v>
      </c>
      <c r="O515" s="88">
        <f t="shared" si="71"/>
        <v>216196</v>
      </c>
      <c r="P515" s="76"/>
      <c r="Q515" s="88">
        <f t="shared" ref="Q515:Q547" si="82">I515+M515</f>
        <v>214196</v>
      </c>
      <c r="R515" s="88">
        <f t="shared" ref="R515:S530" si="83">J515+N515</f>
        <v>2000</v>
      </c>
      <c r="S515" s="88">
        <f t="shared" si="83"/>
        <v>216196</v>
      </c>
    </row>
    <row r="516" spans="2:19" x14ac:dyDescent="0.2">
      <c r="B516" s="75">
        <f t="shared" si="74"/>
        <v>33</v>
      </c>
      <c r="C516" s="4"/>
      <c r="D516" s="4"/>
      <c r="E516" s="4"/>
      <c r="F516" s="53"/>
      <c r="G516" s="4"/>
      <c r="H516" s="4" t="s">
        <v>449</v>
      </c>
      <c r="I516" s="26"/>
      <c r="J516" s="26"/>
      <c r="K516" s="26">
        <f t="shared" si="70"/>
        <v>0</v>
      </c>
      <c r="L516" s="76"/>
      <c r="M516" s="26">
        <v>150000</v>
      </c>
      <c r="N516" s="26"/>
      <c r="O516" s="26">
        <f t="shared" si="71"/>
        <v>150000</v>
      </c>
      <c r="P516" s="76"/>
      <c r="Q516" s="26">
        <f t="shared" si="82"/>
        <v>150000</v>
      </c>
      <c r="R516" s="26">
        <f t="shared" si="83"/>
        <v>0</v>
      </c>
      <c r="S516" s="26">
        <f t="shared" si="83"/>
        <v>150000</v>
      </c>
    </row>
    <row r="517" spans="2:19" x14ac:dyDescent="0.2">
      <c r="B517" s="75">
        <f t="shared" si="74"/>
        <v>34</v>
      </c>
      <c r="C517" s="4"/>
      <c r="D517" s="4"/>
      <c r="E517" s="4"/>
      <c r="F517" s="53"/>
      <c r="G517" s="4"/>
      <c r="H517" s="4" t="s">
        <v>480</v>
      </c>
      <c r="I517" s="26"/>
      <c r="J517" s="26"/>
      <c r="K517" s="26">
        <f t="shared" si="70"/>
        <v>0</v>
      </c>
      <c r="L517" s="76"/>
      <c r="M517" s="26">
        <v>10000</v>
      </c>
      <c r="N517" s="26"/>
      <c r="O517" s="26">
        <f t="shared" si="71"/>
        <v>10000</v>
      </c>
      <c r="P517" s="76"/>
      <c r="Q517" s="26">
        <f t="shared" si="82"/>
        <v>10000</v>
      </c>
      <c r="R517" s="26">
        <f t="shared" si="83"/>
        <v>0</v>
      </c>
      <c r="S517" s="26">
        <f t="shared" si="83"/>
        <v>10000</v>
      </c>
    </row>
    <row r="518" spans="2:19" x14ac:dyDescent="0.2">
      <c r="B518" s="75">
        <f t="shared" si="74"/>
        <v>35</v>
      </c>
      <c r="C518" s="4"/>
      <c r="D518" s="4"/>
      <c r="E518" s="4"/>
      <c r="F518" s="53"/>
      <c r="G518" s="4"/>
      <c r="H518" s="4" t="s">
        <v>490</v>
      </c>
      <c r="I518" s="26"/>
      <c r="J518" s="26"/>
      <c r="K518" s="26">
        <f t="shared" si="70"/>
        <v>0</v>
      </c>
      <c r="L518" s="76"/>
      <c r="M518" s="26">
        <v>3500</v>
      </c>
      <c r="N518" s="26"/>
      <c r="O518" s="26">
        <f t="shared" si="71"/>
        <v>3500</v>
      </c>
      <c r="P518" s="76"/>
      <c r="Q518" s="26">
        <f t="shared" si="82"/>
        <v>3500</v>
      </c>
      <c r="R518" s="26">
        <f t="shared" si="83"/>
        <v>0</v>
      </c>
      <c r="S518" s="26">
        <f t="shared" si="83"/>
        <v>3500</v>
      </c>
    </row>
    <row r="519" spans="2:19" x14ac:dyDescent="0.2">
      <c r="B519" s="75">
        <f t="shared" si="74"/>
        <v>36</v>
      </c>
      <c r="C519" s="4"/>
      <c r="D519" s="4"/>
      <c r="E519" s="4"/>
      <c r="F519" s="53"/>
      <c r="G519" s="4"/>
      <c r="H519" s="4" t="s">
        <v>489</v>
      </c>
      <c r="I519" s="26"/>
      <c r="J519" s="26"/>
      <c r="K519" s="26">
        <f t="shared" si="70"/>
        <v>0</v>
      </c>
      <c r="L519" s="76"/>
      <c r="M519" s="26">
        <v>3000</v>
      </c>
      <c r="N519" s="26"/>
      <c r="O519" s="26">
        <f t="shared" si="71"/>
        <v>3000</v>
      </c>
      <c r="P519" s="76"/>
      <c r="Q519" s="26">
        <f t="shared" si="82"/>
        <v>3000</v>
      </c>
      <c r="R519" s="26">
        <f t="shared" si="83"/>
        <v>0</v>
      </c>
      <c r="S519" s="26">
        <f t="shared" si="83"/>
        <v>3000</v>
      </c>
    </row>
    <row r="520" spans="2:19" x14ac:dyDescent="0.2">
      <c r="B520" s="75">
        <f t="shared" si="74"/>
        <v>37</v>
      </c>
      <c r="C520" s="4"/>
      <c r="D520" s="4"/>
      <c r="E520" s="4"/>
      <c r="F520" s="53"/>
      <c r="G520" s="4"/>
      <c r="H520" s="4" t="s">
        <v>530</v>
      </c>
      <c r="I520" s="26"/>
      <c r="J520" s="26"/>
      <c r="K520" s="26">
        <f t="shared" si="70"/>
        <v>0</v>
      </c>
      <c r="L520" s="76"/>
      <c r="M520" s="26">
        <v>2000</v>
      </c>
      <c r="N520" s="26"/>
      <c r="O520" s="26">
        <f t="shared" si="71"/>
        <v>2000</v>
      </c>
      <c r="P520" s="76"/>
      <c r="Q520" s="26">
        <f t="shared" si="82"/>
        <v>2000</v>
      </c>
      <c r="R520" s="26">
        <f t="shared" si="83"/>
        <v>0</v>
      </c>
      <c r="S520" s="26">
        <f t="shared" si="83"/>
        <v>2000</v>
      </c>
    </row>
    <row r="521" spans="2:19" x14ac:dyDescent="0.2">
      <c r="B521" s="75">
        <f t="shared" si="74"/>
        <v>38</v>
      </c>
      <c r="C521" s="4"/>
      <c r="D521" s="4"/>
      <c r="E521" s="4"/>
      <c r="F521" s="53"/>
      <c r="G521" s="4"/>
      <c r="H521" s="4" t="s">
        <v>447</v>
      </c>
      <c r="I521" s="26"/>
      <c r="J521" s="26"/>
      <c r="K521" s="26">
        <f t="shared" si="70"/>
        <v>0</v>
      </c>
      <c r="L521" s="76"/>
      <c r="M521" s="26">
        <v>1100</v>
      </c>
      <c r="N521" s="26"/>
      <c r="O521" s="26">
        <f t="shared" si="71"/>
        <v>1100</v>
      </c>
      <c r="P521" s="76"/>
      <c r="Q521" s="26">
        <f t="shared" si="82"/>
        <v>1100</v>
      </c>
      <c r="R521" s="26">
        <f t="shared" si="83"/>
        <v>0</v>
      </c>
      <c r="S521" s="26">
        <f t="shared" si="83"/>
        <v>1100</v>
      </c>
    </row>
    <row r="522" spans="2:19" x14ac:dyDescent="0.2">
      <c r="B522" s="75">
        <f t="shared" si="74"/>
        <v>39</v>
      </c>
      <c r="C522" s="4"/>
      <c r="D522" s="4"/>
      <c r="E522" s="4"/>
      <c r="F522" s="53"/>
      <c r="G522" s="4"/>
      <c r="H522" s="4" t="s">
        <v>493</v>
      </c>
      <c r="I522" s="26"/>
      <c r="J522" s="26"/>
      <c r="K522" s="26">
        <f t="shared" si="70"/>
        <v>0</v>
      </c>
      <c r="L522" s="76"/>
      <c r="M522" s="26">
        <v>750</v>
      </c>
      <c r="N522" s="26"/>
      <c r="O522" s="26">
        <f t="shared" si="71"/>
        <v>750</v>
      </c>
      <c r="P522" s="76"/>
      <c r="Q522" s="26">
        <f t="shared" si="82"/>
        <v>750</v>
      </c>
      <c r="R522" s="26">
        <f t="shared" si="83"/>
        <v>0</v>
      </c>
      <c r="S522" s="26">
        <f t="shared" si="83"/>
        <v>750</v>
      </c>
    </row>
    <row r="523" spans="2:19" x14ac:dyDescent="0.2">
      <c r="B523" s="75">
        <f t="shared" si="74"/>
        <v>40</v>
      </c>
      <c r="C523" s="4"/>
      <c r="D523" s="4"/>
      <c r="E523" s="4"/>
      <c r="F523" s="53"/>
      <c r="G523" s="4"/>
      <c r="H523" s="4" t="s">
        <v>651</v>
      </c>
      <c r="I523" s="26"/>
      <c r="J523" s="26"/>
      <c r="K523" s="26">
        <f t="shared" si="70"/>
        <v>0</v>
      </c>
      <c r="L523" s="76"/>
      <c r="M523" s="26">
        <v>250</v>
      </c>
      <c r="N523" s="26"/>
      <c r="O523" s="26">
        <f t="shared" si="71"/>
        <v>250</v>
      </c>
      <c r="P523" s="76"/>
      <c r="Q523" s="26">
        <f t="shared" si="82"/>
        <v>250</v>
      </c>
      <c r="R523" s="26">
        <f t="shared" si="83"/>
        <v>0</v>
      </c>
      <c r="S523" s="26">
        <f t="shared" si="83"/>
        <v>250</v>
      </c>
    </row>
    <row r="524" spans="2:19" x14ac:dyDescent="0.2">
      <c r="B524" s="75">
        <f t="shared" si="74"/>
        <v>41</v>
      </c>
      <c r="C524" s="79"/>
      <c r="D524" s="79"/>
      <c r="E524" s="79"/>
      <c r="F524" s="80"/>
      <c r="G524" s="79"/>
      <c r="H524" s="150" t="s">
        <v>575</v>
      </c>
      <c r="I524" s="146"/>
      <c r="J524" s="146"/>
      <c r="K524" s="146">
        <f t="shared" si="70"/>
        <v>0</v>
      </c>
      <c r="L524" s="161"/>
      <c r="M524" s="146">
        <v>1000</v>
      </c>
      <c r="N524" s="146"/>
      <c r="O524" s="146">
        <f t="shared" si="71"/>
        <v>1000</v>
      </c>
      <c r="P524" s="161"/>
      <c r="Q524" s="146">
        <f t="shared" si="82"/>
        <v>1000</v>
      </c>
      <c r="R524" s="146">
        <f t="shared" si="83"/>
        <v>0</v>
      </c>
      <c r="S524" s="146">
        <f t="shared" si="83"/>
        <v>1000</v>
      </c>
    </row>
    <row r="525" spans="2:19" ht="24" x14ac:dyDescent="0.2">
      <c r="B525" s="75">
        <f t="shared" si="74"/>
        <v>42</v>
      </c>
      <c r="C525" s="79"/>
      <c r="D525" s="79"/>
      <c r="E525" s="79"/>
      <c r="F525" s="80"/>
      <c r="G525" s="79"/>
      <c r="H525" s="151" t="s">
        <v>576</v>
      </c>
      <c r="I525" s="146"/>
      <c r="J525" s="146"/>
      <c r="K525" s="146">
        <f t="shared" si="70"/>
        <v>0</v>
      </c>
      <c r="L525" s="161"/>
      <c r="M525" s="146">
        <v>1500</v>
      </c>
      <c r="N525" s="146"/>
      <c r="O525" s="146">
        <f t="shared" si="71"/>
        <v>1500</v>
      </c>
      <c r="P525" s="161"/>
      <c r="Q525" s="146">
        <f t="shared" si="82"/>
        <v>1500</v>
      </c>
      <c r="R525" s="146">
        <f t="shared" si="83"/>
        <v>0</v>
      </c>
      <c r="S525" s="146">
        <f t="shared" si="83"/>
        <v>1500</v>
      </c>
    </row>
    <row r="526" spans="2:19" ht="24" x14ac:dyDescent="0.2">
      <c r="B526" s="75">
        <f t="shared" si="74"/>
        <v>43</v>
      </c>
      <c r="C526" s="79"/>
      <c r="D526" s="79"/>
      <c r="E526" s="79"/>
      <c r="F526" s="80"/>
      <c r="G526" s="79"/>
      <c r="H526" s="151" t="s">
        <v>577</v>
      </c>
      <c r="I526" s="146"/>
      <c r="J526" s="146"/>
      <c r="K526" s="146">
        <f t="shared" si="70"/>
        <v>0</v>
      </c>
      <c r="L526" s="161"/>
      <c r="M526" s="146">
        <v>750</v>
      </c>
      <c r="N526" s="146"/>
      <c r="O526" s="146">
        <f t="shared" si="71"/>
        <v>750</v>
      </c>
      <c r="P526" s="161"/>
      <c r="Q526" s="146">
        <f t="shared" si="82"/>
        <v>750</v>
      </c>
      <c r="R526" s="146">
        <f t="shared" si="83"/>
        <v>0</v>
      </c>
      <c r="S526" s="146">
        <f t="shared" si="83"/>
        <v>750</v>
      </c>
    </row>
    <row r="527" spans="2:19" x14ac:dyDescent="0.2">
      <c r="B527" s="75">
        <f t="shared" si="74"/>
        <v>44</v>
      </c>
      <c r="C527" s="79"/>
      <c r="D527" s="79"/>
      <c r="E527" s="79"/>
      <c r="F527" s="80"/>
      <c r="G527" s="79"/>
      <c r="H527" s="150" t="s">
        <v>578</v>
      </c>
      <c r="I527" s="146"/>
      <c r="J527" s="146"/>
      <c r="K527" s="146">
        <f t="shared" si="70"/>
        <v>0</v>
      </c>
      <c r="L527" s="161"/>
      <c r="M527" s="146">
        <v>750</v>
      </c>
      <c r="N527" s="146"/>
      <c r="O527" s="146">
        <f t="shared" si="71"/>
        <v>750</v>
      </c>
      <c r="P527" s="161"/>
      <c r="Q527" s="146">
        <f t="shared" si="82"/>
        <v>750</v>
      </c>
      <c r="R527" s="146">
        <f t="shared" si="83"/>
        <v>0</v>
      </c>
      <c r="S527" s="146">
        <f t="shared" si="83"/>
        <v>750</v>
      </c>
    </row>
    <row r="528" spans="2:19" x14ac:dyDescent="0.2">
      <c r="B528" s="75">
        <f t="shared" si="74"/>
        <v>45</v>
      </c>
      <c r="C528" s="79"/>
      <c r="D528" s="79"/>
      <c r="E528" s="79"/>
      <c r="F528" s="80"/>
      <c r="G528" s="79"/>
      <c r="H528" s="150" t="s">
        <v>579</v>
      </c>
      <c r="I528" s="146"/>
      <c r="J528" s="146"/>
      <c r="K528" s="146">
        <f t="shared" si="70"/>
        <v>0</v>
      </c>
      <c r="L528" s="161"/>
      <c r="M528" s="146">
        <v>750</v>
      </c>
      <c r="N528" s="146"/>
      <c r="O528" s="146">
        <f t="shared" si="71"/>
        <v>750</v>
      </c>
      <c r="P528" s="161"/>
      <c r="Q528" s="146">
        <f t="shared" si="82"/>
        <v>750</v>
      </c>
      <c r="R528" s="146">
        <f t="shared" si="83"/>
        <v>0</v>
      </c>
      <c r="S528" s="146">
        <f t="shared" si="83"/>
        <v>750</v>
      </c>
    </row>
    <row r="529" spans="2:19" ht="24" x14ac:dyDescent="0.2">
      <c r="B529" s="75">
        <f t="shared" si="74"/>
        <v>46</v>
      </c>
      <c r="C529" s="79"/>
      <c r="D529" s="79"/>
      <c r="E529" s="79"/>
      <c r="F529" s="80"/>
      <c r="G529" s="79"/>
      <c r="H529" s="152" t="s">
        <v>569</v>
      </c>
      <c r="I529" s="139"/>
      <c r="J529" s="139"/>
      <c r="K529" s="139">
        <f t="shared" si="70"/>
        <v>0</v>
      </c>
      <c r="L529" s="161"/>
      <c r="M529" s="139">
        <v>4200</v>
      </c>
      <c r="N529" s="139"/>
      <c r="O529" s="139">
        <f t="shared" si="71"/>
        <v>4200</v>
      </c>
      <c r="P529" s="161"/>
      <c r="Q529" s="139">
        <f t="shared" si="82"/>
        <v>4200</v>
      </c>
      <c r="R529" s="139">
        <f t="shared" si="83"/>
        <v>0</v>
      </c>
      <c r="S529" s="139">
        <f t="shared" si="83"/>
        <v>4200</v>
      </c>
    </row>
    <row r="530" spans="2:19" ht="36" x14ac:dyDescent="0.2">
      <c r="B530" s="75">
        <f t="shared" si="74"/>
        <v>47</v>
      </c>
      <c r="C530" s="79"/>
      <c r="D530" s="79"/>
      <c r="E530" s="79"/>
      <c r="F530" s="80"/>
      <c r="G530" s="79"/>
      <c r="H530" s="152" t="s">
        <v>572</v>
      </c>
      <c r="I530" s="139"/>
      <c r="J530" s="139"/>
      <c r="K530" s="139">
        <f t="shared" si="70"/>
        <v>0</v>
      </c>
      <c r="L530" s="161"/>
      <c r="M530" s="139">
        <v>4200</v>
      </c>
      <c r="N530" s="139"/>
      <c r="O530" s="139">
        <f t="shared" si="71"/>
        <v>4200</v>
      </c>
      <c r="P530" s="161"/>
      <c r="Q530" s="139">
        <f t="shared" si="82"/>
        <v>4200</v>
      </c>
      <c r="R530" s="139">
        <f t="shared" si="83"/>
        <v>0</v>
      </c>
      <c r="S530" s="139">
        <f t="shared" si="83"/>
        <v>4200</v>
      </c>
    </row>
    <row r="531" spans="2:19" ht="48" x14ac:dyDescent="0.2">
      <c r="B531" s="75">
        <f t="shared" si="74"/>
        <v>48</v>
      </c>
      <c r="C531" s="79"/>
      <c r="D531" s="79"/>
      <c r="E531" s="79"/>
      <c r="F531" s="80"/>
      <c r="G531" s="79"/>
      <c r="H531" s="81" t="s">
        <v>522</v>
      </c>
      <c r="I531" s="62"/>
      <c r="J531" s="62"/>
      <c r="K531" s="62">
        <f t="shared" si="70"/>
        <v>0</v>
      </c>
      <c r="L531" s="161"/>
      <c r="M531" s="62">
        <v>600</v>
      </c>
      <c r="N531" s="62"/>
      <c r="O531" s="62">
        <f t="shared" si="71"/>
        <v>600</v>
      </c>
      <c r="P531" s="161"/>
      <c r="Q531" s="62">
        <f t="shared" si="82"/>
        <v>600</v>
      </c>
      <c r="R531" s="62">
        <f t="shared" ref="R531:S547" si="84">J531+N531</f>
        <v>0</v>
      </c>
      <c r="S531" s="62">
        <f t="shared" si="84"/>
        <v>600</v>
      </c>
    </row>
    <row r="532" spans="2:19" x14ac:dyDescent="0.2">
      <c r="B532" s="75">
        <f t="shared" si="74"/>
        <v>49</v>
      </c>
      <c r="C532" s="79"/>
      <c r="D532" s="79"/>
      <c r="E532" s="79"/>
      <c r="F532" s="80"/>
      <c r="G532" s="79"/>
      <c r="H532" s="79" t="s">
        <v>523</v>
      </c>
      <c r="I532" s="62"/>
      <c r="J532" s="62"/>
      <c r="K532" s="62">
        <f t="shared" si="70"/>
        <v>0</v>
      </c>
      <c r="L532" s="161"/>
      <c r="M532" s="62">
        <v>400</v>
      </c>
      <c r="N532" s="62"/>
      <c r="O532" s="62">
        <f t="shared" si="71"/>
        <v>400</v>
      </c>
      <c r="P532" s="161"/>
      <c r="Q532" s="62">
        <f t="shared" si="82"/>
        <v>400</v>
      </c>
      <c r="R532" s="62">
        <f t="shared" si="84"/>
        <v>0</v>
      </c>
      <c r="S532" s="62">
        <f t="shared" si="84"/>
        <v>400</v>
      </c>
    </row>
    <row r="533" spans="2:19" ht="24" x14ac:dyDescent="0.2">
      <c r="B533" s="75">
        <f t="shared" si="74"/>
        <v>50</v>
      </c>
      <c r="C533" s="79"/>
      <c r="D533" s="79"/>
      <c r="E533" s="79"/>
      <c r="F533" s="80"/>
      <c r="G533" s="79"/>
      <c r="H533" s="153" t="s">
        <v>596</v>
      </c>
      <c r="I533" s="148"/>
      <c r="J533" s="148"/>
      <c r="K533" s="148">
        <f t="shared" si="70"/>
        <v>0</v>
      </c>
      <c r="L533" s="161"/>
      <c r="M533" s="148">
        <v>600</v>
      </c>
      <c r="N533" s="148"/>
      <c r="O533" s="148">
        <f t="shared" si="71"/>
        <v>600</v>
      </c>
      <c r="P533" s="161"/>
      <c r="Q533" s="148">
        <f t="shared" si="82"/>
        <v>600</v>
      </c>
      <c r="R533" s="148">
        <f t="shared" si="84"/>
        <v>0</v>
      </c>
      <c r="S533" s="148">
        <f t="shared" si="84"/>
        <v>600</v>
      </c>
    </row>
    <row r="534" spans="2:19" x14ac:dyDescent="0.2">
      <c r="B534" s="75">
        <f t="shared" si="74"/>
        <v>51</v>
      </c>
      <c r="C534" s="4"/>
      <c r="D534" s="4"/>
      <c r="E534" s="4"/>
      <c r="F534" s="53"/>
      <c r="G534" s="4"/>
      <c r="H534" s="4" t="s">
        <v>531</v>
      </c>
      <c r="I534" s="26"/>
      <c r="J534" s="26"/>
      <c r="K534" s="26">
        <f t="shared" si="70"/>
        <v>0</v>
      </c>
      <c r="L534" s="76"/>
      <c r="M534" s="26">
        <f>10000+5696</f>
        <v>15696</v>
      </c>
      <c r="N534" s="26"/>
      <c r="O534" s="26">
        <f t="shared" si="71"/>
        <v>15696</v>
      </c>
      <c r="P534" s="76"/>
      <c r="Q534" s="26">
        <f t="shared" si="82"/>
        <v>15696</v>
      </c>
      <c r="R534" s="26">
        <f t="shared" si="84"/>
        <v>0</v>
      </c>
      <c r="S534" s="26">
        <f t="shared" si="84"/>
        <v>15696</v>
      </c>
    </row>
    <row r="535" spans="2:19" x14ac:dyDescent="0.2">
      <c r="B535" s="75">
        <f t="shared" si="74"/>
        <v>52</v>
      </c>
      <c r="C535" s="4"/>
      <c r="D535" s="4"/>
      <c r="E535" s="4"/>
      <c r="F535" s="53"/>
      <c r="G535" s="4"/>
      <c r="H535" s="4" t="s">
        <v>532</v>
      </c>
      <c r="I535" s="26"/>
      <c r="J535" s="26"/>
      <c r="K535" s="26">
        <f t="shared" si="70"/>
        <v>0</v>
      </c>
      <c r="L535" s="76"/>
      <c r="M535" s="26">
        <v>3500</v>
      </c>
      <c r="N535" s="26"/>
      <c r="O535" s="26">
        <f t="shared" si="71"/>
        <v>3500</v>
      </c>
      <c r="P535" s="76"/>
      <c r="Q535" s="26">
        <f t="shared" si="82"/>
        <v>3500</v>
      </c>
      <c r="R535" s="26">
        <f t="shared" si="84"/>
        <v>0</v>
      </c>
      <c r="S535" s="26">
        <f t="shared" si="84"/>
        <v>3500</v>
      </c>
    </row>
    <row r="536" spans="2:19" x14ac:dyDescent="0.2">
      <c r="B536" s="75">
        <f t="shared" si="74"/>
        <v>53</v>
      </c>
      <c r="C536" s="4"/>
      <c r="D536" s="4"/>
      <c r="E536" s="4"/>
      <c r="F536" s="53"/>
      <c r="G536" s="4"/>
      <c r="H536" s="4" t="s">
        <v>533</v>
      </c>
      <c r="I536" s="26"/>
      <c r="J536" s="26"/>
      <c r="K536" s="26">
        <f t="shared" si="70"/>
        <v>0</v>
      </c>
      <c r="L536" s="76"/>
      <c r="M536" s="26">
        <v>5000</v>
      </c>
      <c r="N536" s="26"/>
      <c r="O536" s="26">
        <f t="shared" si="71"/>
        <v>5000</v>
      </c>
      <c r="P536" s="76"/>
      <c r="Q536" s="26">
        <f t="shared" si="82"/>
        <v>5000</v>
      </c>
      <c r="R536" s="26">
        <f t="shared" si="84"/>
        <v>0</v>
      </c>
      <c r="S536" s="26">
        <f t="shared" si="84"/>
        <v>5000</v>
      </c>
    </row>
    <row r="537" spans="2:19" x14ac:dyDescent="0.2">
      <c r="B537" s="75">
        <f t="shared" si="74"/>
        <v>54</v>
      </c>
      <c r="C537" s="4"/>
      <c r="D537" s="4"/>
      <c r="E537" s="4"/>
      <c r="F537" s="53"/>
      <c r="G537" s="4"/>
      <c r="H537" s="4" t="s">
        <v>566</v>
      </c>
      <c r="I537" s="26"/>
      <c r="J537" s="26"/>
      <c r="K537" s="26">
        <f t="shared" si="70"/>
        <v>0</v>
      </c>
      <c r="L537" s="76"/>
      <c r="M537" s="26">
        <v>1700</v>
      </c>
      <c r="N537" s="26"/>
      <c r="O537" s="26">
        <f t="shared" si="71"/>
        <v>1700</v>
      </c>
      <c r="P537" s="76"/>
      <c r="Q537" s="26">
        <f t="shared" si="82"/>
        <v>1700</v>
      </c>
      <c r="R537" s="26">
        <f t="shared" si="84"/>
        <v>0</v>
      </c>
      <c r="S537" s="26">
        <f t="shared" si="84"/>
        <v>1700</v>
      </c>
    </row>
    <row r="538" spans="2:19" x14ac:dyDescent="0.2">
      <c r="B538" s="75">
        <f t="shared" si="74"/>
        <v>55</v>
      </c>
      <c r="C538" s="4"/>
      <c r="D538" s="4"/>
      <c r="E538" s="4"/>
      <c r="F538" s="53"/>
      <c r="G538" s="4"/>
      <c r="H538" s="126" t="s">
        <v>551</v>
      </c>
      <c r="I538" s="125"/>
      <c r="J538" s="125"/>
      <c r="K538" s="125">
        <f t="shared" si="70"/>
        <v>0</v>
      </c>
      <c r="L538" s="76"/>
      <c r="M538" s="125">
        <v>600</v>
      </c>
      <c r="N538" s="125"/>
      <c r="O538" s="125">
        <f t="shared" si="71"/>
        <v>600</v>
      </c>
      <c r="P538" s="76"/>
      <c r="Q538" s="125">
        <f t="shared" si="82"/>
        <v>600</v>
      </c>
      <c r="R538" s="125">
        <f t="shared" si="84"/>
        <v>0</v>
      </c>
      <c r="S538" s="125">
        <f t="shared" si="84"/>
        <v>600</v>
      </c>
    </row>
    <row r="539" spans="2:19" x14ac:dyDescent="0.2">
      <c r="B539" s="75">
        <f t="shared" si="74"/>
        <v>56</v>
      </c>
      <c r="C539" s="4"/>
      <c r="D539" s="4"/>
      <c r="E539" s="4"/>
      <c r="F539" s="53"/>
      <c r="G539" s="4"/>
      <c r="H539" s="127" t="s">
        <v>650</v>
      </c>
      <c r="I539" s="128"/>
      <c r="J539" s="128"/>
      <c r="K539" s="128">
        <f t="shared" si="70"/>
        <v>0</v>
      </c>
      <c r="L539" s="161"/>
      <c r="M539" s="128">
        <v>2350</v>
      </c>
      <c r="N539" s="128"/>
      <c r="O539" s="128">
        <f t="shared" si="71"/>
        <v>2350</v>
      </c>
      <c r="P539" s="161"/>
      <c r="Q539" s="128">
        <f t="shared" si="82"/>
        <v>2350</v>
      </c>
      <c r="R539" s="128">
        <f t="shared" si="84"/>
        <v>0</v>
      </c>
      <c r="S539" s="128">
        <f t="shared" si="84"/>
        <v>2350</v>
      </c>
    </row>
    <row r="540" spans="2:19" ht="24" x14ac:dyDescent="0.2">
      <c r="B540" s="75">
        <f t="shared" si="74"/>
        <v>57</v>
      </c>
      <c r="C540" s="4"/>
      <c r="D540" s="4"/>
      <c r="E540" s="4"/>
      <c r="F540" s="53"/>
      <c r="G540" s="4"/>
      <c r="H540" s="117" t="s">
        <v>678</v>
      </c>
      <c r="I540" s="65"/>
      <c r="J540" s="65"/>
      <c r="K540" s="65"/>
      <c r="L540" s="65"/>
      <c r="M540" s="65">
        <v>0</v>
      </c>
      <c r="N540" s="65">
        <v>2000</v>
      </c>
      <c r="O540" s="65">
        <f t="shared" si="71"/>
        <v>2000</v>
      </c>
      <c r="P540" s="65"/>
      <c r="Q540" s="65">
        <f t="shared" si="82"/>
        <v>0</v>
      </c>
      <c r="R540" s="65">
        <f>N540</f>
        <v>2000</v>
      </c>
      <c r="S540" s="65">
        <f>Q540+R540</f>
        <v>2000</v>
      </c>
    </row>
    <row r="541" spans="2:19" x14ac:dyDescent="0.2">
      <c r="B541" s="75">
        <f t="shared" si="74"/>
        <v>58</v>
      </c>
      <c r="C541" s="4"/>
      <c r="D541" s="4"/>
      <c r="E541" s="4"/>
      <c r="F541" s="86" t="s">
        <v>5</v>
      </c>
      <c r="G541" s="87">
        <v>717</v>
      </c>
      <c r="H541" s="87" t="s">
        <v>195</v>
      </c>
      <c r="I541" s="88"/>
      <c r="J541" s="88"/>
      <c r="K541" s="88">
        <f t="shared" si="70"/>
        <v>0</v>
      </c>
      <c r="L541" s="76"/>
      <c r="M541" s="88">
        <f>SUM(M542:M592)</f>
        <v>2385665</v>
      </c>
      <c r="N541" s="88">
        <f>SUM(N542:N592)</f>
        <v>2750</v>
      </c>
      <c r="O541" s="88">
        <f t="shared" si="71"/>
        <v>2388415</v>
      </c>
      <c r="P541" s="76"/>
      <c r="Q541" s="88">
        <f t="shared" si="82"/>
        <v>2385665</v>
      </c>
      <c r="R541" s="88">
        <f t="shared" si="84"/>
        <v>2750</v>
      </c>
      <c r="S541" s="88">
        <f t="shared" si="84"/>
        <v>2388415</v>
      </c>
    </row>
    <row r="542" spans="2:19" x14ac:dyDescent="0.2">
      <c r="B542" s="75">
        <f t="shared" si="74"/>
        <v>59</v>
      </c>
      <c r="C542" s="4"/>
      <c r="D542" s="4"/>
      <c r="E542" s="4"/>
      <c r="F542" s="53"/>
      <c r="G542" s="4"/>
      <c r="H542" s="4" t="s">
        <v>476</v>
      </c>
      <c r="I542" s="26"/>
      <c r="J542" s="26"/>
      <c r="K542" s="26">
        <f t="shared" si="70"/>
        <v>0</v>
      </c>
      <c r="L542" s="76"/>
      <c r="M542" s="26">
        <f>54988+35000</f>
        <v>89988</v>
      </c>
      <c r="N542" s="26"/>
      <c r="O542" s="26">
        <f t="shared" si="71"/>
        <v>89988</v>
      </c>
      <c r="P542" s="76"/>
      <c r="Q542" s="26">
        <f t="shared" si="82"/>
        <v>89988</v>
      </c>
      <c r="R542" s="26">
        <f t="shared" si="84"/>
        <v>0</v>
      </c>
      <c r="S542" s="26">
        <f t="shared" si="84"/>
        <v>89988</v>
      </c>
    </row>
    <row r="543" spans="2:19" x14ac:dyDescent="0.2">
      <c r="B543" s="75">
        <f t="shared" si="74"/>
        <v>60</v>
      </c>
      <c r="C543" s="4"/>
      <c r="D543" s="4"/>
      <c r="E543" s="4"/>
      <c r="F543" s="53"/>
      <c r="G543" s="4"/>
      <c r="H543" s="4" t="s">
        <v>481</v>
      </c>
      <c r="I543" s="26"/>
      <c r="J543" s="26"/>
      <c r="K543" s="26">
        <f t="shared" si="70"/>
        <v>0</v>
      </c>
      <c r="L543" s="76"/>
      <c r="M543" s="26">
        <f>290675+7000-297675</f>
        <v>0</v>
      </c>
      <c r="N543" s="26"/>
      <c r="O543" s="26">
        <f t="shared" si="71"/>
        <v>0</v>
      </c>
      <c r="P543" s="76"/>
      <c r="Q543" s="26">
        <f t="shared" si="82"/>
        <v>0</v>
      </c>
      <c r="R543" s="26">
        <f t="shared" si="84"/>
        <v>0</v>
      </c>
      <c r="S543" s="26">
        <f t="shared" si="84"/>
        <v>0</v>
      </c>
    </row>
    <row r="544" spans="2:19" x14ac:dyDescent="0.2">
      <c r="B544" s="75">
        <f t="shared" si="74"/>
        <v>61</v>
      </c>
      <c r="C544" s="4"/>
      <c r="D544" s="4"/>
      <c r="E544" s="4"/>
      <c r="F544" s="53"/>
      <c r="G544" s="4"/>
      <c r="H544" s="4" t="s">
        <v>653</v>
      </c>
      <c r="I544" s="26"/>
      <c r="J544" s="26"/>
      <c r="K544" s="26">
        <f t="shared" si="70"/>
        <v>0</v>
      </c>
      <c r="L544" s="76"/>
      <c r="M544" s="26">
        <v>82549</v>
      </c>
      <c r="N544" s="26">
        <v>750</v>
      </c>
      <c r="O544" s="26">
        <f t="shared" si="71"/>
        <v>83299</v>
      </c>
      <c r="P544" s="76"/>
      <c r="Q544" s="26">
        <f t="shared" si="82"/>
        <v>82549</v>
      </c>
      <c r="R544" s="26">
        <f t="shared" si="84"/>
        <v>750</v>
      </c>
      <c r="S544" s="26">
        <f t="shared" si="84"/>
        <v>83299</v>
      </c>
    </row>
    <row r="545" spans="2:19" x14ac:dyDescent="0.2">
      <c r="B545" s="75">
        <f t="shared" si="74"/>
        <v>62</v>
      </c>
      <c r="C545" s="4"/>
      <c r="D545" s="4"/>
      <c r="E545" s="4"/>
      <c r="F545" s="53"/>
      <c r="G545" s="4"/>
      <c r="H545" s="4" t="s">
        <v>517</v>
      </c>
      <c r="I545" s="26"/>
      <c r="J545" s="26"/>
      <c r="K545" s="26">
        <f t="shared" si="70"/>
        <v>0</v>
      </c>
      <c r="L545" s="76"/>
      <c r="M545" s="26">
        <f>200000-20000+100000</f>
        <v>280000</v>
      </c>
      <c r="N545" s="26"/>
      <c r="O545" s="26">
        <f t="shared" si="71"/>
        <v>280000</v>
      </c>
      <c r="P545" s="76"/>
      <c r="Q545" s="26">
        <f t="shared" si="82"/>
        <v>280000</v>
      </c>
      <c r="R545" s="26">
        <f t="shared" si="84"/>
        <v>0</v>
      </c>
      <c r="S545" s="26">
        <f t="shared" si="84"/>
        <v>280000</v>
      </c>
    </row>
    <row r="546" spans="2:19" x14ac:dyDescent="0.2">
      <c r="B546" s="75">
        <f t="shared" si="74"/>
        <v>63</v>
      </c>
      <c r="C546" s="4"/>
      <c r="D546" s="4"/>
      <c r="E546" s="4"/>
      <c r="F546" s="53"/>
      <c r="G546" s="4"/>
      <c r="H546" s="4" t="s">
        <v>441</v>
      </c>
      <c r="I546" s="26"/>
      <c r="J546" s="26"/>
      <c r="K546" s="26">
        <f t="shared" si="70"/>
        <v>0</v>
      </c>
      <c r="L546" s="76"/>
      <c r="M546" s="26">
        <v>50000</v>
      </c>
      <c r="N546" s="26"/>
      <c r="O546" s="26">
        <f t="shared" si="71"/>
        <v>50000</v>
      </c>
      <c r="P546" s="76"/>
      <c r="Q546" s="26">
        <f t="shared" si="82"/>
        <v>50000</v>
      </c>
      <c r="R546" s="26">
        <f t="shared" si="84"/>
        <v>0</v>
      </c>
      <c r="S546" s="26">
        <f t="shared" si="84"/>
        <v>50000</v>
      </c>
    </row>
    <row r="547" spans="2:19" x14ac:dyDescent="0.2">
      <c r="B547" s="75">
        <f t="shared" si="74"/>
        <v>64</v>
      </c>
      <c r="C547" s="4"/>
      <c r="D547" s="4"/>
      <c r="E547" s="4"/>
      <c r="F547" s="53"/>
      <c r="G547" s="4"/>
      <c r="H547" s="4" t="s">
        <v>444</v>
      </c>
      <c r="I547" s="26"/>
      <c r="J547" s="26"/>
      <c r="K547" s="26">
        <f t="shared" si="70"/>
        <v>0</v>
      </c>
      <c r="L547" s="76"/>
      <c r="M547" s="26">
        <f>170000-20000</f>
        <v>150000</v>
      </c>
      <c r="N547" s="26"/>
      <c r="O547" s="26">
        <f t="shared" si="71"/>
        <v>150000</v>
      </c>
      <c r="P547" s="76"/>
      <c r="Q547" s="26">
        <f t="shared" si="82"/>
        <v>150000</v>
      </c>
      <c r="R547" s="26">
        <f t="shared" si="84"/>
        <v>0</v>
      </c>
      <c r="S547" s="26">
        <f t="shared" si="84"/>
        <v>150000</v>
      </c>
    </row>
    <row r="548" spans="2:19" x14ac:dyDescent="0.2">
      <c r="B548" s="75">
        <f t="shared" si="74"/>
        <v>65</v>
      </c>
      <c r="C548" s="4"/>
      <c r="D548" s="4"/>
      <c r="E548" s="4"/>
      <c r="F548" s="53"/>
      <c r="G548" s="4"/>
      <c r="H548" s="4" t="s">
        <v>445</v>
      </c>
      <c r="I548" s="26"/>
      <c r="J548" s="26"/>
      <c r="K548" s="26">
        <f t="shared" si="70"/>
        <v>0</v>
      </c>
      <c r="L548" s="76"/>
      <c r="M548" s="26">
        <f>15000-7000</f>
        <v>8000</v>
      </c>
      <c r="N548" s="26">
        <v>4000</v>
      </c>
      <c r="O548" s="26">
        <f t="shared" si="71"/>
        <v>12000</v>
      </c>
      <c r="P548" s="76"/>
      <c r="Q548" s="26">
        <f t="shared" ref="Q548:Q579" si="85">I548+M548</f>
        <v>8000</v>
      </c>
      <c r="R548" s="26">
        <f t="shared" ref="R548:S563" si="86">J548+N548</f>
        <v>4000</v>
      </c>
      <c r="S548" s="26">
        <f t="shared" si="86"/>
        <v>12000</v>
      </c>
    </row>
    <row r="549" spans="2:19" x14ac:dyDescent="0.2">
      <c r="B549" s="75">
        <f t="shared" si="74"/>
        <v>66</v>
      </c>
      <c r="C549" s="4"/>
      <c r="D549" s="4"/>
      <c r="E549" s="4"/>
      <c r="F549" s="53"/>
      <c r="G549" s="4"/>
      <c r="H549" s="4" t="s">
        <v>454</v>
      </c>
      <c r="I549" s="26"/>
      <c r="J549" s="26"/>
      <c r="K549" s="26">
        <f t="shared" si="70"/>
        <v>0</v>
      </c>
      <c r="L549" s="76"/>
      <c r="M549" s="26">
        <v>86899</v>
      </c>
      <c r="N549" s="26"/>
      <c r="O549" s="26">
        <f t="shared" si="71"/>
        <v>86899</v>
      </c>
      <c r="P549" s="76"/>
      <c r="Q549" s="26">
        <f t="shared" si="85"/>
        <v>86899</v>
      </c>
      <c r="R549" s="26">
        <f t="shared" si="86"/>
        <v>0</v>
      </c>
      <c r="S549" s="26">
        <f t="shared" si="86"/>
        <v>86899</v>
      </c>
    </row>
    <row r="550" spans="2:19" x14ac:dyDescent="0.2">
      <c r="B550" s="75">
        <f t="shared" si="74"/>
        <v>67</v>
      </c>
      <c r="C550" s="4"/>
      <c r="D550" s="4"/>
      <c r="E550" s="4"/>
      <c r="F550" s="53"/>
      <c r="G550" s="4"/>
      <c r="H550" s="4" t="s">
        <v>436</v>
      </c>
      <c r="I550" s="26"/>
      <c r="J550" s="26"/>
      <c r="K550" s="26">
        <f t="shared" ref="K550:K596" si="87">I550+J550</f>
        <v>0</v>
      </c>
      <c r="L550" s="76"/>
      <c r="M550" s="26">
        <f>50000+40000-250</f>
        <v>89750</v>
      </c>
      <c r="N550" s="26"/>
      <c r="O550" s="26">
        <f t="shared" ref="O550:O596" si="88">M550+N550</f>
        <v>89750</v>
      </c>
      <c r="P550" s="76"/>
      <c r="Q550" s="26">
        <f t="shared" si="85"/>
        <v>89750</v>
      </c>
      <c r="R550" s="26">
        <f t="shared" si="86"/>
        <v>0</v>
      </c>
      <c r="S550" s="26">
        <f t="shared" si="86"/>
        <v>89750</v>
      </c>
    </row>
    <row r="551" spans="2:19" x14ac:dyDescent="0.2">
      <c r="B551" s="75">
        <f t="shared" ref="B551:B596" si="89">B550+1</f>
        <v>68</v>
      </c>
      <c r="C551" s="4"/>
      <c r="D551" s="4"/>
      <c r="E551" s="4"/>
      <c r="F551" s="53"/>
      <c r="G551" s="4"/>
      <c r="H551" s="4" t="s">
        <v>459</v>
      </c>
      <c r="I551" s="26"/>
      <c r="J551" s="26"/>
      <c r="K551" s="26">
        <f t="shared" si="87"/>
        <v>0</v>
      </c>
      <c r="L551" s="76"/>
      <c r="M551" s="26">
        <f>60000-1700</f>
        <v>58300</v>
      </c>
      <c r="N551" s="26"/>
      <c r="O551" s="26">
        <f t="shared" si="88"/>
        <v>58300</v>
      </c>
      <c r="P551" s="76"/>
      <c r="Q551" s="26">
        <f t="shared" si="85"/>
        <v>58300</v>
      </c>
      <c r="R551" s="26">
        <f t="shared" si="86"/>
        <v>0</v>
      </c>
      <c r="S551" s="26">
        <f t="shared" si="86"/>
        <v>58300</v>
      </c>
    </row>
    <row r="552" spans="2:19" x14ac:dyDescent="0.2">
      <c r="B552" s="75">
        <f t="shared" si="89"/>
        <v>69</v>
      </c>
      <c r="C552" s="4"/>
      <c r="D552" s="4"/>
      <c r="E552" s="4"/>
      <c r="F552" s="53"/>
      <c r="G552" s="4"/>
      <c r="H552" s="4" t="s">
        <v>446</v>
      </c>
      <c r="I552" s="26"/>
      <c r="J552" s="26"/>
      <c r="K552" s="26">
        <f t="shared" si="87"/>
        <v>0</v>
      </c>
      <c r="L552" s="76"/>
      <c r="M552" s="26">
        <f>12000-5000</f>
        <v>7000</v>
      </c>
      <c r="N552" s="26"/>
      <c r="O552" s="26">
        <f t="shared" si="88"/>
        <v>7000</v>
      </c>
      <c r="P552" s="76"/>
      <c r="Q552" s="26">
        <f t="shared" si="85"/>
        <v>7000</v>
      </c>
      <c r="R552" s="26">
        <f t="shared" si="86"/>
        <v>0</v>
      </c>
      <c r="S552" s="26">
        <f t="shared" si="86"/>
        <v>7000</v>
      </c>
    </row>
    <row r="553" spans="2:19" x14ac:dyDescent="0.2">
      <c r="B553" s="75">
        <f t="shared" si="89"/>
        <v>70</v>
      </c>
      <c r="C553" s="4"/>
      <c r="D553" s="4"/>
      <c r="E553" s="4"/>
      <c r="F553" s="53"/>
      <c r="G553" s="4"/>
      <c r="H553" s="4" t="s">
        <v>447</v>
      </c>
      <c r="I553" s="26"/>
      <c r="J553" s="26"/>
      <c r="K553" s="26">
        <f t="shared" si="87"/>
        <v>0</v>
      </c>
      <c r="L553" s="76"/>
      <c r="M553" s="26">
        <f>18000-5000-1100</f>
        <v>11900</v>
      </c>
      <c r="N553" s="26"/>
      <c r="O553" s="26">
        <f t="shared" si="88"/>
        <v>11900</v>
      </c>
      <c r="P553" s="76"/>
      <c r="Q553" s="26">
        <f t="shared" si="85"/>
        <v>11900</v>
      </c>
      <c r="R553" s="26">
        <f t="shared" si="86"/>
        <v>0</v>
      </c>
      <c r="S553" s="26">
        <f t="shared" si="86"/>
        <v>11900</v>
      </c>
    </row>
    <row r="554" spans="2:19" x14ac:dyDescent="0.2">
      <c r="B554" s="75">
        <f t="shared" si="89"/>
        <v>71</v>
      </c>
      <c r="C554" s="4"/>
      <c r="D554" s="4"/>
      <c r="E554" s="4"/>
      <c r="F554" s="53"/>
      <c r="G554" s="4"/>
      <c r="H554" s="4" t="s">
        <v>493</v>
      </c>
      <c r="I554" s="26"/>
      <c r="J554" s="26"/>
      <c r="K554" s="26">
        <f t="shared" si="87"/>
        <v>0</v>
      </c>
      <c r="L554" s="76"/>
      <c r="M554" s="26">
        <f>4000+5300-750</f>
        <v>8550</v>
      </c>
      <c r="N554" s="26"/>
      <c r="O554" s="26">
        <f t="shared" si="88"/>
        <v>8550</v>
      </c>
      <c r="P554" s="76"/>
      <c r="Q554" s="26">
        <f t="shared" si="85"/>
        <v>8550</v>
      </c>
      <c r="R554" s="26">
        <f t="shared" si="86"/>
        <v>0</v>
      </c>
      <c r="S554" s="26">
        <f t="shared" si="86"/>
        <v>8550</v>
      </c>
    </row>
    <row r="555" spans="2:19" x14ac:dyDescent="0.2">
      <c r="B555" s="75">
        <f t="shared" si="89"/>
        <v>72</v>
      </c>
      <c r="C555" s="4"/>
      <c r="D555" s="4"/>
      <c r="E555" s="4"/>
      <c r="F555" s="53"/>
      <c r="G555" s="4"/>
      <c r="H555" s="4" t="s">
        <v>455</v>
      </c>
      <c r="I555" s="26"/>
      <c r="J555" s="26"/>
      <c r="K555" s="26">
        <f t="shared" si="87"/>
        <v>0</v>
      </c>
      <c r="L555" s="76"/>
      <c r="M555" s="26">
        <v>17026</v>
      </c>
      <c r="N555" s="26"/>
      <c r="O555" s="26">
        <f t="shared" si="88"/>
        <v>17026</v>
      </c>
      <c r="P555" s="76"/>
      <c r="Q555" s="26">
        <f t="shared" si="85"/>
        <v>17026</v>
      </c>
      <c r="R555" s="26">
        <f t="shared" si="86"/>
        <v>0</v>
      </c>
      <c r="S555" s="26">
        <f t="shared" si="86"/>
        <v>17026</v>
      </c>
    </row>
    <row r="556" spans="2:19" x14ac:dyDescent="0.2">
      <c r="B556" s="75">
        <f t="shared" si="89"/>
        <v>73</v>
      </c>
      <c r="C556" s="4"/>
      <c r="D556" s="4"/>
      <c r="E556" s="4"/>
      <c r="F556" s="53"/>
      <c r="G556" s="4"/>
      <c r="H556" s="61" t="s">
        <v>461</v>
      </c>
      <c r="I556" s="26"/>
      <c r="J556" s="26"/>
      <c r="K556" s="26">
        <f t="shared" si="87"/>
        <v>0</v>
      </c>
      <c r="L556" s="76"/>
      <c r="M556" s="26">
        <v>39414</v>
      </c>
      <c r="N556" s="26"/>
      <c r="O556" s="26">
        <f t="shared" si="88"/>
        <v>39414</v>
      </c>
      <c r="P556" s="76"/>
      <c r="Q556" s="26">
        <f t="shared" si="85"/>
        <v>39414</v>
      </c>
      <c r="R556" s="26">
        <f t="shared" si="86"/>
        <v>0</v>
      </c>
      <c r="S556" s="26">
        <f t="shared" si="86"/>
        <v>39414</v>
      </c>
    </row>
    <row r="557" spans="2:19" ht="33.75" x14ac:dyDescent="0.2">
      <c r="B557" s="75">
        <f t="shared" si="89"/>
        <v>74</v>
      </c>
      <c r="C557" s="79"/>
      <c r="D557" s="79"/>
      <c r="E557" s="79"/>
      <c r="F557" s="80"/>
      <c r="G557" s="79"/>
      <c r="H557" s="63" t="s">
        <v>462</v>
      </c>
      <c r="I557" s="62"/>
      <c r="J557" s="62"/>
      <c r="K557" s="62">
        <f t="shared" si="87"/>
        <v>0</v>
      </c>
      <c r="L557" s="161"/>
      <c r="M557" s="62">
        <v>4000</v>
      </c>
      <c r="N557" s="62"/>
      <c r="O557" s="62">
        <f t="shared" si="88"/>
        <v>4000</v>
      </c>
      <c r="P557" s="161"/>
      <c r="Q557" s="62">
        <f t="shared" si="85"/>
        <v>4000</v>
      </c>
      <c r="R557" s="62">
        <f t="shared" si="86"/>
        <v>0</v>
      </c>
      <c r="S557" s="62">
        <f t="shared" si="86"/>
        <v>4000</v>
      </c>
    </row>
    <row r="558" spans="2:19" x14ac:dyDescent="0.2">
      <c r="B558" s="75">
        <f t="shared" si="89"/>
        <v>75</v>
      </c>
      <c r="C558" s="4"/>
      <c r="D558" s="4"/>
      <c r="E558" s="4"/>
      <c r="F558" s="53"/>
      <c r="G558" s="4"/>
      <c r="H558" s="61" t="s">
        <v>456</v>
      </c>
      <c r="I558" s="26"/>
      <c r="J558" s="26"/>
      <c r="K558" s="26">
        <f t="shared" si="87"/>
        <v>0</v>
      </c>
      <c r="L558" s="76"/>
      <c r="M558" s="26">
        <v>132435</v>
      </c>
      <c r="N558" s="26"/>
      <c r="O558" s="26">
        <f t="shared" si="88"/>
        <v>132435</v>
      </c>
      <c r="P558" s="76"/>
      <c r="Q558" s="26">
        <f t="shared" si="85"/>
        <v>132435</v>
      </c>
      <c r="R558" s="26">
        <f t="shared" si="86"/>
        <v>0</v>
      </c>
      <c r="S558" s="26">
        <f t="shared" si="86"/>
        <v>132435</v>
      </c>
    </row>
    <row r="559" spans="2:19" x14ac:dyDescent="0.2">
      <c r="B559" s="75">
        <f t="shared" si="89"/>
        <v>76</v>
      </c>
      <c r="C559" s="4"/>
      <c r="D559" s="4"/>
      <c r="E559" s="4"/>
      <c r="F559" s="53"/>
      <c r="G559" s="4"/>
      <c r="H559" s="137" t="s">
        <v>568</v>
      </c>
      <c r="I559" s="136"/>
      <c r="J559" s="136"/>
      <c r="K559" s="136">
        <f t="shared" si="87"/>
        <v>0</v>
      </c>
      <c r="L559" s="76"/>
      <c r="M559" s="136">
        <v>47000</v>
      </c>
      <c r="N559" s="136"/>
      <c r="O559" s="136">
        <f t="shared" si="88"/>
        <v>47000</v>
      </c>
      <c r="P559" s="76"/>
      <c r="Q559" s="136">
        <f t="shared" si="85"/>
        <v>47000</v>
      </c>
      <c r="R559" s="136">
        <f t="shared" si="86"/>
        <v>0</v>
      </c>
      <c r="S559" s="136">
        <f t="shared" si="86"/>
        <v>47000</v>
      </c>
    </row>
    <row r="560" spans="2:19" x14ac:dyDescent="0.2">
      <c r="B560" s="75">
        <f t="shared" si="89"/>
        <v>77</v>
      </c>
      <c r="C560" s="4"/>
      <c r="D560" s="4"/>
      <c r="E560" s="4"/>
      <c r="F560" s="53"/>
      <c r="G560" s="4"/>
      <c r="H560" s="137" t="s">
        <v>570</v>
      </c>
      <c r="I560" s="136"/>
      <c r="J560" s="136"/>
      <c r="K560" s="136">
        <f t="shared" si="87"/>
        <v>0</v>
      </c>
      <c r="L560" s="76"/>
      <c r="M560" s="136">
        <v>12000</v>
      </c>
      <c r="N560" s="136"/>
      <c r="O560" s="136">
        <f t="shared" si="88"/>
        <v>12000</v>
      </c>
      <c r="P560" s="76"/>
      <c r="Q560" s="136">
        <f t="shared" si="85"/>
        <v>12000</v>
      </c>
      <c r="R560" s="136">
        <f t="shared" si="86"/>
        <v>0</v>
      </c>
      <c r="S560" s="136">
        <f t="shared" si="86"/>
        <v>12000</v>
      </c>
    </row>
    <row r="561" spans="2:19" x14ac:dyDescent="0.2">
      <c r="B561" s="75">
        <f t="shared" si="89"/>
        <v>78</v>
      </c>
      <c r="C561" s="4"/>
      <c r="D561" s="4"/>
      <c r="E561" s="4"/>
      <c r="F561" s="53"/>
      <c r="G561" s="4"/>
      <c r="H561" s="137" t="s">
        <v>571</v>
      </c>
      <c r="I561" s="136"/>
      <c r="J561" s="136"/>
      <c r="K561" s="136">
        <f t="shared" si="87"/>
        <v>0</v>
      </c>
      <c r="L561" s="76"/>
      <c r="M561" s="136">
        <v>28600</v>
      </c>
      <c r="N561" s="136"/>
      <c r="O561" s="136">
        <f t="shared" si="88"/>
        <v>28600</v>
      </c>
      <c r="P561" s="76"/>
      <c r="Q561" s="136">
        <f t="shared" si="85"/>
        <v>28600</v>
      </c>
      <c r="R561" s="136">
        <f t="shared" si="86"/>
        <v>0</v>
      </c>
      <c r="S561" s="136">
        <f t="shared" si="86"/>
        <v>28600</v>
      </c>
    </row>
    <row r="562" spans="2:19" x14ac:dyDescent="0.2">
      <c r="B562" s="75">
        <f t="shared" si="89"/>
        <v>79</v>
      </c>
      <c r="C562" s="4"/>
      <c r="D562" s="4"/>
      <c r="E562" s="4"/>
      <c r="F562" s="53"/>
      <c r="G562" s="4"/>
      <c r="H562" s="137" t="s">
        <v>647</v>
      </c>
      <c r="I562" s="136"/>
      <c r="J562" s="136"/>
      <c r="K562" s="136">
        <f t="shared" si="87"/>
        <v>0</v>
      </c>
      <c r="L562" s="76"/>
      <c r="M562" s="136">
        <v>150000</v>
      </c>
      <c r="N562" s="136"/>
      <c r="O562" s="136">
        <f t="shared" si="88"/>
        <v>150000</v>
      </c>
      <c r="P562" s="76"/>
      <c r="Q562" s="136">
        <f t="shared" si="85"/>
        <v>150000</v>
      </c>
      <c r="R562" s="136">
        <f t="shared" si="86"/>
        <v>0</v>
      </c>
      <c r="S562" s="136">
        <f t="shared" si="86"/>
        <v>150000</v>
      </c>
    </row>
    <row r="563" spans="2:19" x14ac:dyDescent="0.2">
      <c r="B563" s="75">
        <f t="shared" si="89"/>
        <v>80</v>
      </c>
      <c r="C563" s="4"/>
      <c r="D563" s="4"/>
      <c r="E563" s="4"/>
      <c r="F563" s="53"/>
      <c r="G563" s="4"/>
      <c r="H563" s="61" t="s">
        <v>486</v>
      </c>
      <c r="I563" s="26"/>
      <c r="J563" s="26"/>
      <c r="K563" s="26">
        <f t="shared" si="87"/>
        <v>0</v>
      </c>
      <c r="L563" s="76"/>
      <c r="M563" s="26">
        <v>25000</v>
      </c>
      <c r="N563" s="26"/>
      <c r="O563" s="26">
        <f t="shared" si="88"/>
        <v>25000</v>
      </c>
      <c r="P563" s="76"/>
      <c r="Q563" s="26">
        <f t="shared" si="85"/>
        <v>25000</v>
      </c>
      <c r="R563" s="26">
        <f t="shared" si="86"/>
        <v>0</v>
      </c>
      <c r="S563" s="26">
        <f t="shared" si="86"/>
        <v>25000</v>
      </c>
    </row>
    <row r="564" spans="2:19" ht="24" x14ac:dyDescent="0.2">
      <c r="B564" s="75">
        <f t="shared" si="89"/>
        <v>81</v>
      </c>
      <c r="C564" s="79"/>
      <c r="D564" s="79"/>
      <c r="E564" s="79"/>
      <c r="F564" s="80"/>
      <c r="G564" s="79"/>
      <c r="H564" s="117" t="s">
        <v>487</v>
      </c>
      <c r="I564" s="62"/>
      <c r="J564" s="62"/>
      <c r="K564" s="62">
        <f t="shared" si="87"/>
        <v>0</v>
      </c>
      <c r="L564" s="161"/>
      <c r="M564" s="62">
        <v>60000</v>
      </c>
      <c r="N564" s="62"/>
      <c r="O564" s="62">
        <f t="shared" si="88"/>
        <v>60000</v>
      </c>
      <c r="P564" s="161"/>
      <c r="Q564" s="62">
        <f t="shared" si="85"/>
        <v>60000</v>
      </c>
      <c r="R564" s="62">
        <f t="shared" ref="R564:S579" si="90">J564+N564</f>
        <v>0</v>
      </c>
      <c r="S564" s="62">
        <f t="shared" si="90"/>
        <v>60000</v>
      </c>
    </row>
    <row r="565" spans="2:19" x14ac:dyDescent="0.2">
      <c r="B565" s="75">
        <f t="shared" si="89"/>
        <v>82</v>
      </c>
      <c r="C565" s="79"/>
      <c r="D565" s="79"/>
      <c r="E565" s="79"/>
      <c r="F565" s="80"/>
      <c r="G565" s="79"/>
      <c r="H565" s="117" t="s">
        <v>488</v>
      </c>
      <c r="I565" s="62"/>
      <c r="J565" s="62"/>
      <c r="K565" s="62">
        <f t="shared" si="87"/>
        <v>0</v>
      </c>
      <c r="L565" s="161"/>
      <c r="M565" s="62">
        <v>50000</v>
      </c>
      <c r="N565" s="62"/>
      <c r="O565" s="62">
        <f t="shared" si="88"/>
        <v>50000</v>
      </c>
      <c r="P565" s="161"/>
      <c r="Q565" s="62">
        <f t="shared" si="85"/>
        <v>50000</v>
      </c>
      <c r="R565" s="62">
        <f t="shared" si="90"/>
        <v>0</v>
      </c>
      <c r="S565" s="62">
        <f t="shared" si="90"/>
        <v>50000</v>
      </c>
    </row>
    <row r="566" spans="2:19" ht="24" x14ac:dyDescent="0.2">
      <c r="B566" s="75">
        <f t="shared" si="89"/>
        <v>83</v>
      </c>
      <c r="C566" s="79"/>
      <c r="D566" s="79"/>
      <c r="E566" s="79"/>
      <c r="F566" s="80"/>
      <c r="G566" s="79"/>
      <c r="H566" s="117" t="s">
        <v>524</v>
      </c>
      <c r="I566" s="62"/>
      <c r="J566" s="62"/>
      <c r="K566" s="62">
        <f t="shared" si="87"/>
        <v>0</v>
      </c>
      <c r="L566" s="161"/>
      <c r="M566" s="62">
        <v>300</v>
      </c>
      <c r="N566" s="62"/>
      <c r="O566" s="62">
        <f t="shared" si="88"/>
        <v>300</v>
      </c>
      <c r="P566" s="161"/>
      <c r="Q566" s="62">
        <f t="shared" si="85"/>
        <v>300</v>
      </c>
      <c r="R566" s="62">
        <f t="shared" si="90"/>
        <v>0</v>
      </c>
      <c r="S566" s="62">
        <f t="shared" si="90"/>
        <v>300</v>
      </c>
    </row>
    <row r="567" spans="2:19" x14ac:dyDescent="0.2">
      <c r="B567" s="75">
        <f t="shared" si="89"/>
        <v>84</v>
      </c>
      <c r="C567" s="79"/>
      <c r="D567" s="79"/>
      <c r="E567" s="79"/>
      <c r="F567" s="80"/>
      <c r="G567" s="79"/>
      <c r="H567" s="117" t="s">
        <v>534</v>
      </c>
      <c r="I567" s="62"/>
      <c r="J567" s="62"/>
      <c r="K567" s="62">
        <f t="shared" si="87"/>
        <v>0</v>
      </c>
      <c r="L567" s="161"/>
      <c r="M567" s="62">
        <v>130</v>
      </c>
      <c r="N567" s="62"/>
      <c r="O567" s="62">
        <f t="shared" si="88"/>
        <v>130</v>
      </c>
      <c r="P567" s="161"/>
      <c r="Q567" s="62">
        <f t="shared" si="85"/>
        <v>130</v>
      </c>
      <c r="R567" s="62">
        <f t="shared" si="90"/>
        <v>0</v>
      </c>
      <c r="S567" s="62">
        <f t="shared" si="90"/>
        <v>130</v>
      </c>
    </row>
    <row r="568" spans="2:19" x14ac:dyDescent="0.2">
      <c r="B568" s="75">
        <f t="shared" si="89"/>
        <v>85</v>
      </c>
      <c r="C568" s="79"/>
      <c r="D568" s="79"/>
      <c r="E568" s="79"/>
      <c r="F568" s="80"/>
      <c r="G568" s="79"/>
      <c r="H568" s="117" t="s">
        <v>521</v>
      </c>
      <c r="I568" s="62"/>
      <c r="J568" s="62"/>
      <c r="K568" s="62">
        <f t="shared" si="87"/>
        <v>0</v>
      </c>
      <c r="L568" s="161"/>
      <c r="M568" s="62">
        <f>200+94</f>
        <v>294</v>
      </c>
      <c r="N568" s="62"/>
      <c r="O568" s="62">
        <f t="shared" si="88"/>
        <v>294</v>
      </c>
      <c r="P568" s="161"/>
      <c r="Q568" s="62">
        <f t="shared" si="85"/>
        <v>294</v>
      </c>
      <c r="R568" s="62">
        <f t="shared" si="90"/>
        <v>0</v>
      </c>
      <c r="S568" s="62">
        <f t="shared" si="90"/>
        <v>294</v>
      </c>
    </row>
    <row r="569" spans="2:19" x14ac:dyDescent="0.2">
      <c r="B569" s="75">
        <f t="shared" si="89"/>
        <v>86</v>
      </c>
      <c r="C569" s="79"/>
      <c r="D569" s="79"/>
      <c r="E569" s="79"/>
      <c r="F569" s="80"/>
      <c r="G569" s="79"/>
      <c r="H569" s="145" t="s">
        <v>580</v>
      </c>
      <c r="I569" s="146"/>
      <c r="J569" s="146"/>
      <c r="K569" s="146">
        <f t="shared" si="87"/>
        <v>0</v>
      </c>
      <c r="L569" s="161"/>
      <c r="M569" s="146">
        <v>25000</v>
      </c>
      <c r="N569" s="146"/>
      <c r="O569" s="146">
        <f t="shared" si="88"/>
        <v>25000</v>
      </c>
      <c r="P569" s="161"/>
      <c r="Q569" s="146">
        <f t="shared" si="85"/>
        <v>25000</v>
      </c>
      <c r="R569" s="146">
        <f t="shared" si="90"/>
        <v>0</v>
      </c>
      <c r="S569" s="146">
        <f t="shared" si="90"/>
        <v>25000</v>
      </c>
    </row>
    <row r="570" spans="2:19" ht="24" x14ac:dyDescent="0.2">
      <c r="B570" s="75">
        <f t="shared" si="89"/>
        <v>87</v>
      </c>
      <c r="C570" s="79"/>
      <c r="D570" s="79"/>
      <c r="E570" s="79"/>
      <c r="F570" s="80"/>
      <c r="G570" s="79"/>
      <c r="H570" s="145" t="s">
        <v>581</v>
      </c>
      <c r="I570" s="146"/>
      <c r="J570" s="146"/>
      <c r="K570" s="146">
        <f t="shared" si="87"/>
        <v>0</v>
      </c>
      <c r="L570" s="161"/>
      <c r="M570" s="146">
        <v>2400</v>
      </c>
      <c r="N570" s="146"/>
      <c r="O570" s="146">
        <f t="shared" si="88"/>
        <v>2400</v>
      </c>
      <c r="P570" s="161"/>
      <c r="Q570" s="146">
        <f t="shared" si="85"/>
        <v>2400</v>
      </c>
      <c r="R570" s="146">
        <f t="shared" si="90"/>
        <v>0</v>
      </c>
      <c r="S570" s="146">
        <f t="shared" si="90"/>
        <v>2400</v>
      </c>
    </row>
    <row r="571" spans="2:19" x14ac:dyDescent="0.2">
      <c r="B571" s="75">
        <f t="shared" si="89"/>
        <v>88</v>
      </c>
      <c r="C571" s="79"/>
      <c r="D571" s="79"/>
      <c r="E571" s="79"/>
      <c r="F571" s="80"/>
      <c r="G571" s="79"/>
      <c r="H571" s="145" t="s">
        <v>649</v>
      </c>
      <c r="I571" s="146"/>
      <c r="J571" s="146"/>
      <c r="K571" s="146">
        <f t="shared" si="87"/>
        <v>0</v>
      </c>
      <c r="L571" s="161"/>
      <c r="M571" s="146">
        <v>65000</v>
      </c>
      <c r="N571" s="146"/>
      <c r="O571" s="146">
        <f t="shared" si="88"/>
        <v>65000</v>
      </c>
      <c r="P571" s="161"/>
      <c r="Q571" s="146">
        <f t="shared" si="85"/>
        <v>65000</v>
      </c>
      <c r="R571" s="146">
        <f t="shared" si="90"/>
        <v>0</v>
      </c>
      <c r="S571" s="146">
        <f t="shared" si="90"/>
        <v>65000</v>
      </c>
    </row>
    <row r="572" spans="2:19" x14ac:dyDescent="0.2">
      <c r="B572" s="75">
        <f t="shared" si="89"/>
        <v>89</v>
      </c>
      <c r="C572" s="79"/>
      <c r="D572" s="79"/>
      <c r="E572" s="79"/>
      <c r="F572" s="80"/>
      <c r="G572" s="79"/>
      <c r="H572" s="117" t="s">
        <v>535</v>
      </c>
      <c r="I572" s="62"/>
      <c r="J572" s="62"/>
      <c r="K572" s="62">
        <f t="shared" si="87"/>
        <v>0</v>
      </c>
      <c r="L572" s="161"/>
      <c r="M572" s="62">
        <v>180</v>
      </c>
      <c r="N572" s="62"/>
      <c r="O572" s="62">
        <f t="shared" si="88"/>
        <v>180</v>
      </c>
      <c r="P572" s="161"/>
      <c r="Q572" s="62">
        <f t="shared" si="85"/>
        <v>180</v>
      </c>
      <c r="R572" s="62">
        <f t="shared" si="90"/>
        <v>0</v>
      </c>
      <c r="S572" s="62">
        <f t="shared" si="90"/>
        <v>180</v>
      </c>
    </row>
    <row r="573" spans="2:19" x14ac:dyDescent="0.2">
      <c r="B573" s="75">
        <f t="shared" si="89"/>
        <v>90</v>
      </c>
      <c r="C573" s="79"/>
      <c r="D573" s="79"/>
      <c r="E573" s="79"/>
      <c r="F573" s="80"/>
      <c r="G573" s="79"/>
      <c r="H573" s="117" t="s">
        <v>536</v>
      </c>
      <c r="I573" s="62"/>
      <c r="J573" s="62"/>
      <c r="K573" s="62">
        <f t="shared" si="87"/>
        <v>0</v>
      </c>
      <c r="L573" s="161"/>
      <c r="M573" s="62">
        <v>79300</v>
      </c>
      <c r="N573" s="62"/>
      <c r="O573" s="62">
        <f t="shared" si="88"/>
        <v>79300</v>
      </c>
      <c r="P573" s="161"/>
      <c r="Q573" s="62">
        <f t="shared" si="85"/>
        <v>79300</v>
      </c>
      <c r="R573" s="62">
        <f t="shared" si="90"/>
        <v>0</v>
      </c>
      <c r="S573" s="62">
        <f t="shared" si="90"/>
        <v>79300</v>
      </c>
    </row>
    <row r="574" spans="2:19" x14ac:dyDescent="0.2">
      <c r="B574" s="75">
        <f t="shared" si="89"/>
        <v>91</v>
      </c>
      <c r="C574" s="79"/>
      <c r="D574" s="79"/>
      <c r="E574" s="79"/>
      <c r="F574" s="80"/>
      <c r="G574" s="79"/>
      <c r="H574" s="117" t="s">
        <v>537</v>
      </c>
      <c r="I574" s="62"/>
      <c r="J574" s="62"/>
      <c r="K574" s="62">
        <f t="shared" si="87"/>
        <v>0</v>
      </c>
      <c r="L574" s="161"/>
      <c r="M574" s="62">
        <v>9500</v>
      </c>
      <c r="N574" s="62"/>
      <c r="O574" s="62">
        <f t="shared" si="88"/>
        <v>9500</v>
      </c>
      <c r="P574" s="161"/>
      <c r="Q574" s="62">
        <f t="shared" si="85"/>
        <v>9500</v>
      </c>
      <c r="R574" s="62">
        <f t="shared" si="90"/>
        <v>0</v>
      </c>
      <c r="S574" s="62">
        <f t="shared" si="90"/>
        <v>9500</v>
      </c>
    </row>
    <row r="575" spans="2:19" x14ac:dyDescent="0.2">
      <c r="B575" s="75">
        <f t="shared" si="89"/>
        <v>92</v>
      </c>
      <c r="C575" s="79"/>
      <c r="D575" s="79"/>
      <c r="E575" s="79"/>
      <c r="F575" s="80"/>
      <c r="G575" s="79"/>
      <c r="H575" s="147" t="s">
        <v>593</v>
      </c>
      <c r="I575" s="148"/>
      <c r="J575" s="148"/>
      <c r="K575" s="148">
        <f t="shared" si="87"/>
        <v>0</v>
      </c>
      <c r="L575" s="161"/>
      <c r="M575" s="148">
        <v>42000</v>
      </c>
      <c r="N575" s="148"/>
      <c r="O575" s="148">
        <f t="shared" si="88"/>
        <v>42000</v>
      </c>
      <c r="P575" s="161"/>
      <c r="Q575" s="148">
        <f t="shared" si="85"/>
        <v>42000</v>
      </c>
      <c r="R575" s="148">
        <f t="shared" si="90"/>
        <v>0</v>
      </c>
      <c r="S575" s="148">
        <f t="shared" si="90"/>
        <v>42000</v>
      </c>
    </row>
    <row r="576" spans="2:19" ht="24" x14ac:dyDescent="0.2">
      <c r="B576" s="75">
        <f t="shared" si="89"/>
        <v>93</v>
      </c>
      <c r="C576" s="79"/>
      <c r="D576" s="79"/>
      <c r="E576" s="79"/>
      <c r="F576" s="80"/>
      <c r="G576" s="79"/>
      <c r="H576" s="147" t="s">
        <v>594</v>
      </c>
      <c r="I576" s="148"/>
      <c r="J576" s="148"/>
      <c r="K576" s="148">
        <f t="shared" si="87"/>
        <v>0</v>
      </c>
      <c r="L576" s="161"/>
      <c r="M576" s="148">
        <v>7500</v>
      </c>
      <c r="N576" s="148"/>
      <c r="O576" s="148">
        <f t="shared" si="88"/>
        <v>7500</v>
      </c>
      <c r="P576" s="161"/>
      <c r="Q576" s="148">
        <f t="shared" si="85"/>
        <v>7500</v>
      </c>
      <c r="R576" s="148">
        <f t="shared" si="90"/>
        <v>0</v>
      </c>
      <c r="S576" s="148">
        <f t="shared" si="90"/>
        <v>7500</v>
      </c>
    </row>
    <row r="577" spans="2:19" ht="24" x14ac:dyDescent="0.2">
      <c r="B577" s="75">
        <f t="shared" si="89"/>
        <v>94</v>
      </c>
      <c r="C577" s="79"/>
      <c r="D577" s="79"/>
      <c r="E577" s="79"/>
      <c r="F577" s="80"/>
      <c r="G577" s="79"/>
      <c r="H577" s="147" t="s">
        <v>595</v>
      </c>
      <c r="I577" s="148"/>
      <c r="J577" s="148"/>
      <c r="K577" s="148">
        <f t="shared" si="87"/>
        <v>0</v>
      </c>
      <c r="L577" s="161"/>
      <c r="M577" s="148">
        <v>5500</v>
      </c>
      <c r="N577" s="148"/>
      <c r="O577" s="148">
        <f t="shared" si="88"/>
        <v>5500</v>
      </c>
      <c r="P577" s="161"/>
      <c r="Q577" s="148">
        <f t="shared" si="85"/>
        <v>5500</v>
      </c>
      <c r="R577" s="148">
        <f t="shared" si="90"/>
        <v>0</v>
      </c>
      <c r="S577" s="148">
        <f t="shared" si="90"/>
        <v>5500</v>
      </c>
    </row>
    <row r="578" spans="2:19" ht="36" x14ac:dyDescent="0.2">
      <c r="B578" s="75">
        <f t="shared" si="89"/>
        <v>95</v>
      </c>
      <c r="C578" s="79"/>
      <c r="D578" s="79"/>
      <c r="E578" s="79"/>
      <c r="F578" s="80"/>
      <c r="G578" s="79"/>
      <c r="H578" s="147" t="s">
        <v>597</v>
      </c>
      <c r="I578" s="148"/>
      <c r="J578" s="148"/>
      <c r="K578" s="148">
        <f t="shared" si="87"/>
        <v>0</v>
      </c>
      <c r="L578" s="161"/>
      <c r="M578" s="148">
        <v>13000</v>
      </c>
      <c r="N578" s="148"/>
      <c r="O578" s="148">
        <f t="shared" si="88"/>
        <v>13000</v>
      </c>
      <c r="P578" s="161"/>
      <c r="Q578" s="148">
        <f t="shared" si="85"/>
        <v>13000</v>
      </c>
      <c r="R578" s="148">
        <f t="shared" si="90"/>
        <v>0</v>
      </c>
      <c r="S578" s="148">
        <f t="shared" si="90"/>
        <v>13000</v>
      </c>
    </row>
    <row r="579" spans="2:19" x14ac:dyDescent="0.2">
      <c r="B579" s="75">
        <f t="shared" si="89"/>
        <v>96</v>
      </c>
      <c r="C579" s="79"/>
      <c r="D579" s="79"/>
      <c r="E579" s="79"/>
      <c r="F579" s="80"/>
      <c r="G579" s="79"/>
      <c r="H579" s="127" t="s">
        <v>544</v>
      </c>
      <c r="I579" s="128"/>
      <c r="J579" s="128"/>
      <c r="K579" s="128">
        <f t="shared" si="87"/>
        <v>0</v>
      </c>
      <c r="L579" s="161"/>
      <c r="M579" s="128">
        <f>19000-2350</f>
        <v>16650</v>
      </c>
      <c r="N579" s="128"/>
      <c r="O579" s="128">
        <f t="shared" si="88"/>
        <v>16650</v>
      </c>
      <c r="P579" s="161"/>
      <c r="Q579" s="128">
        <f t="shared" si="85"/>
        <v>16650</v>
      </c>
      <c r="R579" s="128">
        <f t="shared" si="90"/>
        <v>0</v>
      </c>
      <c r="S579" s="128">
        <f t="shared" si="90"/>
        <v>16650</v>
      </c>
    </row>
    <row r="580" spans="2:19" x14ac:dyDescent="0.2">
      <c r="B580" s="75">
        <f t="shared" si="89"/>
        <v>97</v>
      </c>
      <c r="C580" s="79"/>
      <c r="D580" s="79"/>
      <c r="E580" s="79"/>
      <c r="F580" s="80"/>
      <c r="G580" s="79"/>
      <c r="H580" s="127" t="s">
        <v>545</v>
      </c>
      <c r="I580" s="128"/>
      <c r="J580" s="128"/>
      <c r="K580" s="128">
        <f t="shared" si="87"/>
        <v>0</v>
      </c>
      <c r="L580" s="161"/>
      <c r="M580" s="128">
        <f>15000+2000</f>
        <v>17000</v>
      </c>
      <c r="N580" s="128"/>
      <c r="O580" s="128">
        <f t="shared" si="88"/>
        <v>17000</v>
      </c>
      <c r="P580" s="161"/>
      <c r="Q580" s="128">
        <f t="shared" ref="Q580:Q596" si="91">I580+M580</f>
        <v>17000</v>
      </c>
      <c r="R580" s="128">
        <f t="shared" ref="R580:S595" si="92">J580+N580</f>
        <v>0</v>
      </c>
      <c r="S580" s="128">
        <f t="shared" si="92"/>
        <v>17000</v>
      </c>
    </row>
    <row r="581" spans="2:19" x14ac:dyDescent="0.2">
      <c r="B581" s="75">
        <f t="shared" si="89"/>
        <v>98</v>
      </c>
      <c r="C581" s="79"/>
      <c r="D581" s="79"/>
      <c r="E581" s="79"/>
      <c r="F581" s="80"/>
      <c r="G581" s="79"/>
      <c r="H581" s="127" t="s">
        <v>546</v>
      </c>
      <c r="I581" s="128"/>
      <c r="J581" s="128"/>
      <c r="K581" s="128">
        <f t="shared" si="87"/>
        <v>0</v>
      </c>
      <c r="L581" s="161"/>
      <c r="M581" s="128">
        <v>10000</v>
      </c>
      <c r="N581" s="128"/>
      <c r="O581" s="128">
        <f t="shared" si="88"/>
        <v>10000</v>
      </c>
      <c r="P581" s="161"/>
      <c r="Q581" s="128">
        <f t="shared" si="91"/>
        <v>10000</v>
      </c>
      <c r="R581" s="128">
        <f t="shared" si="92"/>
        <v>0</v>
      </c>
      <c r="S581" s="128">
        <f t="shared" si="92"/>
        <v>10000</v>
      </c>
    </row>
    <row r="582" spans="2:19" ht="24" x14ac:dyDescent="0.2">
      <c r="B582" s="75">
        <f t="shared" si="89"/>
        <v>99</v>
      </c>
      <c r="C582" s="79"/>
      <c r="D582" s="79"/>
      <c r="E582" s="79"/>
      <c r="F582" s="80"/>
      <c r="G582" s="79"/>
      <c r="H582" s="127" t="s">
        <v>547</v>
      </c>
      <c r="I582" s="128"/>
      <c r="J582" s="128"/>
      <c r="K582" s="128">
        <f t="shared" si="87"/>
        <v>0</v>
      </c>
      <c r="L582" s="161"/>
      <c r="M582" s="128">
        <f>8500+2800</f>
        <v>11300</v>
      </c>
      <c r="N582" s="128"/>
      <c r="O582" s="128">
        <f t="shared" si="88"/>
        <v>11300</v>
      </c>
      <c r="P582" s="161"/>
      <c r="Q582" s="128">
        <f t="shared" si="91"/>
        <v>11300</v>
      </c>
      <c r="R582" s="128">
        <f t="shared" si="92"/>
        <v>0</v>
      </c>
      <c r="S582" s="128">
        <f t="shared" si="92"/>
        <v>11300</v>
      </c>
    </row>
    <row r="583" spans="2:19" x14ac:dyDescent="0.2">
      <c r="B583" s="75">
        <f t="shared" si="89"/>
        <v>100</v>
      </c>
      <c r="C583" s="79"/>
      <c r="D583" s="79"/>
      <c r="E583" s="79"/>
      <c r="F583" s="80"/>
      <c r="G583" s="79"/>
      <c r="H583" s="127" t="s">
        <v>548</v>
      </c>
      <c r="I583" s="128"/>
      <c r="J583" s="128"/>
      <c r="K583" s="128">
        <f t="shared" si="87"/>
        <v>0</v>
      </c>
      <c r="L583" s="161"/>
      <c r="M583" s="128">
        <v>3000</v>
      </c>
      <c r="N583" s="128"/>
      <c r="O583" s="128">
        <f t="shared" si="88"/>
        <v>3000</v>
      </c>
      <c r="P583" s="161"/>
      <c r="Q583" s="128">
        <f t="shared" si="91"/>
        <v>3000</v>
      </c>
      <c r="R583" s="128">
        <f t="shared" si="92"/>
        <v>0</v>
      </c>
      <c r="S583" s="128">
        <f t="shared" si="92"/>
        <v>3000</v>
      </c>
    </row>
    <row r="584" spans="2:19" ht="24" x14ac:dyDescent="0.2">
      <c r="B584" s="75">
        <f t="shared" si="89"/>
        <v>101</v>
      </c>
      <c r="C584" s="79"/>
      <c r="D584" s="79"/>
      <c r="E584" s="79"/>
      <c r="F584" s="80"/>
      <c r="G584" s="79"/>
      <c r="H584" s="127" t="s">
        <v>549</v>
      </c>
      <c r="I584" s="128"/>
      <c r="J584" s="128"/>
      <c r="K584" s="128">
        <f t="shared" si="87"/>
        <v>0</v>
      </c>
      <c r="L584" s="161"/>
      <c r="M584" s="128">
        <f>10000+14200</f>
        <v>24200</v>
      </c>
      <c r="N584" s="128"/>
      <c r="O584" s="128">
        <f t="shared" si="88"/>
        <v>24200</v>
      </c>
      <c r="P584" s="161"/>
      <c r="Q584" s="128">
        <f t="shared" si="91"/>
        <v>24200</v>
      </c>
      <c r="R584" s="128">
        <f t="shared" si="92"/>
        <v>0</v>
      </c>
      <c r="S584" s="128">
        <f t="shared" si="92"/>
        <v>24200</v>
      </c>
    </row>
    <row r="585" spans="2:19" x14ac:dyDescent="0.2">
      <c r="B585" s="75">
        <f t="shared" si="89"/>
        <v>102</v>
      </c>
      <c r="C585" s="79"/>
      <c r="D585" s="79"/>
      <c r="E585" s="79"/>
      <c r="F585" s="80"/>
      <c r="G585" s="79"/>
      <c r="H585" s="160" t="s">
        <v>617</v>
      </c>
      <c r="I585" s="161"/>
      <c r="J585" s="161"/>
      <c r="K585" s="161">
        <f t="shared" si="87"/>
        <v>0</v>
      </c>
      <c r="L585" s="161"/>
      <c r="M585" s="161">
        <v>150000</v>
      </c>
      <c r="N585" s="161"/>
      <c r="O585" s="161">
        <f t="shared" si="88"/>
        <v>150000</v>
      </c>
      <c r="P585" s="161"/>
      <c r="Q585" s="161">
        <f t="shared" si="91"/>
        <v>150000</v>
      </c>
      <c r="R585" s="161">
        <f t="shared" si="92"/>
        <v>0</v>
      </c>
      <c r="S585" s="161">
        <f t="shared" si="92"/>
        <v>150000</v>
      </c>
    </row>
    <row r="586" spans="2:19" x14ac:dyDescent="0.2">
      <c r="B586" s="75">
        <f t="shared" si="89"/>
        <v>103</v>
      </c>
      <c r="C586" s="79"/>
      <c r="D586" s="79"/>
      <c r="E586" s="79"/>
      <c r="F586" s="80"/>
      <c r="G586" s="79"/>
      <c r="H586" s="160" t="s">
        <v>618</v>
      </c>
      <c r="I586" s="161"/>
      <c r="J586" s="161"/>
      <c r="K586" s="161">
        <f t="shared" si="87"/>
        <v>0</v>
      </c>
      <c r="L586" s="161"/>
      <c r="M586" s="161">
        <f>280000-280000</f>
        <v>0</v>
      </c>
      <c r="N586" s="161"/>
      <c r="O586" s="161">
        <f t="shared" si="88"/>
        <v>0</v>
      </c>
      <c r="P586" s="161"/>
      <c r="Q586" s="161">
        <f t="shared" si="91"/>
        <v>0</v>
      </c>
      <c r="R586" s="161">
        <f t="shared" si="92"/>
        <v>0</v>
      </c>
      <c r="S586" s="161">
        <f t="shared" si="92"/>
        <v>0</v>
      </c>
    </row>
    <row r="587" spans="2:19" x14ac:dyDescent="0.2">
      <c r="B587" s="75">
        <f t="shared" si="89"/>
        <v>104</v>
      </c>
      <c r="C587" s="79"/>
      <c r="D587" s="79"/>
      <c r="E587" s="79"/>
      <c r="F587" s="80"/>
      <c r="G587" s="79"/>
      <c r="H587" s="160" t="s">
        <v>619</v>
      </c>
      <c r="I587" s="161"/>
      <c r="J587" s="161"/>
      <c r="K587" s="161">
        <f t="shared" si="87"/>
        <v>0</v>
      </c>
      <c r="L587" s="161"/>
      <c r="M587" s="161">
        <f>35000-35000</f>
        <v>0</v>
      </c>
      <c r="N587" s="161"/>
      <c r="O587" s="161">
        <f t="shared" si="88"/>
        <v>0</v>
      </c>
      <c r="P587" s="161"/>
      <c r="Q587" s="161">
        <f t="shared" si="91"/>
        <v>0</v>
      </c>
      <c r="R587" s="161">
        <f t="shared" si="92"/>
        <v>0</v>
      </c>
      <c r="S587" s="161">
        <f t="shared" si="92"/>
        <v>0</v>
      </c>
    </row>
    <row r="588" spans="2:19" x14ac:dyDescent="0.2">
      <c r="B588" s="75">
        <f t="shared" si="89"/>
        <v>105</v>
      </c>
      <c r="C588" s="79"/>
      <c r="D588" s="79"/>
      <c r="E588" s="79"/>
      <c r="F588" s="80"/>
      <c r="G588" s="79"/>
      <c r="H588" s="160" t="s">
        <v>620</v>
      </c>
      <c r="I588" s="161"/>
      <c r="J588" s="161"/>
      <c r="K588" s="161">
        <f t="shared" si="87"/>
        <v>0</v>
      </c>
      <c r="L588" s="161"/>
      <c r="M588" s="161">
        <f>115000+30000</f>
        <v>145000</v>
      </c>
      <c r="N588" s="161"/>
      <c r="O588" s="161">
        <f t="shared" si="88"/>
        <v>145000</v>
      </c>
      <c r="P588" s="161"/>
      <c r="Q588" s="161">
        <f t="shared" si="91"/>
        <v>145000</v>
      </c>
      <c r="R588" s="161">
        <f t="shared" si="92"/>
        <v>0</v>
      </c>
      <c r="S588" s="161">
        <f t="shared" si="92"/>
        <v>145000</v>
      </c>
    </row>
    <row r="589" spans="2:19" x14ac:dyDescent="0.2">
      <c r="B589" s="75">
        <f t="shared" si="89"/>
        <v>106</v>
      </c>
      <c r="C589" s="79"/>
      <c r="D589" s="79"/>
      <c r="E589" s="79"/>
      <c r="F589" s="80"/>
      <c r="G589" s="79"/>
      <c r="H589" s="160" t="s">
        <v>621</v>
      </c>
      <c r="I589" s="161"/>
      <c r="J589" s="161"/>
      <c r="K589" s="161">
        <f t="shared" si="87"/>
        <v>0</v>
      </c>
      <c r="L589" s="161"/>
      <c r="M589" s="161">
        <v>100000</v>
      </c>
      <c r="N589" s="161">
        <v>-2000</v>
      </c>
      <c r="O589" s="161">
        <f t="shared" si="88"/>
        <v>98000</v>
      </c>
      <c r="P589" s="161"/>
      <c r="Q589" s="161">
        <f t="shared" si="91"/>
        <v>100000</v>
      </c>
      <c r="R589" s="161">
        <f t="shared" si="92"/>
        <v>-2000</v>
      </c>
      <c r="S589" s="161">
        <f t="shared" si="92"/>
        <v>98000</v>
      </c>
    </row>
    <row r="590" spans="2:19" x14ac:dyDescent="0.2">
      <c r="B590" s="75">
        <f t="shared" si="89"/>
        <v>107</v>
      </c>
      <c r="C590" s="79"/>
      <c r="D590" s="79"/>
      <c r="E590" s="79"/>
      <c r="F590" s="80"/>
      <c r="G590" s="79"/>
      <c r="H590" s="160" t="s">
        <v>622</v>
      </c>
      <c r="I590" s="161"/>
      <c r="J590" s="161"/>
      <c r="K590" s="161">
        <f t="shared" si="87"/>
        <v>0</v>
      </c>
      <c r="L590" s="161"/>
      <c r="M590" s="161">
        <f>45000-45000</f>
        <v>0</v>
      </c>
      <c r="N590" s="161"/>
      <c r="O590" s="161">
        <f t="shared" si="88"/>
        <v>0</v>
      </c>
      <c r="P590" s="161"/>
      <c r="Q590" s="161">
        <f t="shared" si="91"/>
        <v>0</v>
      </c>
      <c r="R590" s="161">
        <f t="shared" si="92"/>
        <v>0</v>
      </c>
      <c r="S590" s="161">
        <f t="shared" si="92"/>
        <v>0</v>
      </c>
    </row>
    <row r="591" spans="2:19" x14ac:dyDescent="0.2">
      <c r="B591" s="75">
        <f t="shared" si="89"/>
        <v>108</v>
      </c>
      <c r="C591" s="79"/>
      <c r="D591" s="79"/>
      <c r="E591" s="79"/>
      <c r="F591" s="80"/>
      <c r="G591" s="79"/>
      <c r="H591" s="160" t="s">
        <v>623</v>
      </c>
      <c r="I591" s="161"/>
      <c r="J591" s="161"/>
      <c r="K591" s="161">
        <f t="shared" si="87"/>
        <v>0</v>
      </c>
      <c r="L591" s="161"/>
      <c r="M591" s="161">
        <v>70000</v>
      </c>
      <c r="N591" s="161"/>
      <c r="O591" s="161">
        <f t="shared" si="88"/>
        <v>70000</v>
      </c>
      <c r="P591" s="161"/>
      <c r="Q591" s="161">
        <f t="shared" si="91"/>
        <v>70000</v>
      </c>
      <c r="R591" s="161">
        <f t="shared" si="92"/>
        <v>0</v>
      </c>
      <c r="S591" s="161">
        <f t="shared" si="92"/>
        <v>70000</v>
      </c>
    </row>
    <row r="592" spans="2:19" x14ac:dyDescent="0.2">
      <c r="B592" s="75">
        <f t="shared" si="89"/>
        <v>109</v>
      </c>
      <c r="C592" s="79"/>
      <c r="D592" s="79"/>
      <c r="E592" s="79"/>
      <c r="F592" s="80"/>
      <c r="G592" s="79"/>
      <c r="H592" s="160" t="s">
        <v>648</v>
      </c>
      <c r="I592" s="161"/>
      <c r="J592" s="161"/>
      <c r="K592" s="161">
        <f t="shared" si="87"/>
        <v>0</v>
      </c>
      <c r="L592" s="161"/>
      <c r="M592" s="161">
        <v>100000</v>
      </c>
      <c r="N592" s="161"/>
      <c r="O592" s="161">
        <f t="shared" si="88"/>
        <v>100000</v>
      </c>
      <c r="P592" s="161"/>
      <c r="Q592" s="161">
        <f t="shared" si="91"/>
        <v>100000</v>
      </c>
      <c r="R592" s="161">
        <f t="shared" si="92"/>
        <v>0</v>
      </c>
      <c r="S592" s="161">
        <f t="shared" si="92"/>
        <v>100000</v>
      </c>
    </row>
    <row r="593" spans="2:19" x14ac:dyDescent="0.2">
      <c r="B593" s="75">
        <f t="shared" si="89"/>
        <v>110</v>
      </c>
      <c r="C593" s="4"/>
      <c r="D593" s="4"/>
      <c r="E593" s="4"/>
      <c r="F593" s="52" t="s">
        <v>5</v>
      </c>
      <c r="G593" s="15">
        <v>720</v>
      </c>
      <c r="H593" s="15" t="s">
        <v>442</v>
      </c>
      <c r="I593" s="49">
        <f>I594</f>
        <v>0</v>
      </c>
      <c r="J593" s="49">
        <f>J594</f>
        <v>0</v>
      </c>
      <c r="K593" s="49">
        <f t="shared" si="87"/>
        <v>0</v>
      </c>
      <c r="L593" s="123"/>
      <c r="M593" s="49">
        <f>M594</f>
        <v>270126</v>
      </c>
      <c r="N593" s="49">
        <f>N594</f>
        <v>0</v>
      </c>
      <c r="O593" s="49">
        <f t="shared" si="88"/>
        <v>270126</v>
      </c>
      <c r="P593" s="123"/>
      <c r="Q593" s="49">
        <f t="shared" si="91"/>
        <v>270126</v>
      </c>
      <c r="R593" s="49">
        <f t="shared" si="92"/>
        <v>0</v>
      </c>
      <c r="S593" s="49">
        <f t="shared" si="92"/>
        <v>270126</v>
      </c>
    </row>
    <row r="594" spans="2:19" x14ac:dyDescent="0.2">
      <c r="B594" s="75">
        <f t="shared" si="89"/>
        <v>111</v>
      </c>
      <c r="C594" s="4"/>
      <c r="D594" s="4"/>
      <c r="E594" s="4"/>
      <c r="F594" s="86" t="s">
        <v>5</v>
      </c>
      <c r="G594" s="87">
        <v>720</v>
      </c>
      <c r="H594" s="87" t="s">
        <v>442</v>
      </c>
      <c r="I594" s="88"/>
      <c r="J594" s="88"/>
      <c r="K594" s="88">
        <f t="shared" si="87"/>
        <v>0</v>
      </c>
      <c r="L594" s="76"/>
      <c r="M594" s="88">
        <f>M595+M596</f>
        <v>270126</v>
      </c>
      <c r="N594" s="88">
        <f>N595+N596</f>
        <v>0</v>
      </c>
      <c r="O594" s="88">
        <f t="shared" si="88"/>
        <v>270126</v>
      </c>
      <c r="P594" s="76"/>
      <c r="Q594" s="88">
        <f t="shared" si="91"/>
        <v>270126</v>
      </c>
      <c r="R594" s="88">
        <f t="shared" si="92"/>
        <v>0</v>
      </c>
      <c r="S594" s="88">
        <f t="shared" si="92"/>
        <v>270126</v>
      </c>
    </row>
    <row r="595" spans="2:19" x14ac:dyDescent="0.2">
      <c r="B595" s="75">
        <f t="shared" si="89"/>
        <v>112</v>
      </c>
      <c r="C595" s="4"/>
      <c r="D595" s="4"/>
      <c r="E595" s="4"/>
      <c r="F595" s="109"/>
      <c r="G595" s="108">
        <v>723</v>
      </c>
      <c r="H595" s="108" t="s">
        <v>443</v>
      </c>
      <c r="I595" s="76"/>
      <c r="J595" s="76"/>
      <c r="K595" s="76">
        <f t="shared" si="87"/>
        <v>0</v>
      </c>
      <c r="L595" s="76"/>
      <c r="M595" s="76">
        <v>55000</v>
      </c>
      <c r="N595" s="76"/>
      <c r="O595" s="76">
        <f t="shared" si="88"/>
        <v>55000</v>
      </c>
      <c r="P595" s="76"/>
      <c r="Q595" s="76">
        <f t="shared" si="91"/>
        <v>55000</v>
      </c>
      <c r="R595" s="76">
        <f t="shared" si="92"/>
        <v>0</v>
      </c>
      <c r="S595" s="76">
        <f t="shared" si="92"/>
        <v>55000</v>
      </c>
    </row>
    <row r="596" spans="2:19" x14ac:dyDescent="0.2">
      <c r="B596" s="75">
        <f t="shared" si="89"/>
        <v>113</v>
      </c>
      <c r="C596" s="4"/>
      <c r="D596" s="4"/>
      <c r="E596" s="4"/>
      <c r="F596" s="109"/>
      <c r="G596" s="108">
        <v>723</v>
      </c>
      <c r="H596" s="108" t="s">
        <v>538</v>
      </c>
      <c r="I596" s="76"/>
      <c r="J596" s="76"/>
      <c r="K596" s="76">
        <f t="shared" si="87"/>
        <v>0</v>
      </c>
      <c r="L596" s="76"/>
      <c r="M596" s="76">
        <f>297675-82549</f>
        <v>215126</v>
      </c>
      <c r="N596" s="76"/>
      <c r="O596" s="76">
        <f t="shared" si="88"/>
        <v>215126</v>
      </c>
      <c r="P596" s="76"/>
      <c r="Q596" s="76">
        <f t="shared" si="91"/>
        <v>215126</v>
      </c>
      <c r="R596" s="76">
        <f t="shared" ref="R596:S596" si="93">J596+N596</f>
        <v>0</v>
      </c>
      <c r="S596" s="76">
        <f t="shared" si="93"/>
        <v>215126</v>
      </c>
    </row>
    <row r="597" spans="2:19" x14ac:dyDescent="0.2">
      <c r="B597" s="98"/>
      <c r="C597" s="13"/>
      <c r="D597" s="13"/>
      <c r="E597" s="13"/>
      <c r="F597" s="110"/>
      <c r="G597" s="13"/>
      <c r="H597" s="13"/>
      <c r="I597" s="111"/>
      <c r="J597" s="111"/>
      <c r="K597" s="111"/>
      <c r="L597" s="177"/>
      <c r="M597" s="111"/>
      <c r="N597" s="111"/>
      <c r="O597" s="111"/>
      <c r="P597" s="177"/>
      <c r="Q597" s="111"/>
    </row>
    <row r="598" spans="2:19" x14ac:dyDescent="0.2">
      <c r="B598" s="98"/>
      <c r="C598" s="13"/>
      <c r="D598" s="13"/>
      <c r="E598" s="13"/>
      <c r="F598" s="110"/>
      <c r="G598" s="13"/>
      <c r="H598" s="13"/>
      <c r="I598" s="111"/>
      <c r="J598" s="111"/>
      <c r="K598" s="111"/>
      <c r="L598" s="177"/>
      <c r="M598" s="111"/>
      <c r="N598" s="111"/>
      <c r="O598" s="111"/>
      <c r="P598" s="177"/>
      <c r="Q598" s="111"/>
    </row>
    <row r="599" spans="2:19" x14ac:dyDescent="0.2">
      <c r="B599" s="98"/>
      <c r="C599" s="13"/>
      <c r="D599" s="13"/>
      <c r="E599" s="13"/>
      <c r="F599" s="110"/>
      <c r="G599" s="13"/>
      <c r="H599" s="13"/>
      <c r="I599" s="111"/>
      <c r="J599" s="111"/>
      <c r="K599" s="111"/>
      <c r="L599" s="177"/>
      <c r="M599" s="111"/>
      <c r="N599" s="111"/>
      <c r="O599" s="111"/>
      <c r="P599" s="177"/>
      <c r="Q599" s="111"/>
    </row>
    <row r="600" spans="2:19" x14ac:dyDescent="0.2">
      <c r="B600" s="98"/>
      <c r="C600" s="13"/>
      <c r="D600" s="13"/>
      <c r="E600" s="13"/>
      <c r="F600" s="110"/>
      <c r="G600" s="13"/>
      <c r="H600" s="13"/>
      <c r="I600" s="111"/>
      <c r="J600" s="111"/>
      <c r="K600" s="111"/>
      <c r="L600" s="177"/>
      <c r="M600" s="111"/>
      <c r="N600" s="111"/>
      <c r="O600" s="111"/>
      <c r="P600" s="177"/>
      <c r="Q600" s="111"/>
    </row>
    <row r="601" spans="2:19" x14ac:dyDescent="0.2">
      <c r="B601" s="98"/>
      <c r="C601" s="13"/>
      <c r="D601" s="13"/>
      <c r="E601" s="13"/>
      <c r="F601" s="110"/>
      <c r="G601" s="13"/>
      <c r="H601" s="13"/>
      <c r="I601" s="111"/>
      <c r="J601" s="111"/>
      <c r="K601" s="111"/>
      <c r="L601" s="177"/>
      <c r="M601" s="111"/>
      <c r="N601" s="111"/>
      <c r="O601" s="111"/>
      <c r="P601" s="177"/>
      <c r="Q601" s="111"/>
    </row>
    <row r="602" spans="2:19" x14ac:dyDescent="0.2">
      <c r="B602" s="98"/>
      <c r="C602" s="13"/>
      <c r="D602" s="13"/>
      <c r="E602" s="13"/>
      <c r="F602" s="110"/>
      <c r="G602" s="13"/>
      <c r="H602" s="13"/>
      <c r="I602" s="111"/>
      <c r="J602" s="111"/>
      <c r="K602" s="111"/>
      <c r="L602" s="177"/>
      <c r="M602" s="111"/>
      <c r="N602" s="111"/>
      <c r="O602" s="111"/>
      <c r="P602" s="177"/>
      <c r="Q602" s="111"/>
    </row>
    <row r="603" spans="2:19" x14ac:dyDescent="0.2">
      <c r="B603" s="98"/>
      <c r="C603" s="13"/>
      <c r="D603" s="13"/>
      <c r="E603" s="13"/>
      <c r="F603" s="110"/>
      <c r="G603" s="13"/>
      <c r="H603" s="13"/>
      <c r="I603" s="111"/>
      <c r="J603" s="111"/>
      <c r="K603" s="111"/>
      <c r="L603" s="177"/>
      <c r="M603" s="111"/>
      <c r="N603" s="111"/>
      <c r="O603" s="111"/>
      <c r="P603" s="177"/>
      <c r="Q603" s="111"/>
    </row>
    <row r="604" spans="2:19" x14ac:dyDescent="0.2">
      <c r="B604" s="98"/>
      <c r="C604" s="13"/>
      <c r="D604" s="13"/>
      <c r="E604" s="13"/>
      <c r="F604" s="110"/>
      <c r="G604" s="13"/>
      <c r="H604" s="13"/>
      <c r="I604" s="111"/>
      <c r="J604" s="111"/>
      <c r="K604" s="111"/>
      <c r="L604" s="177"/>
      <c r="M604" s="111"/>
      <c r="N604" s="111"/>
      <c r="O604" s="111"/>
      <c r="P604" s="177"/>
      <c r="Q604" s="111"/>
    </row>
    <row r="605" spans="2:19" x14ac:dyDescent="0.2">
      <c r="B605" s="98"/>
      <c r="C605" s="13"/>
      <c r="D605" s="13"/>
      <c r="E605" s="13"/>
      <c r="F605" s="110"/>
      <c r="G605" s="13"/>
      <c r="H605" s="13"/>
      <c r="I605" s="111"/>
      <c r="J605" s="111"/>
      <c r="K605" s="111"/>
      <c r="L605" s="177"/>
      <c r="M605" s="111"/>
      <c r="N605" s="111"/>
      <c r="O605" s="111"/>
      <c r="P605" s="177"/>
      <c r="Q605" s="111"/>
    </row>
    <row r="606" spans="2:19" x14ac:dyDescent="0.2">
      <c r="B606" s="98"/>
      <c r="C606" s="13"/>
      <c r="D606" s="13"/>
      <c r="E606" s="13"/>
      <c r="F606" s="110"/>
      <c r="G606" s="13"/>
      <c r="H606" s="13"/>
      <c r="I606" s="111"/>
      <c r="J606" s="111"/>
      <c r="K606" s="111"/>
      <c r="L606" s="177"/>
      <c r="M606" s="111"/>
      <c r="N606" s="111"/>
      <c r="O606" s="111"/>
      <c r="P606" s="177"/>
      <c r="Q606" s="111"/>
    </row>
    <row r="607" spans="2:19" x14ac:dyDescent="0.2">
      <c r="B607" s="98"/>
      <c r="C607" s="13"/>
      <c r="D607" s="13"/>
      <c r="E607" s="13"/>
      <c r="F607" s="110"/>
      <c r="G607" s="13"/>
      <c r="H607" s="13"/>
      <c r="I607" s="111"/>
      <c r="J607" s="111"/>
      <c r="K607" s="111"/>
      <c r="L607" s="177"/>
      <c r="M607" s="111"/>
      <c r="N607" s="111"/>
      <c r="O607" s="111"/>
      <c r="P607" s="177"/>
      <c r="Q607" s="111"/>
    </row>
    <row r="608" spans="2:19" x14ac:dyDescent="0.2">
      <c r="B608" s="98"/>
      <c r="C608" s="13"/>
      <c r="D608" s="13"/>
      <c r="E608" s="13"/>
      <c r="F608" s="110"/>
      <c r="G608" s="13"/>
      <c r="H608" s="13"/>
      <c r="I608" s="111"/>
      <c r="J608" s="111"/>
      <c r="K608" s="111"/>
      <c r="L608" s="177"/>
      <c r="M608" s="111"/>
      <c r="N608" s="111"/>
      <c r="O608" s="111"/>
      <c r="P608" s="177"/>
      <c r="Q608" s="111"/>
    </row>
    <row r="609" spans="2:17" x14ac:dyDescent="0.2">
      <c r="B609" s="98"/>
      <c r="C609" s="13"/>
      <c r="D609" s="13"/>
      <c r="E609" s="13"/>
      <c r="F609" s="110"/>
      <c r="G609" s="13"/>
      <c r="H609" s="13"/>
      <c r="I609" s="111"/>
      <c r="J609" s="111"/>
      <c r="K609" s="111"/>
      <c r="L609" s="177"/>
      <c r="M609" s="111"/>
      <c r="N609" s="111"/>
      <c r="O609" s="111"/>
      <c r="P609" s="177"/>
      <c r="Q609" s="111"/>
    </row>
    <row r="610" spans="2:17" x14ac:dyDescent="0.2">
      <c r="B610" s="98"/>
      <c r="C610" s="13"/>
      <c r="D610" s="13"/>
      <c r="E610" s="13"/>
      <c r="F610" s="110"/>
      <c r="G610" s="13"/>
      <c r="H610" s="13"/>
      <c r="I610" s="111"/>
      <c r="J610" s="111"/>
      <c r="K610" s="111"/>
      <c r="L610" s="177"/>
      <c r="M610" s="111"/>
      <c r="N610" s="111"/>
      <c r="O610" s="111"/>
      <c r="P610" s="177"/>
      <c r="Q610" s="111"/>
    </row>
    <row r="611" spans="2:17" x14ac:dyDescent="0.2">
      <c r="B611" s="98"/>
      <c r="C611" s="13"/>
      <c r="D611" s="13"/>
      <c r="E611" s="13"/>
      <c r="F611" s="110"/>
      <c r="G611" s="13"/>
      <c r="H611" s="13"/>
      <c r="I611" s="111"/>
      <c r="J611" s="111"/>
      <c r="K611" s="111"/>
      <c r="L611" s="177"/>
      <c r="M611" s="111"/>
      <c r="N611" s="111"/>
      <c r="O611" s="111"/>
      <c r="P611" s="177"/>
      <c r="Q611" s="111"/>
    </row>
    <row r="612" spans="2:17" x14ac:dyDescent="0.2">
      <c r="B612" s="98"/>
      <c r="C612" s="13"/>
      <c r="D612" s="13"/>
      <c r="E612" s="13"/>
      <c r="F612" s="110"/>
      <c r="G612" s="13"/>
      <c r="H612" s="13"/>
      <c r="I612" s="111"/>
      <c r="J612" s="111"/>
      <c r="K612" s="111"/>
      <c r="L612" s="177"/>
      <c r="M612" s="111"/>
      <c r="N612" s="111"/>
      <c r="O612" s="111"/>
      <c r="P612" s="177"/>
      <c r="Q612" s="111"/>
    </row>
    <row r="613" spans="2:17" x14ac:dyDescent="0.2">
      <c r="B613" s="98"/>
      <c r="C613" s="13"/>
      <c r="D613" s="13"/>
      <c r="E613" s="13"/>
      <c r="F613" s="110"/>
      <c r="G613" s="13"/>
      <c r="H613" s="13"/>
      <c r="I613" s="111"/>
      <c r="J613" s="111"/>
      <c r="K613" s="111"/>
      <c r="L613" s="177"/>
      <c r="M613" s="111"/>
      <c r="N613" s="111"/>
      <c r="O613" s="111"/>
      <c r="P613" s="177"/>
      <c r="Q613" s="111"/>
    </row>
    <row r="614" spans="2:17" x14ac:dyDescent="0.2">
      <c r="B614" s="98"/>
      <c r="C614" s="13"/>
      <c r="D614" s="13"/>
      <c r="E614" s="13"/>
      <c r="F614" s="110"/>
      <c r="G614" s="13"/>
      <c r="H614" s="13"/>
      <c r="I614" s="111"/>
      <c r="J614" s="111"/>
      <c r="K614" s="111"/>
      <c r="L614" s="177"/>
      <c r="M614" s="111"/>
      <c r="N614" s="111"/>
      <c r="O614" s="111"/>
      <c r="P614" s="177"/>
      <c r="Q614" s="111"/>
    </row>
    <row r="615" spans="2:17" x14ac:dyDescent="0.2">
      <c r="B615" s="98"/>
      <c r="C615" s="13"/>
      <c r="D615" s="13"/>
      <c r="E615" s="13"/>
      <c r="F615" s="110"/>
      <c r="G615" s="13"/>
      <c r="H615" s="13"/>
      <c r="I615" s="111"/>
      <c r="J615" s="111"/>
      <c r="K615" s="111"/>
      <c r="L615" s="177"/>
      <c r="M615" s="111"/>
      <c r="N615" s="111"/>
      <c r="O615" s="111"/>
      <c r="P615" s="177"/>
      <c r="Q615" s="111"/>
    </row>
    <row r="616" spans="2:17" x14ac:dyDescent="0.2">
      <c r="B616" s="98"/>
      <c r="C616" s="13"/>
      <c r="D616" s="13"/>
      <c r="E616" s="13"/>
      <c r="F616" s="110"/>
      <c r="G616" s="13"/>
      <c r="H616" s="13"/>
      <c r="I616" s="111"/>
      <c r="J616" s="111"/>
      <c r="K616" s="111"/>
      <c r="L616" s="177"/>
      <c r="M616" s="111"/>
      <c r="N616" s="111"/>
      <c r="O616" s="111"/>
      <c r="P616" s="177"/>
      <c r="Q616" s="111"/>
    </row>
    <row r="617" spans="2:17" x14ac:dyDescent="0.2">
      <c r="B617" s="98"/>
      <c r="C617" s="13"/>
      <c r="D617" s="13"/>
      <c r="E617" s="13"/>
      <c r="F617" s="110"/>
      <c r="G617" s="13"/>
      <c r="H617" s="13"/>
      <c r="I617" s="111"/>
      <c r="J617" s="111"/>
      <c r="K617" s="111"/>
      <c r="L617" s="177"/>
      <c r="M617" s="111"/>
      <c r="N617" s="111"/>
      <c r="O617" s="111"/>
      <c r="P617" s="177"/>
      <c r="Q617" s="111"/>
    </row>
    <row r="618" spans="2:17" x14ac:dyDescent="0.2">
      <c r="B618" s="98"/>
      <c r="C618" s="13"/>
      <c r="D618" s="13"/>
      <c r="E618" s="13"/>
      <c r="F618" s="110"/>
      <c r="G618" s="13"/>
      <c r="H618" s="13"/>
      <c r="I618" s="111"/>
      <c r="J618" s="111"/>
      <c r="K618" s="111"/>
      <c r="L618" s="177"/>
      <c r="M618" s="111"/>
      <c r="N618" s="111"/>
      <c r="O618" s="111"/>
      <c r="P618" s="177"/>
      <c r="Q618" s="111"/>
    </row>
    <row r="619" spans="2:17" x14ac:dyDescent="0.2">
      <c r="B619" s="98"/>
      <c r="C619" s="13"/>
      <c r="D619" s="13"/>
      <c r="E619" s="13"/>
      <c r="F619" s="110"/>
      <c r="G619" s="13"/>
      <c r="H619" s="13"/>
      <c r="I619" s="111"/>
      <c r="J619" s="111"/>
      <c r="K619" s="111"/>
      <c r="L619" s="177"/>
      <c r="M619" s="111"/>
      <c r="N619" s="111"/>
      <c r="O619" s="111"/>
      <c r="P619" s="177"/>
      <c r="Q619" s="111"/>
    </row>
    <row r="620" spans="2:17" x14ac:dyDescent="0.2">
      <c r="B620" s="98"/>
      <c r="C620" s="13"/>
      <c r="D620" s="13"/>
      <c r="E620" s="13"/>
      <c r="F620" s="110"/>
      <c r="G620" s="13"/>
      <c r="H620" s="13"/>
      <c r="I620" s="111"/>
      <c r="J620" s="111"/>
      <c r="K620" s="111"/>
      <c r="L620" s="177"/>
      <c r="M620" s="111"/>
      <c r="N620" s="111"/>
      <c r="O620" s="111"/>
      <c r="P620" s="177"/>
      <c r="Q620" s="111"/>
    </row>
    <row r="621" spans="2:17" x14ac:dyDescent="0.2">
      <c r="B621" s="98"/>
      <c r="C621" s="13"/>
      <c r="D621" s="13"/>
      <c r="E621" s="13"/>
      <c r="F621" s="110"/>
      <c r="G621" s="13"/>
      <c r="H621" s="13"/>
      <c r="I621" s="111"/>
      <c r="J621" s="111"/>
      <c r="K621" s="111"/>
      <c r="L621" s="177"/>
      <c r="M621" s="111"/>
      <c r="N621" s="111"/>
      <c r="O621" s="111"/>
      <c r="P621" s="177"/>
      <c r="Q621" s="111"/>
    </row>
    <row r="622" spans="2:17" x14ac:dyDescent="0.2">
      <c r="B622" s="98"/>
      <c r="C622" s="13"/>
      <c r="D622" s="13"/>
      <c r="E622" s="13"/>
      <c r="F622" s="110"/>
      <c r="G622" s="13"/>
      <c r="H622" s="13"/>
      <c r="I622" s="111"/>
      <c r="J622" s="111"/>
      <c r="K622" s="111"/>
      <c r="L622" s="177"/>
      <c r="M622" s="111"/>
      <c r="N622" s="111"/>
      <c r="O622" s="111"/>
      <c r="P622" s="177"/>
      <c r="Q622" s="111"/>
    </row>
    <row r="623" spans="2:17" x14ac:dyDescent="0.2">
      <c r="B623" s="98"/>
      <c r="C623" s="13"/>
      <c r="D623" s="13"/>
      <c r="E623" s="13"/>
      <c r="F623" s="110"/>
      <c r="G623" s="13"/>
      <c r="H623" s="13"/>
      <c r="I623" s="111"/>
      <c r="J623" s="111"/>
      <c r="K623" s="111"/>
      <c r="L623" s="177"/>
      <c r="M623" s="111"/>
      <c r="N623" s="111"/>
      <c r="O623" s="111"/>
      <c r="P623" s="177"/>
      <c r="Q623" s="111"/>
    </row>
    <row r="624" spans="2:17" x14ac:dyDescent="0.2">
      <c r="B624" s="98"/>
      <c r="C624" s="13"/>
      <c r="D624" s="13"/>
      <c r="E624" s="13"/>
      <c r="F624" s="110"/>
      <c r="G624" s="13"/>
      <c r="H624" s="13"/>
      <c r="I624" s="111"/>
      <c r="J624" s="111"/>
      <c r="K624" s="111"/>
      <c r="L624" s="177"/>
      <c r="M624" s="111"/>
      <c r="N624" s="111"/>
      <c r="O624" s="111"/>
      <c r="P624" s="177"/>
      <c r="Q624" s="111"/>
    </row>
    <row r="625" spans="2:17" x14ac:dyDescent="0.2">
      <c r="B625" s="98"/>
      <c r="C625" s="13"/>
      <c r="D625" s="13"/>
      <c r="E625" s="13"/>
      <c r="F625" s="110"/>
      <c r="G625" s="13"/>
      <c r="H625" s="13"/>
      <c r="I625" s="111"/>
      <c r="J625" s="111"/>
      <c r="K625" s="111"/>
      <c r="L625" s="177"/>
      <c r="M625" s="111"/>
      <c r="N625" s="111"/>
      <c r="O625" s="111"/>
      <c r="P625" s="177"/>
      <c r="Q625" s="111"/>
    </row>
    <row r="626" spans="2:17" x14ac:dyDescent="0.2">
      <c r="B626" s="98"/>
      <c r="C626" s="13"/>
      <c r="D626" s="13"/>
      <c r="E626" s="13"/>
      <c r="F626" s="110"/>
      <c r="G626" s="13"/>
      <c r="H626" s="13"/>
      <c r="I626" s="111"/>
      <c r="J626" s="111"/>
      <c r="K626" s="111"/>
      <c r="L626" s="177"/>
      <c r="M626" s="111"/>
      <c r="N626" s="111"/>
      <c r="O626" s="111"/>
      <c r="P626" s="177"/>
      <c r="Q626" s="111"/>
    </row>
    <row r="627" spans="2:17" x14ac:dyDescent="0.2">
      <c r="B627" s="98"/>
      <c r="C627" s="13"/>
      <c r="D627" s="13"/>
      <c r="E627" s="13"/>
      <c r="F627" s="110"/>
      <c r="G627" s="13"/>
      <c r="H627" s="13"/>
      <c r="I627" s="111"/>
      <c r="J627" s="111"/>
      <c r="K627" s="111"/>
      <c r="L627" s="177"/>
      <c r="M627" s="111"/>
      <c r="N627" s="111"/>
      <c r="O627" s="111"/>
      <c r="P627" s="177"/>
      <c r="Q627" s="111"/>
    </row>
    <row r="628" spans="2:17" x14ac:dyDescent="0.2">
      <c r="B628" s="98"/>
      <c r="C628" s="13"/>
      <c r="D628" s="13"/>
      <c r="E628" s="13"/>
      <c r="F628" s="110"/>
      <c r="G628" s="13"/>
      <c r="H628" s="13"/>
      <c r="I628" s="111"/>
      <c r="J628" s="111"/>
      <c r="K628" s="111"/>
      <c r="L628" s="177"/>
      <c r="M628" s="111"/>
      <c r="N628" s="111"/>
      <c r="O628" s="111"/>
      <c r="P628" s="177"/>
      <c r="Q628" s="111"/>
    </row>
    <row r="629" spans="2:17" x14ac:dyDescent="0.2">
      <c r="B629" s="98"/>
      <c r="C629" s="13"/>
      <c r="D629" s="13"/>
      <c r="E629" s="13"/>
      <c r="F629" s="110"/>
      <c r="G629" s="13"/>
      <c r="H629" s="13"/>
      <c r="I629" s="111"/>
      <c r="J629" s="111"/>
      <c r="K629" s="111"/>
      <c r="L629" s="177"/>
      <c r="M629" s="111"/>
      <c r="N629" s="111"/>
      <c r="O629" s="111"/>
      <c r="P629" s="177"/>
      <c r="Q629" s="111"/>
    </row>
    <row r="630" spans="2:17" x14ac:dyDescent="0.2">
      <c r="B630" s="98"/>
      <c r="C630" s="13"/>
      <c r="D630" s="13"/>
      <c r="E630" s="13"/>
      <c r="F630" s="110"/>
      <c r="G630" s="13"/>
      <c r="H630" s="13"/>
      <c r="I630" s="111"/>
      <c r="J630" s="111"/>
      <c r="K630" s="111"/>
      <c r="L630" s="177"/>
      <c r="M630" s="111"/>
      <c r="N630" s="111"/>
      <c r="O630" s="111"/>
      <c r="P630" s="177"/>
      <c r="Q630" s="111"/>
    </row>
    <row r="631" spans="2:17" x14ac:dyDescent="0.2">
      <c r="B631" s="98"/>
      <c r="C631" s="13"/>
      <c r="D631" s="13"/>
      <c r="E631" s="13"/>
      <c r="F631" s="110"/>
      <c r="G631" s="13"/>
      <c r="H631" s="13"/>
      <c r="I631" s="111"/>
      <c r="J631" s="111"/>
      <c r="K631" s="111"/>
      <c r="L631" s="177"/>
      <c r="M631" s="111"/>
      <c r="N631" s="111"/>
      <c r="O631" s="111"/>
      <c r="P631" s="177"/>
      <c r="Q631" s="111"/>
    </row>
    <row r="632" spans="2:17" x14ac:dyDescent="0.2">
      <c r="B632" s="98"/>
      <c r="C632" s="13"/>
      <c r="D632" s="13"/>
      <c r="E632" s="13"/>
      <c r="F632" s="110"/>
      <c r="G632" s="13"/>
      <c r="H632" s="13"/>
      <c r="I632" s="111"/>
      <c r="J632" s="111"/>
      <c r="K632" s="111"/>
      <c r="L632" s="177"/>
      <c r="M632" s="111"/>
      <c r="N632" s="111"/>
      <c r="O632" s="111"/>
      <c r="P632" s="177"/>
      <c r="Q632" s="111"/>
    </row>
    <row r="633" spans="2:17" x14ac:dyDescent="0.2">
      <c r="B633" s="98"/>
      <c r="C633" s="13"/>
      <c r="D633" s="13"/>
      <c r="E633" s="13"/>
      <c r="F633" s="110"/>
      <c r="G633" s="13"/>
      <c r="H633" s="13"/>
      <c r="I633" s="111"/>
      <c r="J633" s="111"/>
      <c r="K633" s="111"/>
      <c r="L633" s="177"/>
      <c r="M633" s="111"/>
      <c r="N633" s="111"/>
      <c r="O633" s="111"/>
      <c r="P633" s="177"/>
      <c r="Q633" s="111"/>
    </row>
    <row r="634" spans="2:17" x14ac:dyDescent="0.2">
      <c r="B634" s="98"/>
      <c r="C634" s="13"/>
      <c r="D634" s="13"/>
      <c r="E634" s="13"/>
      <c r="F634" s="110"/>
      <c r="G634" s="13"/>
      <c r="H634" s="13"/>
      <c r="I634" s="111"/>
      <c r="J634" s="111"/>
      <c r="K634" s="111"/>
      <c r="L634" s="177"/>
      <c r="M634" s="111"/>
      <c r="N634" s="111"/>
      <c r="O634" s="111"/>
      <c r="P634" s="177"/>
      <c r="Q634" s="111"/>
    </row>
    <row r="635" spans="2:17" x14ac:dyDescent="0.2">
      <c r="B635" s="98"/>
      <c r="C635" s="13"/>
      <c r="D635" s="13"/>
      <c r="E635" s="13"/>
      <c r="F635" s="110"/>
      <c r="G635" s="13"/>
      <c r="H635" s="13"/>
      <c r="I635" s="111"/>
      <c r="J635" s="111"/>
      <c r="K635" s="111"/>
      <c r="L635" s="177"/>
      <c r="M635" s="111"/>
      <c r="N635" s="111"/>
      <c r="O635" s="111"/>
      <c r="P635" s="177"/>
      <c r="Q635" s="111"/>
    </row>
    <row r="636" spans="2:17" x14ac:dyDescent="0.2">
      <c r="B636" s="98"/>
      <c r="C636" s="13"/>
      <c r="D636" s="13"/>
      <c r="E636" s="13"/>
      <c r="F636" s="110"/>
      <c r="G636" s="13"/>
      <c r="H636" s="13"/>
      <c r="I636" s="111"/>
      <c r="J636" s="111"/>
      <c r="K636" s="111"/>
      <c r="L636" s="177"/>
      <c r="M636" s="111"/>
      <c r="N636" s="111"/>
      <c r="O636" s="111"/>
      <c r="P636" s="177"/>
      <c r="Q636" s="111"/>
    </row>
    <row r="637" spans="2:17" x14ac:dyDescent="0.2">
      <c r="B637" s="98"/>
      <c r="C637" s="13"/>
      <c r="D637" s="13"/>
      <c r="E637" s="13"/>
      <c r="F637" s="110"/>
      <c r="G637" s="13"/>
      <c r="H637" s="13"/>
      <c r="I637" s="111"/>
      <c r="J637" s="111"/>
      <c r="K637" s="111"/>
      <c r="L637" s="177"/>
      <c r="M637" s="111"/>
      <c r="N637" s="111"/>
      <c r="O637" s="111"/>
      <c r="P637" s="177"/>
      <c r="Q637" s="111"/>
    </row>
    <row r="638" spans="2:17" x14ac:dyDescent="0.2">
      <c r="B638" s="98"/>
      <c r="C638" s="13"/>
      <c r="D638" s="13"/>
      <c r="E638" s="13"/>
      <c r="F638" s="110"/>
      <c r="G638" s="13"/>
      <c r="H638" s="13"/>
      <c r="I638" s="111"/>
      <c r="J638" s="111"/>
      <c r="K638" s="111"/>
      <c r="L638" s="177"/>
      <c r="M638" s="111"/>
      <c r="N638" s="111"/>
      <c r="O638" s="111"/>
      <c r="P638" s="177"/>
      <c r="Q638" s="111"/>
    </row>
    <row r="639" spans="2:17" x14ac:dyDescent="0.2">
      <c r="B639" s="98"/>
      <c r="C639" s="13"/>
      <c r="D639" s="13"/>
      <c r="E639" s="13"/>
      <c r="F639" s="110"/>
      <c r="G639" s="13"/>
      <c r="H639" s="13"/>
      <c r="I639" s="111"/>
      <c r="J639" s="111"/>
      <c r="K639" s="111"/>
      <c r="L639" s="177"/>
      <c r="M639" s="111"/>
      <c r="N639" s="111"/>
      <c r="O639" s="111"/>
      <c r="P639" s="177"/>
      <c r="Q639" s="111"/>
    </row>
    <row r="640" spans="2:17" x14ac:dyDescent="0.2">
      <c r="B640" s="98"/>
      <c r="C640" s="13"/>
      <c r="D640" s="13"/>
      <c r="E640" s="13"/>
      <c r="F640" s="110"/>
      <c r="G640" s="13"/>
      <c r="H640" s="13"/>
      <c r="I640" s="111"/>
      <c r="J640" s="111"/>
      <c r="K640" s="111"/>
      <c r="L640" s="177"/>
      <c r="M640" s="111"/>
      <c r="N640" s="111"/>
      <c r="O640" s="111"/>
      <c r="P640" s="177"/>
      <c r="Q640" s="111"/>
    </row>
    <row r="641" spans="2:19" x14ac:dyDescent="0.2">
      <c r="B641" s="98"/>
      <c r="C641" s="13"/>
      <c r="D641" s="13"/>
      <c r="E641" s="13"/>
      <c r="F641" s="110"/>
      <c r="G641" s="13"/>
      <c r="H641" s="13"/>
      <c r="I641" s="111"/>
      <c r="J641" s="111"/>
      <c r="K641" s="111"/>
      <c r="L641" s="177"/>
      <c r="M641" s="111"/>
      <c r="N641" s="111"/>
      <c r="O641" s="111"/>
      <c r="P641" s="177"/>
      <c r="Q641" s="111"/>
    </row>
    <row r="642" spans="2:19" x14ac:dyDescent="0.2">
      <c r="B642" s="98"/>
      <c r="C642" s="13"/>
      <c r="D642" s="13"/>
      <c r="E642" s="13"/>
      <c r="F642" s="110"/>
      <c r="G642" s="13"/>
      <c r="H642" s="13"/>
      <c r="I642" s="111"/>
      <c r="J642" s="111"/>
      <c r="K642" s="111"/>
      <c r="L642" s="177"/>
      <c r="M642" s="111"/>
      <c r="N642" s="111"/>
      <c r="O642" s="111"/>
      <c r="P642" s="177"/>
      <c r="Q642" s="111"/>
    </row>
    <row r="643" spans="2:19" ht="27" x14ac:dyDescent="0.35">
      <c r="B643" s="234" t="s">
        <v>307</v>
      </c>
      <c r="C643" s="235"/>
      <c r="D643" s="235"/>
      <c r="E643" s="235"/>
      <c r="F643" s="235"/>
      <c r="G643" s="235"/>
      <c r="H643" s="235"/>
      <c r="I643" s="235"/>
      <c r="J643" s="235"/>
      <c r="K643" s="235"/>
      <c r="L643" s="235"/>
      <c r="M643" s="235"/>
      <c r="N643" s="235"/>
      <c r="O643" s="235"/>
      <c r="P643" s="235"/>
      <c r="Q643" s="235"/>
    </row>
    <row r="644" spans="2:19" x14ac:dyDescent="0.2">
      <c r="B644" s="236" t="s">
        <v>285</v>
      </c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182"/>
      <c r="O644" s="182"/>
      <c r="P644" s="183"/>
      <c r="Q644" s="222" t="s">
        <v>602</v>
      </c>
      <c r="R644" s="222" t="s">
        <v>657</v>
      </c>
      <c r="S644" s="222" t="s">
        <v>602</v>
      </c>
    </row>
    <row r="645" spans="2:19" x14ac:dyDescent="0.2">
      <c r="B645" s="238" t="s">
        <v>113</v>
      </c>
      <c r="C645" s="225" t="s">
        <v>121</v>
      </c>
      <c r="D645" s="225" t="s">
        <v>122</v>
      </c>
      <c r="E645" s="231" t="s">
        <v>126</v>
      </c>
      <c r="F645" s="225" t="s">
        <v>123</v>
      </c>
      <c r="G645" s="225" t="s">
        <v>124</v>
      </c>
      <c r="H645" s="240" t="s">
        <v>125</v>
      </c>
      <c r="I645" s="222" t="s">
        <v>599</v>
      </c>
      <c r="J645" s="222" t="s">
        <v>657</v>
      </c>
      <c r="K645" s="222" t="s">
        <v>659</v>
      </c>
      <c r="L645" s="168"/>
      <c r="M645" s="222" t="s">
        <v>600</v>
      </c>
      <c r="N645" s="222" t="s">
        <v>657</v>
      </c>
      <c r="O645" s="222" t="s">
        <v>660</v>
      </c>
      <c r="P645" s="169"/>
      <c r="Q645" s="223"/>
      <c r="R645" s="223"/>
      <c r="S645" s="223"/>
    </row>
    <row r="646" spans="2:19" x14ac:dyDescent="0.2">
      <c r="B646" s="238"/>
      <c r="C646" s="225"/>
      <c r="D646" s="225"/>
      <c r="E646" s="232"/>
      <c r="F646" s="225"/>
      <c r="G646" s="225"/>
      <c r="H646" s="240"/>
      <c r="I646" s="223"/>
      <c r="J646" s="223"/>
      <c r="K646" s="223"/>
      <c r="L646" s="169"/>
      <c r="M646" s="223"/>
      <c r="N646" s="223"/>
      <c r="O646" s="223"/>
      <c r="P646" s="169"/>
      <c r="Q646" s="223"/>
      <c r="R646" s="223"/>
      <c r="S646" s="223"/>
    </row>
    <row r="647" spans="2:19" x14ac:dyDescent="0.2">
      <c r="B647" s="238"/>
      <c r="C647" s="225"/>
      <c r="D647" s="225"/>
      <c r="E647" s="232"/>
      <c r="F647" s="225"/>
      <c r="G647" s="225"/>
      <c r="H647" s="240"/>
      <c r="I647" s="223"/>
      <c r="J647" s="223"/>
      <c r="K647" s="223"/>
      <c r="L647" s="169"/>
      <c r="M647" s="223"/>
      <c r="N647" s="223"/>
      <c r="O647" s="223"/>
      <c r="P647" s="169"/>
      <c r="Q647" s="223"/>
      <c r="R647" s="223"/>
      <c r="S647" s="223"/>
    </row>
    <row r="648" spans="2:19" ht="13.5" thickBot="1" x14ac:dyDescent="0.25">
      <c r="B648" s="239"/>
      <c r="C648" s="226"/>
      <c r="D648" s="226"/>
      <c r="E648" s="233"/>
      <c r="F648" s="226"/>
      <c r="G648" s="226"/>
      <c r="H648" s="241"/>
      <c r="I648" s="224"/>
      <c r="J648" s="224"/>
      <c r="K648" s="224"/>
      <c r="L648" s="170"/>
      <c r="M648" s="224"/>
      <c r="N648" s="224"/>
      <c r="O648" s="224"/>
      <c r="P648" s="170"/>
      <c r="Q648" s="224"/>
      <c r="R648" s="224"/>
      <c r="S648" s="224"/>
    </row>
    <row r="649" spans="2:19" ht="16.5" thickTop="1" x14ac:dyDescent="0.2">
      <c r="B649" s="74">
        <v>1</v>
      </c>
      <c r="C649" s="242" t="s">
        <v>307</v>
      </c>
      <c r="D649" s="243"/>
      <c r="E649" s="243"/>
      <c r="F649" s="243"/>
      <c r="G649" s="243"/>
      <c r="H649" s="244"/>
      <c r="I649" s="44">
        <f>I1418+I1177+I1077+I850+I650</f>
        <v>13718453</v>
      </c>
      <c r="J649" s="44">
        <f>J1418+J1177+J1077+J850+J650</f>
        <v>57362</v>
      </c>
      <c r="K649" s="44">
        <f t="shared" ref="K649:K714" si="94">I649+J649</f>
        <v>13775815</v>
      </c>
      <c r="L649" s="171"/>
      <c r="M649" s="44">
        <f>M1418+M1177+M1077+M850+M650</f>
        <v>850756</v>
      </c>
      <c r="N649" s="44">
        <f>N1418+N1177+N1077+N850+N650</f>
        <v>-10050</v>
      </c>
      <c r="O649" s="44">
        <f t="shared" ref="O649:O714" si="95">M649+N649</f>
        <v>840706</v>
      </c>
      <c r="P649" s="171"/>
      <c r="Q649" s="44">
        <f t="shared" ref="Q649:Q672" si="96">M649+I649</f>
        <v>14569209</v>
      </c>
      <c r="R649" s="44">
        <f t="shared" ref="R649:S665" si="97">N649+J649</f>
        <v>47312</v>
      </c>
      <c r="S649" s="44">
        <f t="shared" si="97"/>
        <v>14616521</v>
      </c>
    </row>
    <row r="650" spans="2:19" ht="15" x14ac:dyDescent="0.2">
      <c r="B650" s="75">
        <f t="shared" ref="B650:B715" si="98">B649+1</f>
        <v>2</v>
      </c>
      <c r="C650" s="164">
        <v>1</v>
      </c>
      <c r="D650" s="230" t="s">
        <v>201</v>
      </c>
      <c r="E650" s="228"/>
      <c r="F650" s="228"/>
      <c r="G650" s="228"/>
      <c r="H650" s="229"/>
      <c r="I650" s="45">
        <f>I651+I662+I676</f>
        <v>3419272</v>
      </c>
      <c r="J650" s="45">
        <f>J651+J662+J676</f>
        <v>9085</v>
      </c>
      <c r="K650" s="45">
        <f t="shared" si="94"/>
        <v>3428357</v>
      </c>
      <c r="L650" s="172"/>
      <c r="M650" s="45">
        <f>M651+M662+M676</f>
        <v>597756</v>
      </c>
      <c r="N650" s="45">
        <f>N651+N662+N676</f>
        <v>-10050</v>
      </c>
      <c r="O650" s="45">
        <f t="shared" si="95"/>
        <v>587706</v>
      </c>
      <c r="P650" s="172"/>
      <c r="Q650" s="45">
        <f t="shared" si="96"/>
        <v>4017028</v>
      </c>
      <c r="R650" s="45">
        <f t="shared" si="97"/>
        <v>-965</v>
      </c>
      <c r="S650" s="45">
        <f t="shared" si="97"/>
        <v>4016063</v>
      </c>
    </row>
    <row r="651" spans="2:19" x14ac:dyDescent="0.2">
      <c r="B651" s="75">
        <f t="shared" si="98"/>
        <v>3</v>
      </c>
      <c r="C651" s="15"/>
      <c r="D651" s="15"/>
      <c r="E651" s="15"/>
      <c r="F651" s="52" t="s">
        <v>200</v>
      </c>
      <c r="G651" s="15">
        <v>640</v>
      </c>
      <c r="H651" s="15" t="s">
        <v>136</v>
      </c>
      <c r="I651" s="49">
        <f>SUM(I652:I661)</f>
        <v>380099</v>
      </c>
      <c r="J651" s="49">
        <f>SUM(J652:J661)</f>
        <v>0</v>
      </c>
      <c r="K651" s="49">
        <f t="shared" si="94"/>
        <v>380099</v>
      </c>
      <c r="L651" s="123"/>
      <c r="M651" s="49"/>
      <c r="N651" s="49"/>
      <c r="O651" s="49">
        <f t="shared" si="95"/>
        <v>0</v>
      </c>
      <c r="P651" s="123"/>
      <c r="Q651" s="49">
        <f t="shared" si="96"/>
        <v>380099</v>
      </c>
      <c r="R651" s="49">
        <f t="shared" si="97"/>
        <v>0</v>
      </c>
      <c r="S651" s="49">
        <f t="shared" si="97"/>
        <v>380099</v>
      </c>
    </row>
    <row r="652" spans="2:19" x14ac:dyDescent="0.2">
      <c r="B652" s="75">
        <f t="shared" si="98"/>
        <v>4</v>
      </c>
      <c r="C652" s="15"/>
      <c r="D652" s="15"/>
      <c r="E652" s="15"/>
      <c r="F652" s="52"/>
      <c r="G652" s="15"/>
      <c r="H652" s="60" t="s">
        <v>250</v>
      </c>
      <c r="I652" s="58">
        <v>95582</v>
      </c>
      <c r="J652" s="58"/>
      <c r="K652" s="58">
        <f t="shared" si="94"/>
        <v>95582</v>
      </c>
      <c r="L652" s="76"/>
      <c r="M652" s="58"/>
      <c r="N652" s="58"/>
      <c r="O652" s="58">
        <f t="shared" si="95"/>
        <v>0</v>
      </c>
      <c r="P652" s="76"/>
      <c r="Q652" s="58">
        <f t="shared" si="96"/>
        <v>95582</v>
      </c>
      <c r="R652" s="58">
        <f t="shared" si="97"/>
        <v>0</v>
      </c>
      <c r="S652" s="58">
        <f t="shared" si="97"/>
        <v>95582</v>
      </c>
    </row>
    <row r="653" spans="2:19" x14ac:dyDescent="0.2">
      <c r="B653" s="75">
        <f t="shared" si="98"/>
        <v>5</v>
      </c>
      <c r="C653" s="15"/>
      <c r="D653" s="15"/>
      <c r="E653" s="15"/>
      <c r="F653" s="52"/>
      <c r="G653" s="15"/>
      <c r="H653" s="60" t="s">
        <v>382</v>
      </c>
      <c r="I653" s="58">
        <v>73941</v>
      </c>
      <c r="J653" s="58"/>
      <c r="K653" s="58">
        <f t="shared" si="94"/>
        <v>73941</v>
      </c>
      <c r="L653" s="76"/>
      <c r="M653" s="58"/>
      <c r="N653" s="58"/>
      <c r="O653" s="58">
        <f t="shared" si="95"/>
        <v>0</v>
      </c>
      <c r="P653" s="76"/>
      <c r="Q653" s="58">
        <f t="shared" si="96"/>
        <v>73941</v>
      </c>
      <c r="R653" s="58">
        <f t="shared" si="97"/>
        <v>0</v>
      </c>
      <c r="S653" s="58">
        <f t="shared" si="97"/>
        <v>73941</v>
      </c>
    </row>
    <row r="654" spans="2:19" ht="12.75" customHeight="1" x14ac:dyDescent="0.2">
      <c r="B654" s="75">
        <f t="shared" si="98"/>
        <v>6</v>
      </c>
      <c r="C654" s="15"/>
      <c r="D654" s="15"/>
      <c r="E654" s="15"/>
      <c r="F654" s="52"/>
      <c r="G654" s="15"/>
      <c r="H654" s="60" t="s">
        <v>383</v>
      </c>
      <c r="I654" s="58">
        <v>45086</v>
      </c>
      <c r="J654" s="58"/>
      <c r="K654" s="58">
        <f t="shared" si="94"/>
        <v>45086</v>
      </c>
      <c r="L654" s="76"/>
      <c r="M654" s="58"/>
      <c r="N654" s="58"/>
      <c r="O654" s="58">
        <f t="shared" si="95"/>
        <v>0</v>
      </c>
      <c r="P654" s="76"/>
      <c r="Q654" s="58">
        <f t="shared" si="96"/>
        <v>45086</v>
      </c>
      <c r="R654" s="58">
        <f t="shared" si="97"/>
        <v>0</v>
      </c>
      <c r="S654" s="58">
        <f t="shared" si="97"/>
        <v>45086</v>
      </c>
    </row>
    <row r="655" spans="2:19" ht="19.5" customHeight="1" x14ac:dyDescent="0.2">
      <c r="B655" s="75">
        <f t="shared" si="98"/>
        <v>7</v>
      </c>
      <c r="C655" s="15"/>
      <c r="D655" s="15"/>
      <c r="E655" s="15"/>
      <c r="F655" s="52"/>
      <c r="G655" s="15"/>
      <c r="H655" s="60" t="s">
        <v>293</v>
      </c>
      <c r="I655" s="58">
        <v>21642</v>
      </c>
      <c r="J655" s="58"/>
      <c r="K655" s="58">
        <f t="shared" si="94"/>
        <v>21642</v>
      </c>
      <c r="L655" s="76"/>
      <c r="M655" s="58"/>
      <c r="N655" s="58"/>
      <c r="O655" s="58">
        <f t="shared" si="95"/>
        <v>0</v>
      </c>
      <c r="P655" s="76"/>
      <c r="Q655" s="58">
        <f t="shared" si="96"/>
        <v>21642</v>
      </c>
      <c r="R655" s="58">
        <f t="shared" si="97"/>
        <v>0</v>
      </c>
      <c r="S655" s="58">
        <f t="shared" si="97"/>
        <v>21642</v>
      </c>
    </row>
    <row r="656" spans="2:19" ht="14.25" customHeight="1" x14ac:dyDescent="0.2">
      <c r="B656" s="75">
        <f t="shared" si="98"/>
        <v>8</v>
      </c>
      <c r="C656" s="15"/>
      <c r="D656" s="15"/>
      <c r="E656" s="15"/>
      <c r="F656" s="52"/>
      <c r="G656" s="15"/>
      <c r="H656" s="60" t="s">
        <v>294</v>
      </c>
      <c r="I656" s="58">
        <v>36069</v>
      </c>
      <c r="J656" s="58"/>
      <c r="K656" s="58">
        <f t="shared" si="94"/>
        <v>36069</v>
      </c>
      <c r="L656" s="76"/>
      <c r="M656" s="58"/>
      <c r="N656" s="58"/>
      <c r="O656" s="58">
        <f t="shared" si="95"/>
        <v>0</v>
      </c>
      <c r="P656" s="76"/>
      <c r="Q656" s="58">
        <f t="shared" si="96"/>
        <v>36069</v>
      </c>
      <c r="R656" s="58">
        <f t="shared" si="97"/>
        <v>0</v>
      </c>
      <c r="S656" s="58">
        <f t="shared" si="97"/>
        <v>36069</v>
      </c>
    </row>
    <row r="657" spans="2:19" ht="17.25" customHeight="1" x14ac:dyDescent="0.2">
      <c r="B657" s="75">
        <f t="shared" si="98"/>
        <v>9</v>
      </c>
      <c r="C657" s="15"/>
      <c r="D657" s="15"/>
      <c r="E657" s="15"/>
      <c r="F657" s="52"/>
      <c r="G657" s="15"/>
      <c r="H657" s="60" t="s">
        <v>295</v>
      </c>
      <c r="I657" s="58">
        <v>75744</v>
      </c>
      <c r="J657" s="58"/>
      <c r="K657" s="58">
        <f t="shared" si="94"/>
        <v>75744</v>
      </c>
      <c r="L657" s="76"/>
      <c r="M657" s="58"/>
      <c r="N657" s="58"/>
      <c r="O657" s="58">
        <f t="shared" si="95"/>
        <v>0</v>
      </c>
      <c r="P657" s="76"/>
      <c r="Q657" s="58">
        <f t="shared" si="96"/>
        <v>75744</v>
      </c>
      <c r="R657" s="58">
        <f t="shared" si="97"/>
        <v>0</v>
      </c>
      <c r="S657" s="58">
        <f t="shared" si="97"/>
        <v>75744</v>
      </c>
    </row>
    <row r="658" spans="2:19" ht="16.5" customHeight="1" x14ac:dyDescent="0.2">
      <c r="B658" s="75">
        <f t="shared" si="98"/>
        <v>10</v>
      </c>
      <c r="C658" s="15"/>
      <c r="D658" s="15"/>
      <c r="E658" s="15"/>
      <c r="F658" s="52"/>
      <c r="G658" s="15"/>
      <c r="H658" s="60" t="s">
        <v>652</v>
      </c>
      <c r="I658" s="58">
        <v>7000</v>
      </c>
      <c r="J658" s="58"/>
      <c r="K658" s="58">
        <f t="shared" si="94"/>
        <v>7000</v>
      </c>
      <c r="L658" s="76"/>
      <c r="M658" s="58"/>
      <c r="N658" s="58"/>
      <c r="O658" s="58">
        <f t="shared" si="95"/>
        <v>0</v>
      </c>
      <c r="P658" s="76"/>
      <c r="Q658" s="58">
        <f t="shared" si="96"/>
        <v>7000</v>
      </c>
      <c r="R658" s="58">
        <f t="shared" si="97"/>
        <v>0</v>
      </c>
      <c r="S658" s="58">
        <f t="shared" si="97"/>
        <v>7000</v>
      </c>
    </row>
    <row r="659" spans="2:19" x14ac:dyDescent="0.2">
      <c r="B659" s="75">
        <f t="shared" si="98"/>
        <v>11</v>
      </c>
      <c r="C659" s="15"/>
      <c r="D659" s="15"/>
      <c r="E659" s="15"/>
      <c r="F659" s="52"/>
      <c r="G659" s="15"/>
      <c r="H659" s="60" t="s">
        <v>680</v>
      </c>
      <c r="I659" s="58">
        <v>18035</v>
      </c>
      <c r="J659" s="58">
        <v>-18035</v>
      </c>
      <c r="K659" s="58">
        <f t="shared" si="94"/>
        <v>0</v>
      </c>
      <c r="L659" s="76"/>
      <c r="M659" s="58"/>
      <c r="N659" s="58"/>
      <c r="O659" s="58">
        <f t="shared" si="95"/>
        <v>0</v>
      </c>
      <c r="P659" s="76"/>
      <c r="Q659" s="58">
        <f t="shared" si="96"/>
        <v>18035</v>
      </c>
      <c r="R659" s="58">
        <f t="shared" si="97"/>
        <v>-18035</v>
      </c>
      <c r="S659" s="58">
        <f t="shared" si="97"/>
        <v>0</v>
      </c>
    </row>
    <row r="660" spans="2:19" x14ac:dyDescent="0.2">
      <c r="B660" s="75">
        <f t="shared" si="98"/>
        <v>12</v>
      </c>
      <c r="C660" s="15"/>
      <c r="D660" s="15"/>
      <c r="E660" s="15"/>
      <c r="F660" s="52"/>
      <c r="G660" s="15"/>
      <c r="H660" s="60" t="s">
        <v>671</v>
      </c>
      <c r="I660" s="58"/>
      <c r="J660" s="58">
        <v>18035</v>
      </c>
      <c r="K660" s="58">
        <f t="shared" si="94"/>
        <v>18035</v>
      </c>
      <c r="L660" s="76"/>
      <c r="M660" s="58"/>
      <c r="N660" s="58"/>
      <c r="O660" s="58"/>
      <c r="P660" s="76"/>
      <c r="Q660" s="58">
        <f t="shared" ref="Q660" si="99">M660+I660</f>
        <v>0</v>
      </c>
      <c r="R660" s="58">
        <f t="shared" ref="R660" si="100">N660+J660</f>
        <v>18035</v>
      </c>
      <c r="S660" s="58">
        <f t="shared" ref="S660" si="101">O660+K660</f>
        <v>18035</v>
      </c>
    </row>
    <row r="661" spans="2:19" x14ac:dyDescent="0.2">
      <c r="B661" s="75">
        <f t="shared" si="98"/>
        <v>13</v>
      </c>
      <c r="C661" s="15"/>
      <c r="D661" s="15"/>
      <c r="E661" s="15"/>
      <c r="F661" s="52"/>
      <c r="G661" s="15"/>
      <c r="H661" s="60" t="s">
        <v>670</v>
      </c>
      <c r="I661" s="58">
        <v>7000</v>
      </c>
      <c r="J661" s="58"/>
      <c r="K661" s="58">
        <f t="shared" si="94"/>
        <v>7000</v>
      </c>
      <c r="L661" s="76"/>
      <c r="M661" s="58"/>
      <c r="N661" s="58"/>
      <c r="O661" s="58">
        <f t="shared" si="95"/>
        <v>0</v>
      </c>
      <c r="P661" s="76"/>
      <c r="Q661" s="58">
        <f t="shared" si="96"/>
        <v>7000</v>
      </c>
      <c r="R661" s="58">
        <f t="shared" si="97"/>
        <v>0</v>
      </c>
      <c r="S661" s="58">
        <f t="shared" si="97"/>
        <v>7000</v>
      </c>
    </row>
    <row r="662" spans="2:19" ht="15" x14ac:dyDescent="0.25">
      <c r="B662" s="75">
        <f t="shared" si="98"/>
        <v>14</v>
      </c>
      <c r="C662" s="18"/>
      <c r="D662" s="18"/>
      <c r="E662" s="18">
        <v>3</v>
      </c>
      <c r="F662" s="50"/>
      <c r="G662" s="18"/>
      <c r="H662" s="18" t="s">
        <v>271</v>
      </c>
      <c r="I662" s="47">
        <f>I663+I664+I665+I671</f>
        <v>415563</v>
      </c>
      <c r="J662" s="47">
        <f>J663+J664+J665+J671</f>
        <v>2000</v>
      </c>
      <c r="K662" s="47">
        <f t="shared" si="94"/>
        <v>417563</v>
      </c>
      <c r="L662" s="174"/>
      <c r="M662" s="47">
        <f>M663+M664+M665+M671+M674+M672</f>
        <v>64660</v>
      </c>
      <c r="N662" s="47">
        <f>N663+N664+N665+N671+N674+N672</f>
        <v>0</v>
      </c>
      <c r="O662" s="47">
        <f t="shared" si="95"/>
        <v>64660</v>
      </c>
      <c r="P662" s="174"/>
      <c r="Q662" s="47">
        <f t="shared" si="96"/>
        <v>480223</v>
      </c>
      <c r="R662" s="47">
        <f t="shared" si="97"/>
        <v>2000</v>
      </c>
      <c r="S662" s="47">
        <f t="shared" si="97"/>
        <v>482223</v>
      </c>
    </row>
    <row r="663" spans="2:19" x14ac:dyDescent="0.2">
      <c r="B663" s="75">
        <f t="shared" si="98"/>
        <v>15</v>
      </c>
      <c r="C663" s="15"/>
      <c r="D663" s="15"/>
      <c r="E663" s="15"/>
      <c r="F663" s="52" t="s">
        <v>200</v>
      </c>
      <c r="G663" s="15">
        <v>610</v>
      </c>
      <c r="H663" s="15" t="s">
        <v>137</v>
      </c>
      <c r="I663" s="49">
        <v>233795</v>
      </c>
      <c r="J663" s="49">
        <v>1300</v>
      </c>
      <c r="K663" s="49">
        <f t="shared" si="94"/>
        <v>235095</v>
      </c>
      <c r="L663" s="123"/>
      <c r="M663" s="49"/>
      <c r="N663" s="49"/>
      <c r="O663" s="49">
        <f t="shared" si="95"/>
        <v>0</v>
      </c>
      <c r="P663" s="123"/>
      <c r="Q663" s="49">
        <f t="shared" si="96"/>
        <v>233795</v>
      </c>
      <c r="R663" s="49">
        <f t="shared" si="97"/>
        <v>1300</v>
      </c>
      <c r="S663" s="49">
        <f t="shared" si="97"/>
        <v>235095</v>
      </c>
    </row>
    <row r="664" spans="2:19" x14ac:dyDescent="0.2">
      <c r="B664" s="75">
        <f t="shared" si="98"/>
        <v>16</v>
      </c>
      <c r="C664" s="15"/>
      <c r="D664" s="15"/>
      <c r="E664" s="15"/>
      <c r="F664" s="52" t="s">
        <v>200</v>
      </c>
      <c r="G664" s="15">
        <v>620</v>
      </c>
      <c r="H664" s="15" t="s">
        <v>132</v>
      </c>
      <c r="I664" s="49">
        <v>88720</v>
      </c>
      <c r="J664" s="49">
        <v>700</v>
      </c>
      <c r="K664" s="49">
        <f t="shared" si="94"/>
        <v>89420</v>
      </c>
      <c r="L664" s="123"/>
      <c r="M664" s="49"/>
      <c r="N664" s="49"/>
      <c r="O664" s="49">
        <f t="shared" si="95"/>
        <v>0</v>
      </c>
      <c r="P664" s="123"/>
      <c r="Q664" s="49">
        <f t="shared" si="96"/>
        <v>88720</v>
      </c>
      <c r="R664" s="49">
        <f t="shared" si="97"/>
        <v>700</v>
      </c>
      <c r="S664" s="49">
        <f t="shared" si="97"/>
        <v>89420</v>
      </c>
    </row>
    <row r="665" spans="2:19" x14ac:dyDescent="0.2">
      <c r="B665" s="75">
        <f t="shared" si="98"/>
        <v>17</v>
      </c>
      <c r="C665" s="15"/>
      <c r="D665" s="15"/>
      <c r="E665" s="15"/>
      <c r="F665" s="52" t="s">
        <v>200</v>
      </c>
      <c r="G665" s="15">
        <v>630</v>
      </c>
      <c r="H665" s="15" t="s">
        <v>129</v>
      </c>
      <c r="I665" s="49">
        <f>I670+I669+I668+I667+I666</f>
        <v>87768</v>
      </c>
      <c r="J665" s="49">
        <f>J670+J669+J668+J667+J666</f>
        <v>0</v>
      </c>
      <c r="K665" s="49">
        <f t="shared" si="94"/>
        <v>87768</v>
      </c>
      <c r="L665" s="123"/>
      <c r="M665" s="49">
        <f>M670+M669+M668+M667+M666</f>
        <v>0</v>
      </c>
      <c r="N665" s="49">
        <f>N670+N669+N668+N667+N666</f>
        <v>0</v>
      </c>
      <c r="O665" s="49">
        <f t="shared" si="95"/>
        <v>0</v>
      </c>
      <c r="P665" s="123"/>
      <c r="Q665" s="49">
        <f t="shared" si="96"/>
        <v>87768</v>
      </c>
      <c r="R665" s="49">
        <f t="shared" si="97"/>
        <v>0</v>
      </c>
      <c r="S665" s="49">
        <f t="shared" si="97"/>
        <v>87768</v>
      </c>
    </row>
    <row r="666" spans="2:19" x14ac:dyDescent="0.2">
      <c r="B666" s="75">
        <f t="shared" si="98"/>
        <v>18</v>
      </c>
      <c r="C666" s="4"/>
      <c r="D666" s="4"/>
      <c r="E666" s="4"/>
      <c r="F666" s="53" t="s">
        <v>200</v>
      </c>
      <c r="G666" s="4">
        <v>632</v>
      </c>
      <c r="H666" s="4" t="s">
        <v>140</v>
      </c>
      <c r="I666" s="26">
        <v>49700</v>
      </c>
      <c r="J666" s="26"/>
      <c r="K666" s="26">
        <f t="shared" si="94"/>
        <v>49700</v>
      </c>
      <c r="L666" s="76"/>
      <c r="M666" s="26"/>
      <c r="N666" s="26"/>
      <c r="O666" s="26">
        <f t="shared" si="95"/>
        <v>0</v>
      </c>
      <c r="P666" s="76"/>
      <c r="Q666" s="26">
        <f t="shared" si="96"/>
        <v>49700</v>
      </c>
      <c r="R666" s="26">
        <f t="shared" ref="R666:S672" si="102">N666+J666</f>
        <v>0</v>
      </c>
      <c r="S666" s="26">
        <f t="shared" si="102"/>
        <v>49700</v>
      </c>
    </row>
    <row r="667" spans="2:19" x14ac:dyDescent="0.2">
      <c r="B667" s="75">
        <f t="shared" si="98"/>
        <v>19</v>
      </c>
      <c r="C667" s="4"/>
      <c r="D667" s="4"/>
      <c r="E667" s="4"/>
      <c r="F667" s="53" t="s">
        <v>200</v>
      </c>
      <c r="G667" s="4">
        <v>633</v>
      </c>
      <c r="H667" s="4" t="s">
        <v>133</v>
      </c>
      <c r="I667" s="26">
        <f>18864+3424</f>
        <v>22288</v>
      </c>
      <c r="J667" s="26"/>
      <c r="K667" s="26">
        <f t="shared" si="94"/>
        <v>22288</v>
      </c>
      <c r="L667" s="76"/>
      <c r="M667" s="26"/>
      <c r="N667" s="26"/>
      <c r="O667" s="26">
        <f t="shared" si="95"/>
        <v>0</v>
      </c>
      <c r="P667" s="76"/>
      <c r="Q667" s="26">
        <f t="shared" si="96"/>
        <v>22288</v>
      </c>
      <c r="R667" s="26">
        <f t="shared" si="102"/>
        <v>0</v>
      </c>
      <c r="S667" s="26">
        <f t="shared" si="102"/>
        <v>22288</v>
      </c>
    </row>
    <row r="668" spans="2:19" x14ac:dyDescent="0.2">
      <c r="B668" s="75">
        <f t="shared" si="98"/>
        <v>20</v>
      </c>
      <c r="C668" s="4"/>
      <c r="D668" s="4"/>
      <c r="E668" s="4"/>
      <c r="F668" s="53" t="s">
        <v>200</v>
      </c>
      <c r="G668" s="4">
        <v>635</v>
      </c>
      <c r="H668" s="4" t="s">
        <v>139</v>
      </c>
      <c r="I668" s="26">
        <v>1000</v>
      </c>
      <c r="J668" s="26"/>
      <c r="K668" s="26">
        <f t="shared" si="94"/>
        <v>1000</v>
      </c>
      <c r="L668" s="76"/>
      <c r="M668" s="26"/>
      <c r="N668" s="26"/>
      <c r="O668" s="26">
        <f t="shared" si="95"/>
        <v>0</v>
      </c>
      <c r="P668" s="76"/>
      <c r="Q668" s="26">
        <f t="shared" si="96"/>
        <v>1000</v>
      </c>
      <c r="R668" s="26">
        <f t="shared" si="102"/>
        <v>0</v>
      </c>
      <c r="S668" s="26">
        <f t="shared" si="102"/>
        <v>1000</v>
      </c>
    </row>
    <row r="669" spans="2:19" x14ac:dyDescent="0.2">
      <c r="B669" s="75">
        <f t="shared" si="98"/>
        <v>21</v>
      </c>
      <c r="C669" s="4"/>
      <c r="D669" s="4"/>
      <c r="E669" s="4"/>
      <c r="F669" s="53" t="s">
        <v>200</v>
      </c>
      <c r="G669" s="4">
        <v>636</v>
      </c>
      <c r="H669" s="4" t="s">
        <v>134</v>
      </c>
      <c r="I669" s="26">
        <v>7200</v>
      </c>
      <c r="J669" s="26"/>
      <c r="K669" s="26">
        <f t="shared" si="94"/>
        <v>7200</v>
      </c>
      <c r="L669" s="76"/>
      <c r="M669" s="26"/>
      <c r="N669" s="26"/>
      <c r="O669" s="26">
        <f t="shared" si="95"/>
        <v>0</v>
      </c>
      <c r="P669" s="76"/>
      <c r="Q669" s="26">
        <f t="shared" si="96"/>
        <v>7200</v>
      </c>
      <c r="R669" s="26">
        <f t="shared" si="102"/>
        <v>0</v>
      </c>
      <c r="S669" s="26">
        <f t="shared" si="102"/>
        <v>7200</v>
      </c>
    </row>
    <row r="670" spans="2:19" x14ac:dyDescent="0.2">
      <c r="B670" s="75">
        <f t="shared" si="98"/>
        <v>22</v>
      </c>
      <c r="C670" s="4"/>
      <c r="D670" s="4"/>
      <c r="E670" s="4"/>
      <c r="F670" s="53" t="s">
        <v>200</v>
      </c>
      <c r="G670" s="4">
        <v>637</v>
      </c>
      <c r="H670" s="4" t="s">
        <v>130</v>
      </c>
      <c r="I670" s="26">
        <v>7580</v>
      </c>
      <c r="J670" s="26"/>
      <c r="K670" s="26">
        <f t="shared" si="94"/>
        <v>7580</v>
      </c>
      <c r="L670" s="76"/>
      <c r="M670" s="26"/>
      <c r="N670" s="26"/>
      <c r="O670" s="26">
        <f t="shared" si="95"/>
        <v>0</v>
      </c>
      <c r="P670" s="76"/>
      <c r="Q670" s="26">
        <f t="shared" si="96"/>
        <v>7580</v>
      </c>
      <c r="R670" s="26">
        <f t="shared" si="102"/>
        <v>0</v>
      </c>
      <c r="S670" s="26">
        <f t="shared" si="102"/>
        <v>7580</v>
      </c>
    </row>
    <row r="671" spans="2:19" x14ac:dyDescent="0.2">
      <c r="B671" s="75">
        <f t="shared" si="98"/>
        <v>23</v>
      </c>
      <c r="C671" s="15"/>
      <c r="D671" s="15"/>
      <c r="E671" s="15"/>
      <c r="F671" s="52" t="s">
        <v>200</v>
      </c>
      <c r="G671" s="15">
        <v>640</v>
      </c>
      <c r="H671" s="15" t="s">
        <v>136</v>
      </c>
      <c r="I671" s="49">
        <v>5280</v>
      </c>
      <c r="J671" s="49"/>
      <c r="K671" s="49">
        <f t="shared" si="94"/>
        <v>5280</v>
      </c>
      <c r="L671" s="123"/>
      <c r="M671" s="49"/>
      <c r="N671" s="49"/>
      <c r="O671" s="49">
        <f t="shared" si="95"/>
        <v>0</v>
      </c>
      <c r="P671" s="123"/>
      <c r="Q671" s="49">
        <f t="shared" si="96"/>
        <v>5280</v>
      </c>
      <c r="R671" s="49">
        <f t="shared" si="102"/>
        <v>0</v>
      </c>
      <c r="S671" s="49">
        <f t="shared" si="102"/>
        <v>5280</v>
      </c>
    </row>
    <row r="672" spans="2:19" x14ac:dyDescent="0.2">
      <c r="B672" s="75">
        <f t="shared" si="98"/>
        <v>24</v>
      </c>
      <c r="C672" s="15"/>
      <c r="D672" s="15"/>
      <c r="E672" s="15"/>
      <c r="F672" s="86" t="s">
        <v>200</v>
      </c>
      <c r="G672" s="87">
        <v>716</v>
      </c>
      <c r="H672" s="87" t="s">
        <v>0</v>
      </c>
      <c r="I672" s="88"/>
      <c r="J672" s="88"/>
      <c r="K672" s="88">
        <f t="shared" si="94"/>
        <v>0</v>
      </c>
      <c r="L672" s="76"/>
      <c r="M672" s="88">
        <f>M673</f>
        <v>9660</v>
      </c>
      <c r="N672" s="88">
        <f>N673</f>
        <v>0</v>
      </c>
      <c r="O672" s="88">
        <f t="shared" si="95"/>
        <v>9660</v>
      </c>
      <c r="P672" s="76"/>
      <c r="Q672" s="88">
        <f t="shared" si="96"/>
        <v>9660</v>
      </c>
      <c r="R672" s="88">
        <f t="shared" si="102"/>
        <v>0</v>
      </c>
      <c r="S672" s="88">
        <f t="shared" si="102"/>
        <v>9660</v>
      </c>
    </row>
    <row r="673" spans="2:19" x14ac:dyDescent="0.2">
      <c r="B673" s="75">
        <f t="shared" si="98"/>
        <v>25</v>
      </c>
      <c r="C673" s="15"/>
      <c r="D673" s="15"/>
      <c r="E673" s="15"/>
      <c r="F673" s="52"/>
      <c r="G673" s="15"/>
      <c r="H673" s="60" t="s">
        <v>527</v>
      </c>
      <c r="I673" s="58"/>
      <c r="J673" s="58"/>
      <c r="K673" s="58">
        <f t="shared" si="94"/>
        <v>0</v>
      </c>
      <c r="L673" s="76"/>
      <c r="M673" s="58">
        <v>9660</v>
      </c>
      <c r="N673" s="58"/>
      <c r="O673" s="58">
        <f t="shared" si="95"/>
        <v>9660</v>
      </c>
      <c r="P673" s="76"/>
      <c r="Q673" s="58">
        <f>I673+M673</f>
        <v>9660</v>
      </c>
      <c r="R673" s="58">
        <f t="shared" ref="R673:S673" si="103">J673+N673</f>
        <v>0</v>
      </c>
      <c r="S673" s="58">
        <f t="shared" si="103"/>
        <v>9660</v>
      </c>
    </row>
    <row r="674" spans="2:19" x14ac:dyDescent="0.2">
      <c r="B674" s="75">
        <f t="shared" si="98"/>
        <v>26</v>
      </c>
      <c r="C674" s="4"/>
      <c r="D674" s="4"/>
      <c r="E674" s="4"/>
      <c r="F674" s="86" t="s">
        <v>200</v>
      </c>
      <c r="G674" s="87">
        <v>717</v>
      </c>
      <c r="H674" s="87" t="s">
        <v>195</v>
      </c>
      <c r="I674" s="88">
        <v>0</v>
      </c>
      <c r="J674" s="88">
        <v>0</v>
      </c>
      <c r="K674" s="88">
        <f t="shared" si="94"/>
        <v>0</v>
      </c>
      <c r="L674" s="76"/>
      <c r="M674" s="88">
        <f>M675</f>
        <v>55000</v>
      </c>
      <c r="N674" s="88">
        <f>N675</f>
        <v>0</v>
      </c>
      <c r="O674" s="88">
        <f t="shared" si="95"/>
        <v>55000</v>
      </c>
      <c r="P674" s="76"/>
      <c r="Q674" s="88">
        <f t="shared" ref="Q674:Q703" si="104">M674+I674</f>
        <v>55000</v>
      </c>
      <c r="R674" s="88">
        <f t="shared" ref="R674:S690" si="105">N674+J674</f>
        <v>0</v>
      </c>
      <c r="S674" s="88">
        <f t="shared" si="105"/>
        <v>55000</v>
      </c>
    </row>
    <row r="675" spans="2:19" x14ac:dyDescent="0.2">
      <c r="B675" s="75">
        <f t="shared" si="98"/>
        <v>27</v>
      </c>
      <c r="C675" s="79"/>
      <c r="D675" s="79"/>
      <c r="E675" s="79"/>
      <c r="F675" s="84"/>
      <c r="G675" s="85"/>
      <c r="H675" s="90" t="s">
        <v>510</v>
      </c>
      <c r="I675" s="62"/>
      <c r="J675" s="62"/>
      <c r="K675" s="62">
        <f t="shared" si="94"/>
        <v>0</v>
      </c>
      <c r="L675" s="161"/>
      <c r="M675" s="62">
        <v>55000</v>
      </c>
      <c r="N675" s="62"/>
      <c r="O675" s="62">
        <f t="shared" si="95"/>
        <v>55000</v>
      </c>
      <c r="P675" s="161"/>
      <c r="Q675" s="62">
        <f t="shared" si="104"/>
        <v>55000</v>
      </c>
      <c r="R675" s="62">
        <f t="shared" si="105"/>
        <v>0</v>
      </c>
      <c r="S675" s="62">
        <f t="shared" si="105"/>
        <v>55000</v>
      </c>
    </row>
    <row r="676" spans="2:19" ht="15" x14ac:dyDescent="0.25">
      <c r="B676" s="75">
        <f t="shared" si="98"/>
        <v>28</v>
      </c>
      <c r="C676" s="18"/>
      <c r="D676" s="18"/>
      <c r="E676" s="18">
        <v>4</v>
      </c>
      <c r="F676" s="50"/>
      <c r="G676" s="18"/>
      <c r="H676" s="18" t="s">
        <v>86</v>
      </c>
      <c r="I676" s="47">
        <f>I678+I682+I690+I709+I718+I727+I736+I748+I760+I774+I788+I801+I809+I817+I825+I837</f>
        <v>2623610</v>
      </c>
      <c r="J676" s="47">
        <f>J678+J682+J690+J709+J718+J727+J736+J748+J760+J774+J788+J801+J809+J817+J825+J837</f>
        <v>7085</v>
      </c>
      <c r="K676" s="47">
        <f t="shared" si="94"/>
        <v>2630695</v>
      </c>
      <c r="L676" s="174"/>
      <c r="M676" s="47">
        <f>M678+M682+M690+M709+M718+M727+M736+M748+M760+M774+M788+M801+M809+M817+M825+M837</f>
        <v>533096</v>
      </c>
      <c r="N676" s="47">
        <f>N678+N682+N690+N709+N718+N727+N736+N748+N760+N774+N788+N801+N809+N817+N825+N837</f>
        <v>-10050</v>
      </c>
      <c r="O676" s="47">
        <f t="shared" si="95"/>
        <v>523046</v>
      </c>
      <c r="P676" s="174"/>
      <c r="Q676" s="47">
        <f t="shared" si="104"/>
        <v>3156706</v>
      </c>
      <c r="R676" s="47">
        <f t="shared" si="105"/>
        <v>-2965</v>
      </c>
      <c r="S676" s="47">
        <f t="shared" si="105"/>
        <v>3153741</v>
      </c>
    </row>
    <row r="677" spans="2:19" x14ac:dyDescent="0.2">
      <c r="B677" s="75">
        <f t="shared" si="98"/>
        <v>29</v>
      </c>
      <c r="C677" s="14"/>
      <c r="D677" s="14"/>
      <c r="E677" s="14"/>
      <c r="F677" s="51"/>
      <c r="G677" s="14"/>
      <c r="H677" s="14"/>
      <c r="I677" s="48">
        <f>I678</f>
        <v>30803</v>
      </c>
      <c r="J677" s="48">
        <f>J678</f>
        <v>485</v>
      </c>
      <c r="K677" s="48">
        <f t="shared" si="94"/>
        <v>31288</v>
      </c>
      <c r="L677" s="123"/>
      <c r="M677" s="48">
        <v>0</v>
      </c>
      <c r="N677" s="48"/>
      <c r="O677" s="48">
        <f t="shared" si="95"/>
        <v>0</v>
      </c>
      <c r="P677" s="123"/>
      <c r="Q677" s="48">
        <f t="shared" si="104"/>
        <v>30803</v>
      </c>
      <c r="R677" s="48">
        <f t="shared" si="105"/>
        <v>485</v>
      </c>
      <c r="S677" s="48">
        <f t="shared" si="105"/>
        <v>31288</v>
      </c>
    </row>
    <row r="678" spans="2:19" x14ac:dyDescent="0.2">
      <c r="B678" s="75">
        <f t="shared" si="98"/>
        <v>30</v>
      </c>
      <c r="C678" s="15"/>
      <c r="D678" s="15"/>
      <c r="E678" s="15"/>
      <c r="F678" s="52" t="s">
        <v>200</v>
      </c>
      <c r="G678" s="15">
        <v>630</v>
      </c>
      <c r="H678" s="15" t="s">
        <v>129</v>
      </c>
      <c r="I678" s="49">
        <f>I679+I680</f>
        <v>30803</v>
      </c>
      <c r="J678" s="49">
        <f>J679+J680+J681</f>
        <v>485</v>
      </c>
      <c r="K678" s="49">
        <f t="shared" si="94"/>
        <v>31288</v>
      </c>
      <c r="L678" s="123"/>
      <c r="M678" s="49">
        <f>M679</f>
        <v>0</v>
      </c>
      <c r="N678" s="49">
        <f>N679</f>
        <v>0</v>
      </c>
      <c r="O678" s="49">
        <f t="shared" si="95"/>
        <v>0</v>
      </c>
      <c r="P678" s="123"/>
      <c r="Q678" s="49">
        <f t="shared" si="104"/>
        <v>30803</v>
      </c>
      <c r="R678" s="49">
        <f t="shared" si="105"/>
        <v>485</v>
      </c>
      <c r="S678" s="49">
        <f t="shared" si="105"/>
        <v>31288</v>
      </c>
    </row>
    <row r="679" spans="2:19" x14ac:dyDescent="0.2">
      <c r="B679" s="75">
        <f t="shared" si="98"/>
        <v>31</v>
      </c>
      <c r="C679" s="4"/>
      <c r="D679" s="4"/>
      <c r="E679" s="4"/>
      <c r="F679" s="53" t="s">
        <v>200</v>
      </c>
      <c r="G679" s="4">
        <v>635</v>
      </c>
      <c r="H679" s="4" t="s">
        <v>139</v>
      </c>
      <c r="I679" s="26">
        <v>30000</v>
      </c>
      <c r="J679" s="26"/>
      <c r="K679" s="26">
        <f t="shared" si="94"/>
        <v>30000</v>
      </c>
      <c r="L679" s="76"/>
      <c r="M679" s="26"/>
      <c r="N679" s="26"/>
      <c r="O679" s="26">
        <f t="shared" si="95"/>
        <v>0</v>
      </c>
      <c r="P679" s="76"/>
      <c r="Q679" s="26">
        <f t="shared" si="104"/>
        <v>30000</v>
      </c>
      <c r="R679" s="26">
        <f t="shared" si="105"/>
        <v>0</v>
      </c>
      <c r="S679" s="26">
        <f t="shared" si="105"/>
        <v>30000</v>
      </c>
    </row>
    <row r="680" spans="2:19" x14ac:dyDescent="0.2">
      <c r="B680" s="75">
        <f t="shared" si="98"/>
        <v>32</v>
      </c>
      <c r="C680" s="4"/>
      <c r="D680" s="4"/>
      <c r="E680" s="4"/>
      <c r="F680" s="53" t="s">
        <v>200</v>
      </c>
      <c r="G680" s="4">
        <v>630</v>
      </c>
      <c r="H680" s="4" t="s">
        <v>624</v>
      </c>
      <c r="I680" s="26">
        <v>803</v>
      </c>
      <c r="J680" s="26"/>
      <c r="K680" s="26">
        <f t="shared" si="94"/>
        <v>803</v>
      </c>
      <c r="L680" s="76"/>
      <c r="M680" s="26"/>
      <c r="N680" s="26"/>
      <c r="O680" s="26">
        <f t="shared" si="95"/>
        <v>0</v>
      </c>
      <c r="P680" s="76"/>
      <c r="Q680" s="26">
        <f t="shared" si="104"/>
        <v>803</v>
      </c>
      <c r="R680" s="26">
        <f t="shared" si="105"/>
        <v>0</v>
      </c>
      <c r="S680" s="26">
        <f t="shared" si="105"/>
        <v>803</v>
      </c>
    </row>
    <row r="681" spans="2:19" x14ac:dyDescent="0.2">
      <c r="B681" s="75">
        <f t="shared" si="98"/>
        <v>33</v>
      </c>
      <c r="C681" s="4"/>
      <c r="D681" s="4"/>
      <c r="E681" s="4"/>
      <c r="F681" s="53" t="s">
        <v>77</v>
      </c>
      <c r="G681" s="4">
        <v>630</v>
      </c>
      <c r="H681" s="4" t="s">
        <v>672</v>
      </c>
      <c r="I681" s="26">
        <v>0</v>
      </c>
      <c r="J681" s="26">
        <v>485</v>
      </c>
      <c r="K681" s="26">
        <f t="shared" si="94"/>
        <v>485</v>
      </c>
      <c r="L681" s="76"/>
      <c r="M681" s="26"/>
      <c r="N681" s="26"/>
      <c r="O681" s="26">
        <v>0</v>
      </c>
      <c r="P681" s="76"/>
      <c r="Q681" s="26">
        <f t="shared" ref="Q681" si="106">M681+I681</f>
        <v>0</v>
      </c>
      <c r="R681" s="26">
        <f t="shared" ref="R681" si="107">N681+J681</f>
        <v>485</v>
      </c>
      <c r="S681" s="26">
        <f t="shared" ref="S681" si="108">O681+K681</f>
        <v>485</v>
      </c>
    </row>
    <row r="682" spans="2:19" x14ac:dyDescent="0.2">
      <c r="B682" s="75">
        <f t="shared" si="98"/>
        <v>34</v>
      </c>
      <c r="C682" s="14"/>
      <c r="D682" s="14"/>
      <c r="E682" s="14" t="s">
        <v>96</v>
      </c>
      <c r="F682" s="51"/>
      <c r="G682" s="14"/>
      <c r="H682" s="14" t="s">
        <v>65</v>
      </c>
      <c r="I682" s="48">
        <f>I685+I684+I683</f>
        <v>123045</v>
      </c>
      <c r="J682" s="48">
        <f>J685+J684+J683</f>
        <v>1200</v>
      </c>
      <c r="K682" s="48">
        <f t="shared" si="94"/>
        <v>124245</v>
      </c>
      <c r="L682" s="123"/>
      <c r="M682" s="48">
        <f>M685+M684+M683</f>
        <v>0</v>
      </c>
      <c r="N682" s="48">
        <f>N685+N684+N683</f>
        <v>0</v>
      </c>
      <c r="O682" s="48">
        <f t="shared" si="95"/>
        <v>0</v>
      </c>
      <c r="P682" s="123"/>
      <c r="Q682" s="48">
        <f t="shared" si="104"/>
        <v>123045</v>
      </c>
      <c r="R682" s="48">
        <f t="shared" si="105"/>
        <v>1200</v>
      </c>
      <c r="S682" s="48">
        <f t="shared" si="105"/>
        <v>124245</v>
      </c>
    </row>
    <row r="683" spans="2:19" x14ac:dyDescent="0.2">
      <c r="B683" s="75">
        <f t="shared" si="98"/>
        <v>35</v>
      </c>
      <c r="C683" s="15"/>
      <c r="D683" s="15"/>
      <c r="E683" s="15"/>
      <c r="F683" s="52" t="s">
        <v>200</v>
      </c>
      <c r="G683" s="15">
        <v>610</v>
      </c>
      <c r="H683" s="15" t="s">
        <v>137</v>
      </c>
      <c r="I683" s="49">
        <v>71840</v>
      </c>
      <c r="J683" s="49">
        <v>900</v>
      </c>
      <c r="K683" s="49">
        <f t="shared" si="94"/>
        <v>72740</v>
      </c>
      <c r="L683" s="123"/>
      <c r="M683" s="49"/>
      <c r="N683" s="49"/>
      <c r="O683" s="49">
        <f t="shared" si="95"/>
        <v>0</v>
      </c>
      <c r="P683" s="123"/>
      <c r="Q683" s="49">
        <f t="shared" si="104"/>
        <v>71840</v>
      </c>
      <c r="R683" s="49">
        <f t="shared" si="105"/>
        <v>900</v>
      </c>
      <c r="S683" s="49">
        <f t="shared" si="105"/>
        <v>72740</v>
      </c>
    </row>
    <row r="684" spans="2:19" x14ac:dyDescent="0.2">
      <c r="B684" s="75">
        <f t="shared" si="98"/>
        <v>36</v>
      </c>
      <c r="C684" s="15"/>
      <c r="D684" s="15"/>
      <c r="E684" s="15"/>
      <c r="F684" s="52" t="s">
        <v>200</v>
      </c>
      <c r="G684" s="15">
        <v>620</v>
      </c>
      <c r="H684" s="15" t="s">
        <v>132</v>
      </c>
      <c r="I684" s="49">
        <v>26670</v>
      </c>
      <c r="J684" s="49">
        <v>300</v>
      </c>
      <c r="K684" s="49">
        <f t="shared" si="94"/>
        <v>26970</v>
      </c>
      <c r="L684" s="123"/>
      <c r="M684" s="49"/>
      <c r="N684" s="49"/>
      <c r="O684" s="49">
        <f t="shared" si="95"/>
        <v>0</v>
      </c>
      <c r="P684" s="123"/>
      <c r="Q684" s="49">
        <f t="shared" si="104"/>
        <v>26670</v>
      </c>
      <c r="R684" s="49">
        <f t="shared" si="105"/>
        <v>300</v>
      </c>
      <c r="S684" s="49">
        <f t="shared" si="105"/>
        <v>26970</v>
      </c>
    </row>
    <row r="685" spans="2:19" x14ac:dyDescent="0.2">
      <c r="B685" s="75">
        <f t="shared" si="98"/>
        <v>37</v>
      </c>
      <c r="C685" s="15"/>
      <c r="D685" s="15"/>
      <c r="E685" s="15"/>
      <c r="F685" s="52" t="s">
        <v>200</v>
      </c>
      <c r="G685" s="15">
        <v>630</v>
      </c>
      <c r="H685" s="15" t="s">
        <v>129</v>
      </c>
      <c r="I685" s="49">
        <f>I689+I688+I687+I686</f>
        <v>24535</v>
      </c>
      <c r="J685" s="49">
        <f>J689+J688+J687+J686</f>
        <v>0</v>
      </c>
      <c r="K685" s="49">
        <f t="shared" si="94"/>
        <v>24535</v>
      </c>
      <c r="L685" s="123"/>
      <c r="M685" s="49">
        <f>M689+M688+M687+M686</f>
        <v>0</v>
      </c>
      <c r="N685" s="49">
        <f>N689+N688+N687+N686</f>
        <v>0</v>
      </c>
      <c r="O685" s="49">
        <f t="shared" si="95"/>
        <v>0</v>
      </c>
      <c r="P685" s="123"/>
      <c r="Q685" s="49">
        <f t="shared" si="104"/>
        <v>24535</v>
      </c>
      <c r="R685" s="49">
        <f t="shared" si="105"/>
        <v>0</v>
      </c>
      <c r="S685" s="49">
        <f t="shared" si="105"/>
        <v>24535</v>
      </c>
    </row>
    <row r="686" spans="2:19" x14ac:dyDescent="0.2">
      <c r="B686" s="75">
        <f t="shared" si="98"/>
        <v>38</v>
      </c>
      <c r="C686" s="4"/>
      <c r="D686" s="4"/>
      <c r="E686" s="4"/>
      <c r="F686" s="53" t="s">
        <v>200</v>
      </c>
      <c r="G686" s="4">
        <v>632</v>
      </c>
      <c r="H686" s="4" t="s">
        <v>140</v>
      </c>
      <c r="I686" s="26">
        <v>14200</v>
      </c>
      <c r="J686" s="26"/>
      <c r="K686" s="26">
        <f t="shared" si="94"/>
        <v>14200</v>
      </c>
      <c r="L686" s="76"/>
      <c r="M686" s="26"/>
      <c r="N686" s="26"/>
      <c r="O686" s="26">
        <f t="shared" si="95"/>
        <v>0</v>
      </c>
      <c r="P686" s="76"/>
      <c r="Q686" s="26">
        <f t="shared" si="104"/>
        <v>14200</v>
      </c>
      <c r="R686" s="26">
        <f t="shared" si="105"/>
        <v>0</v>
      </c>
      <c r="S686" s="26">
        <f t="shared" si="105"/>
        <v>14200</v>
      </c>
    </row>
    <row r="687" spans="2:19" x14ac:dyDescent="0.2">
      <c r="B687" s="75">
        <f t="shared" si="98"/>
        <v>39</v>
      </c>
      <c r="C687" s="4"/>
      <c r="D687" s="4"/>
      <c r="E687" s="4"/>
      <c r="F687" s="53" t="s">
        <v>200</v>
      </c>
      <c r="G687" s="4">
        <v>633</v>
      </c>
      <c r="H687" s="4" t="s">
        <v>133</v>
      </c>
      <c r="I687" s="26">
        <f>2540+3315</f>
        <v>5855</v>
      </c>
      <c r="J687" s="26"/>
      <c r="K687" s="26">
        <f t="shared" si="94"/>
        <v>5855</v>
      </c>
      <c r="L687" s="76"/>
      <c r="M687" s="26"/>
      <c r="N687" s="26"/>
      <c r="O687" s="26">
        <f t="shared" si="95"/>
        <v>0</v>
      </c>
      <c r="P687" s="76"/>
      <c r="Q687" s="26">
        <f t="shared" si="104"/>
        <v>5855</v>
      </c>
      <c r="R687" s="26">
        <f t="shared" si="105"/>
        <v>0</v>
      </c>
      <c r="S687" s="26">
        <f t="shared" si="105"/>
        <v>5855</v>
      </c>
    </row>
    <row r="688" spans="2:19" x14ac:dyDescent="0.2">
      <c r="B688" s="75">
        <f t="shared" si="98"/>
        <v>40</v>
      </c>
      <c r="C688" s="4"/>
      <c r="D688" s="4"/>
      <c r="E688" s="4"/>
      <c r="F688" s="53" t="s">
        <v>200</v>
      </c>
      <c r="G688" s="4">
        <v>635</v>
      </c>
      <c r="H688" s="4" t="s">
        <v>139</v>
      </c>
      <c r="I688" s="26">
        <v>2000</v>
      </c>
      <c r="J688" s="26"/>
      <c r="K688" s="26">
        <f t="shared" si="94"/>
        <v>2000</v>
      </c>
      <c r="L688" s="76"/>
      <c r="M688" s="26"/>
      <c r="N688" s="26"/>
      <c r="O688" s="26">
        <f t="shared" si="95"/>
        <v>0</v>
      </c>
      <c r="P688" s="76"/>
      <c r="Q688" s="26">
        <f t="shared" si="104"/>
        <v>2000</v>
      </c>
      <c r="R688" s="26">
        <f t="shared" si="105"/>
        <v>0</v>
      </c>
      <c r="S688" s="26">
        <f t="shared" si="105"/>
        <v>2000</v>
      </c>
    </row>
    <row r="689" spans="2:19" x14ac:dyDescent="0.2">
      <c r="B689" s="75">
        <f t="shared" si="98"/>
        <v>41</v>
      </c>
      <c r="C689" s="4"/>
      <c r="D689" s="4"/>
      <c r="E689" s="4"/>
      <c r="F689" s="53" t="s">
        <v>200</v>
      </c>
      <c r="G689" s="4">
        <v>637</v>
      </c>
      <c r="H689" s="4" t="s">
        <v>130</v>
      </c>
      <c r="I689" s="26">
        <v>2480</v>
      </c>
      <c r="J689" s="26"/>
      <c r="K689" s="26">
        <f t="shared" si="94"/>
        <v>2480</v>
      </c>
      <c r="L689" s="76"/>
      <c r="M689" s="26"/>
      <c r="N689" s="26"/>
      <c r="O689" s="26">
        <f t="shared" si="95"/>
        <v>0</v>
      </c>
      <c r="P689" s="76"/>
      <c r="Q689" s="26">
        <f t="shared" si="104"/>
        <v>2480</v>
      </c>
      <c r="R689" s="26">
        <f t="shared" si="105"/>
        <v>0</v>
      </c>
      <c r="S689" s="26">
        <f t="shared" si="105"/>
        <v>2480</v>
      </c>
    </row>
    <row r="690" spans="2:19" x14ac:dyDescent="0.2">
      <c r="B690" s="75">
        <f t="shared" si="98"/>
        <v>42</v>
      </c>
      <c r="C690" s="14"/>
      <c r="D690" s="14"/>
      <c r="E690" s="14" t="s">
        <v>95</v>
      </c>
      <c r="F690" s="51"/>
      <c r="G690" s="14"/>
      <c r="H690" s="14" t="s">
        <v>11</v>
      </c>
      <c r="I690" s="48">
        <f>I702+I695+I693+I691+I703+I692+I694</f>
        <v>207683</v>
      </c>
      <c r="J690" s="48">
        <f>J702+J695+J693+J691+J703+J692+J694</f>
        <v>2600</v>
      </c>
      <c r="K690" s="48">
        <f t="shared" si="94"/>
        <v>210283</v>
      </c>
      <c r="L690" s="123"/>
      <c r="M690" s="48">
        <f>M702+M695+M693+M691+M703</f>
        <v>353776</v>
      </c>
      <c r="N690" s="48">
        <f>N702+N695+N693+N691+N703</f>
        <v>-10050</v>
      </c>
      <c r="O690" s="48">
        <f t="shared" si="95"/>
        <v>343726</v>
      </c>
      <c r="P690" s="123"/>
      <c r="Q690" s="48">
        <f t="shared" si="104"/>
        <v>561459</v>
      </c>
      <c r="R690" s="48">
        <f t="shared" si="105"/>
        <v>-7450</v>
      </c>
      <c r="S690" s="48">
        <f t="shared" si="105"/>
        <v>554009</v>
      </c>
    </row>
    <row r="691" spans="2:19" x14ac:dyDescent="0.2">
      <c r="B691" s="75">
        <f t="shared" si="98"/>
        <v>43</v>
      </c>
      <c r="C691" s="15"/>
      <c r="D691" s="15"/>
      <c r="E691" s="15"/>
      <c r="F691" s="52" t="s">
        <v>200</v>
      </c>
      <c r="G691" s="15">
        <v>610</v>
      </c>
      <c r="H691" s="15" t="s">
        <v>137</v>
      </c>
      <c r="I691" s="49">
        <v>89880</v>
      </c>
      <c r="J691" s="49">
        <v>2600</v>
      </c>
      <c r="K691" s="49">
        <f t="shared" si="94"/>
        <v>92480</v>
      </c>
      <c r="L691" s="123"/>
      <c r="M691" s="49"/>
      <c r="N691" s="49"/>
      <c r="O691" s="49">
        <f t="shared" si="95"/>
        <v>0</v>
      </c>
      <c r="P691" s="123"/>
      <c r="Q691" s="49">
        <f t="shared" si="104"/>
        <v>89880</v>
      </c>
      <c r="R691" s="49">
        <f t="shared" ref="R691:S703" si="109">N691+J691</f>
        <v>2600</v>
      </c>
      <c r="S691" s="49">
        <f t="shared" si="109"/>
        <v>92480</v>
      </c>
    </row>
    <row r="692" spans="2:19" x14ac:dyDescent="0.2">
      <c r="B692" s="75">
        <f t="shared" si="98"/>
        <v>44</v>
      </c>
      <c r="C692" s="15"/>
      <c r="D692" s="15"/>
      <c r="E692" s="15"/>
      <c r="F692" s="52" t="s">
        <v>501</v>
      </c>
      <c r="G692" s="15">
        <v>610</v>
      </c>
      <c r="H692" s="15" t="s">
        <v>502</v>
      </c>
      <c r="I692" s="49">
        <v>16032</v>
      </c>
      <c r="J692" s="49"/>
      <c r="K692" s="49">
        <f t="shared" si="94"/>
        <v>16032</v>
      </c>
      <c r="L692" s="123"/>
      <c r="M692" s="49"/>
      <c r="N692" s="49"/>
      <c r="O692" s="49">
        <f t="shared" si="95"/>
        <v>0</v>
      </c>
      <c r="P692" s="123"/>
      <c r="Q692" s="49">
        <f t="shared" si="104"/>
        <v>16032</v>
      </c>
      <c r="R692" s="49">
        <f t="shared" si="109"/>
        <v>0</v>
      </c>
      <c r="S692" s="49">
        <f t="shared" si="109"/>
        <v>16032</v>
      </c>
    </row>
    <row r="693" spans="2:19" x14ac:dyDescent="0.2">
      <c r="B693" s="75">
        <f t="shared" si="98"/>
        <v>45</v>
      </c>
      <c r="C693" s="15"/>
      <c r="D693" s="15"/>
      <c r="E693" s="15"/>
      <c r="F693" s="52" t="s">
        <v>200</v>
      </c>
      <c r="G693" s="15">
        <v>620</v>
      </c>
      <c r="H693" s="15" t="s">
        <v>132</v>
      </c>
      <c r="I693" s="49">
        <v>34481</v>
      </c>
      <c r="J693" s="49"/>
      <c r="K693" s="49">
        <f t="shared" si="94"/>
        <v>34481</v>
      </c>
      <c r="L693" s="123"/>
      <c r="M693" s="49"/>
      <c r="N693" s="49"/>
      <c r="O693" s="49">
        <f t="shared" si="95"/>
        <v>0</v>
      </c>
      <c r="P693" s="123"/>
      <c r="Q693" s="49">
        <f t="shared" si="104"/>
        <v>34481</v>
      </c>
      <c r="R693" s="49">
        <f t="shared" si="109"/>
        <v>0</v>
      </c>
      <c r="S693" s="49">
        <f t="shared" si="109"/>
        <v>34481</v>
      </c>
    </row>
    <row r="694" spans="2:19" x14ac:dyDescent="0.2">
      <c r="B694" s="75">
        <f t="shared" si="98"/>
        <v>46</v>
      </c>
      <c r="C694" s="15"/>
      <c r="D694" s="15"/>
      <c r="E694" s="15"/>
      <c r="F694" s="52" t="s">
        <v>200</v>
      </c>
      <c r="G694" s="15">
        <v>620</v>
      </c>
      <c r="H694" s="15" t="s">
        <v>504</v>
      </c>
      <c r="I694" s="49">
        <v>5611</v>
      </c>
      <c r="J694" s="49"/>
      <c r="K694" s="49">
        <f t="shared" si="94"/>
        <v>5611</v>
      </c>
      <c r="L694" s="123"/>
      <c r="M694" s="49"/>
      <c r="N694" s="49"/>
      <c r="O694" s="49">
        <f t="shared" si="95"/>
        <v>0</v>
      </c>
      <c r="P694" s="123"/>
      <c r="Q694" s="49">
        <f t="shared" si="104"/>
        <v>5611</v>
      </c>
      <c r="R694" s="49">
        <f t="shared" si="109"/>
        <v>0</v>
      </c>
      <c r="S694" s="49">
        <f t="shared" si="109"/>
        <v>5611</v>
      </c>
    </row>
    <row r="695" spans="2:19" x14ac:dyDescent="0.2">
      <c r="B695" s="75">
        <f t="shared" si="98"/>
        <v>47</v>
      </c>
      <c r="C695" s="15"/>
      <c r="D695" s="15"/>
      <c r="E695" s="15"/>
      <c r="F695" s="52" t="s">
        <v>200</v>
      </c>
      <c r="G695" s="15">
        <v>630</v>
      </c>
      <c r="H695" s="15" t="s">
        <v>129</v>
      </c>
      <c r="I695" s="49">
        <f>I700+I699+I697+I696+I698+I701</f>
        <v>58679</v>
      </c>
      <c r="J695" s="49">
        <f>J700+J699+J697+J696+J698+J701</f>
        <v>0</v>
      </c>
      <c r="K695" s="49">
        <f t="shared" si="94"/>
        <v>58679</v>
      </c>
      <c r="L695" s="123"/>
      <c r="M695" s="49">
        <v>0</v>
      </c>
      <c r="N695" s="49"/>
      <c r="O695" s="49">
        <f t="shared" si="95"/>
        <v>0</v>
      </c>
      <c r="P695" s="123"/>
      <c r="Q695" s="49">
        <f t="shared" si="104"/>
        <v>58679</v>
      </c>
      <c r="R695" s="49">
        <f t="shared" si="109"/>
        <v>0</v>
      </c>
      <c r="S695" s="49">
        <f t="shared" si="109"/>
        <v>58679</v>
      </c>
    </row>
    <row r="696" spans="2:19" x14ac:dyDescent="0.2">
      <c r="B696" s="75">
        <f t="shared" si="98"/>
        <v>48</v>
      </c>
      <c r="C696" s="4"/>
      <c r="D696" s="4"/>
      <c r="E696" s="4"/>
      <c r="F696" s="53" t="s">
        <v>200</v>
      </c>
      <c r="G696" s="4">
        <v>632</v>
      </c>
      <c r="H696" s="4" t="s">
        <v>140</v>
      </c>
      <c r="I696" s="26">
        <v>22410</v>
      </c>
      <c r="J696" s="26"/>
      <c r="K696" s="26">
        <f t="shared" si="94"/>
        <v>22410</v>
      </c>
      <c r="L696" s="76"/>
      <c r="M696" s="26"/>
      <c r="N696" s="26"/>
      <c r="O696" s="26">
        <f t="shared" si="95"/>
        <v>0</v>
      </c>
      <c r="P696" s="76"/>
      <c r="Q696" s="26">
        <f t="shared" si="104"/>
        <v>22410</v>
      </c>
      <c r="R696" s="26">
        <f t="shared" si="109"/>
        <v>0</v>
      </c>
      <c r="S696" s="26">
        <f t="shared" si="109"/>
        <v>22410</v>
      </c>
    </row>
    <row r="697" spans="2:19" x14ac:dyDescent="0.2">
      <c r="B697" s="75">
        <f t="shared" si="98"/>
        <v>49</v>
      </c>
      <c r="C697" s="4"/>
      <c r="D697" s="4"/>
      <c r="E697" s="4"/>
      <c r="F697" s="53" t="s">
        <v>200</v>
      </c>
      <c r="G697" s="4">
        <v>633</v>
      </c>
      <c r="H697" s="4" t="s">
        <v>133</v>
      </c>
      <c r="I697" s="26">
        <f>7288+1424</f>
        <v>8712</v>
      </c>
      <c r="J697" s="26"/>
      <c r="K697" s="26">
        <f t="shared" si="94"/>
        <v>8712</v>
      </c>
      <c r="L697" s="76"/>
      <c r="M697" s="26"/>
      <c r="N697" s="26"/>
      <c r="O697" s="26">
        <f t="shared" si="95"/>
        <v>0</v>
      </c>
      <c r="P697" s="76"/>
      <c r="Q697" s="26">
        <f t="shared" si="104"/>
        <v>8712</v>
      </c>
      <c r="R697" s="26">
        <f t="shared" si="109"/>
        <v>0</v>
      </c>
      <c r="S697" s="26">
        <f t="shared" si="109"/>
        <v>8712</v>
      </c>
    </row>
    <row r="698" spans="2:19" x14ac:dyDescent="0.2">
      <c r="B698" s="75">
        <f t="shared" si="98"/>
        <v>50</v>
      </c>
      <c r="C698" s="4"/>
      <c r="D698" s="4"/>
      <c r="E698" s="4"/>
      <c r="F698" s="53" t="s">
        <v>200</v>
      </c>
      <c r="G698" s="4">
        <v>633</v>
      </c>
      <c r="H698" s="4" t="s">
        <v>503</v>
      </c>
      <c r="I698" s="26">
        <f>43770-16032-5611-12000</f>
        <v>10127</v>
      </c>
      <c r="J698" s="26"/>
      <c r="K698" s="26">
        <f t="shared" si="94"/>
        <v>10127</v>
      </c>
      <c r="L698" s="76"/>
      <c r="M698" s="26"/>
      <c r="N698" s="26"/>
      <c r="O698" s="26">
        <f t="shared" si="95"/>
        <v>0</v>
      </c>
      <c r="P698" s="76"/>
      <c r="Q698" s="26">
        <f t="shared" si="104"/>
        <v>10127</v>
      </c>
      <c r="R698" s="26">
        <f t="shared" si="109"/>
        <v>0</v>
      </c>
      <c r="S698" s="26">
        <f t="shared" si="109"/>
        <v>10127</v>
      </c>
    </row>
    <row r="699" spans="2:19" x14ac:dyDescent="0.2">
      <c r="B699" s="75">
        <f t="shared" si="98"/>
        <v>51</v>
      </c>
      <c r="C699" s="4"/>
      <c r="D699" s="4"/>
      <c r="E699" s="4"/>
      <c r="F699" s="53" t="s">
        <v>200</v>
      </c>
      <c r="G699" s="4">
        <v>635</v>
      </c>
      <c r="H699" s="4" t="s">
        <v>139</v>
      </c>
      <c r="I699" s="26">
        <v>2000</v>
      </c>
      <c r="J699" s="26"/>
      <c r="K699" s="26">
        <f t="shared" si="94"/>
        <v>2000</v>
      </c>
      <c r="L699" s="76"/>
      <c r="M699" s="26"/>
      <c r="N699" s="26"/>
      <c r="O699" s="26">
        <f t="shared" si="95"/>
        <v>0</v>
      </c>
      <c r="P699" s="76"/>
      <c r="Q699" s="26">
        <f t="shared" si="104"/>
        <v>2000</v>
      </c>
      <c r="R699" s="26">
        <f t="shared" si="109"/>
        <v>0</v>
      </c>
      <c r="S699" s="26">
        <f t="shared" si="109"/>
        <v>2000</v>
      </c>
    </row>
    <row r="700" spans="2:19" x14ac:dyDescent="0.2">
      <c r="B700" s="75">
        <f t="shared" si="98"/>
        <v>52</v>
      </c>
      <c r="C700" s="4"/>
      <c r="D700" s="4"/>
      <c r="E700" s="4"/>
      <c r="F700" s="53" t="s">
        <v>200</v>
      </c>
      <c r="G700" s="4">
        <v>637</v>
      </c>
      <c r="H700" s="4" t="s">
        <v>130</v>
      </c>
      <c r="I700" s="26">
        <v>3430</v>
      </c>
      <c r="J700" s="26"/>
      <c r="K700" s="26">
        <f t="shared" si="94"/>
        <v>3430</v>
      </c>
      <c r="L700" s="76"/>
      <c r="M700" s="26"/>
      <c r="N700" s="26"/>
      <c r="O700" s="26">
        <f t="shared" si="95"/>
        <v>0</v>
      </c>
      <c r="P700" s="76"/>
      <c r="Q700" s="26">
        <f t="shared" si="104"/>
        <v>3430</v>
      </c>
      <c r="R700" s="26">
        <f t="shared" si="109"/>
        <v>0</v>
      </c>
      <c r="S700" s="26">
        <f t="shared" si="109"/>
        <v>3430</v>
      </c>
    </row>
    <row r="701" spans="2:19" x14ac:dyDescent="0.2">
      <c r="B701" s="75">
        <f t="shared" si="98"/>
        <v>53</v>
      </c>
      <c r="C701" s="4"/>
      <c r="D701" s="4"/>
      <c r="E701" s="4"/>
      <c r="F701" s="53" t="s">
        <v>200</v>
      </c>
      <c r="G701" s="4">
        <v>630</v>
      </c>
      <c r="H701" s="4" t="s">
        <v>625</v>
      </c>
      <c r="I701" s="26">
        <v>12000</v>
      </c>
      <c r="J701" s="26"/>
      <c r="K701" s="26">
        <f t="shared" si="94"/>
        <v>12000</v>
      </c>
      <c r="L701" s="76"/>
      <c r="M701" s="26"/>
      <c r="N701" s="26"/>
      <c r="O701" s="26">
        <f t="shared" si="95"/>
        <v>0</v>
      </c>
      <c r="P701" s="76"/>
      <c r="Q701" s="26">
        <f t="shared" si="104"/>
        <v>12000</v>
      </c>
      <c r="R701" s="26">
        <f t="shared" si="109"/>
        <v>0</v>
      </c>
      <c r="S701" s="26">
        <f t="shared" si="109"/>
        <v>12000</v>
      </c>
    </row>
    <row r="702" spans="2:19" x14ac:dyDescent="0.2">
      <c r="B702" s="75">
        <f t="shared" si="98"/>
        <v>54</v>
      </c>
      <c r="C702" s="15"/>
      <c r="D702" s="15"/>
      <c r="E702" s="15"/>
      <c r="F702" s="52" t="s">
        <v>200</v>
      </c>
      <c r="G702" s="15">
        <v>640</v>
      </c>
      <c r="H702" s="15" t="s">
        <v>136</v>
      </c>
      <c r="I702" s="49">
        <v>3000</v>
      </c>
      <c r="J702" s="49"/>
      <c r="K702" s="49">
        <f t="shared" si="94"/>
        <v>3000</v>
      </c>
      <c r="L702" s="123"/>
      <c r="M702" s="49"/>
      <c r="N702" s="49"/>
      <c r="O702" s="49">
        <f t="shared" si="95"/>
        <v>0</v>
      </c>
      <c r="P702" s="123"/>
      <c r="Q702" s="49">
        <f t="shared" si="104"/>
        <v>3000</v>
      </c>
      <c r="R702" s="49">
        <f t="shared" si="109"/>
        <v>0</v>
      </c>
      <c r="S702" s="49">
        <f t="shared" si="109"/>
        <v>3000</v>
      </c>
    </row>
    <row r="703" spans="2:19" x14ac:dyDescent="0.2">
      <c r="B703" s="75">
        <f t="shared" si="98"/>
        <v>55</v>
      </c>
      <c r="C703" s="15"/>
      <c r="D703" s="15"/>
      <c r="E703" s="15"/>
      <c r="F703" s="52" t="s">
        <v>200</v>
      </c>
      <c r="G703" s="15">
        <v>710</v>
      </c>
      <c r="H703" s="15" t="s">
        <v>185</v>
      </c>
      <c r="I703" s="49">
        <f>I706</f>
        <v>0</v>
      </c>
      <c r="J703" s="49"/>
      <c r="K703" s="49">
        <f t="shared" si="94"/>
        <v>0</v>
      </c>
      <c r="L703" s="123"/>
      <c r="M703" s="49">
        <f>M706+M704</f>
        <v>353776</v>
      </c>
      <c r="N703" s="49">
        <f>N706+N704</f>
        <v>-10050</v>
      </c>
      <c r="O703" s="49">
        <f t="shared" si="95"/>
        <v>343726</v>
      </c>
      <c r="P703" s="123"/>
      <c r="Q703" s="49">
        <f t="shared" si="104"/>
        <v>353776</v>
      </c>
      <c r="R703" s="49">
        <f t="shared" si="109"/>
        <v>-10050</v>
      </c>
      <c r="S703" s="49">
        <f t="shared" si="109"/>
        <v>343726</v>
      </c>
    </row>
    <row r="704" spans="2:19" x14ac:dyDescent="0.2">
      <c r="B704" s="75">
        <f t="shared" si="98"/>
        <v>56</v>
      </c>
      <c r="C704" s="15"/>
      <c r="D704" s="15"/>
      <c r="E704" s="15"/>
      <c r="F704" s="86" t="s">
        <v>200</v>
      </c>
      <c r="G704" s="87">
        <v>716</v>
      </c>
      <c r="H704" s="87" t="s">
        <v>0</v>
      </c>
      <c r="I704" s="88"/>
      <c r="J704" s="88"/>
      <c r="K704" s="88">
        <f t="shared" si="94"/>
        <v>0</v>
      </c>
      <c r="L704" s="76"/>
      <c r="M704" s="88">
        <f>M705</f>
        <v>10800</v>
      </c>
      <c r="N704" s="88">
        <f>N705</f>
        <v>0</v>
      </c>
      <c r="O704" s="88">
        <f t="shared" si="95"/>
        <v>10800</v>
      </c>
      <c r="P704" s="76"/>
      <c r="Q704" s="88">
        <f>I704+M704</f>
        <v>10800</v>
      </c>
      <c r="R704" s="88">
        <f t="shared" ref="R704:S705" si="110">J704+N704</f>
        <v>0</v>
      </c>
      <c r="S704" s="88">
        <f t="shared" si="110"/>
        <v>10800</v>
      </c>
    </row>
    <row r="705" spans="1:19" x14ac:dyDescent="0.2">
      <c r="B705" s="75">
        <f t="shared" si="98"/>
        <v>57</v>
      </c>
      <c r="C705" s="15"/>
      <c r="D705" s="15"/>
      <c r="E705" s="15"/>
      <c r="F705" s="52"/>
      <c r="G705" s="15"/>
      <c r="H705" s="60" t="s">
        <v>520</v>
      </c>
      <c r="I705" s="49"/>
      <c r="J705" s="49"/>
      <c r="K705" s="49">
        <f t="shared" si="94"/>
        <v>0</v>
      </c>
      <c r="L705" s="123"/>
      <c r="M705" s="58">
        <v>10800</v>
      </c>
      <c r="N705" s="58"/>
      <c r="O705" s="58">
        <f t="shared" si="95"/>
        <v>10800</v>
      </c>
      <c r="P705" s="76"/>
      <c r="Q705" s="58">
        <f>I705+M705</f>
        <v>10800</v>
      </c>
      <c r="R705" s="58">
        <f t="shared" si="110"/>
        <v>0</v>
      </c>
      <c r="S705" s="58">
        <f t="shared" si="110"/>
        <v>10800</v>
      </c>
    </row>
    <row r="706" spans="1:19" s="71" customFormat="1" x14ac:dyDescent="0.2">
      <c r="A706" s="67"/>
      <c r="B706" s="75">
        <f t="shared" si="98"/>
        <v>58</v>
      </c>
      <c r="C706" s="15"/>
      <c r="D706" s="15"/>
      <c r="E706" s="15"/>
      <c r="F706" s="86" t="s">
        <v>200</v>
      </c>
      <c r="G706" s="87">
        <v>717</v>
      </c>
      <c r="H706" s="87" t="s">
        <v>195</v>
      </c>
      <c r="I706" s="88"/>
      <c r="J706" s="88"/>
      <c r="K706" s="88">
        <f t="shared" si="94"/>
        <v>0</v>
      </c>
      <c r="L706" s="76"/>
      <c r="M706" s="88">
        <f>SUM(M707:M708)</f>
        <v>342976</v>
      </c>
      <c r="N706" s="88">
        <f>SUM(N707:N708)</f>
        <v>-10050</v>
      </c>
      <c r="O706" s="88">
        <f t="shared" si="95"/>
        <v>332926</v>
      </c>
      <c r="P706" s="76"/>
      <c r="Q706" s="88">
        <f t="shared" ref="Q706:Q737" si="111">M706+I706</f>
        <v>342976</v>
      </c>
      <c r="R706" s="88">
        <f t="shared" ref="R706:S721" si="112">N706+J706</f>
        <v>-10050</v>
      </c>
      <c r="S706" s="88">
        <f t="shared" si="112"/>
        <v>332926</v>
      </c>
    </row>
    <row r="707" spans="1:19" x14ac:dyDescent="0.2">
      <c r="B707" s="75">
        <f t="shared" si="98"/>
        <v>59</v>
      </c>
      <c r="C707" s="15"/>
      <c r="D707" s="15"/>
      <c r="E707" s="15"/>
      <c r="F707" s="64"/>
      <c r="G707" s="60"/>
      <c r="H707" s="60" t="s">
        <v>440</v>
      </c>
      <c r="I707" s="58"/>
      <c r="J707" s="58"/>
      <c r="K707" s="58">
        <f t="shared" si="94"/>
        <v>0</v>
      </c>
      <c r="L707" s="76"/>
      <c r="M707" s="58">
        <f>162976</f>
        <v>162976</v>
      </c>
      <c r="N707" s="58">
        <f>-4000-6050</f>
        <v>-10050</v>
      </c>
      <c r="O707" s="58">
        <f t="shared" si="95"/>
        <v>152926</v>
      </c>
      <c r="P707" s="76"/>
      <c r="Q707" s="58">
        <f t="shared" si="111"/>
        <v>162976</v>
      </c>
      <c r="R707" s="58">
        <f t="shared" si="112"/>
        <v>-10050</v>
      </c>
      <c r="S707" s="58">
        <f t="shared" si="112"/>
        <v>152926</v>
      </c>
    </row>
    <row r="708" spans="1:19" x14ac:dyDescent="0.2">
      <c r="B708" s="75">
        <f t="shared" si="98"/>
        <v>60</v>
      </c>
      <c r="C708" s="15"/>
      <c r="D708" s="15"/>
      <c r="E708" s="15"/>
      <c r="F708" s="64"/>
      <c r="G708" s="60"/>
      <c r="H708" s="60" t="s">
        <v>625</v>
      </c>
      <c r="I708" s="58"/>
      <c r="J708" s="58"/>
      <c r="K708" s="58">
        <f t="shared" si="94"/>
        <v>0</v>
      </c>
      <c r="L708" s="76"/>
      <c r="M708" s="58">
        <v>180000</v>
      </c>
      <c r="N708" s="58"/>
      <c r="O708" s="58">
        <f t="shared" si="95"/>
        <v>180000</v>
      </c>
      <c r="P708" s="76"/>
      <c r="Q708" s="58">
        <f t="shared" si="111"/>
        <v>180000</v>
      </c>
      <c r="R708" s="58">
        <f t="shared" si="112"/>
        <v>0</v>
      </c>
      <c r="S708" s="58">
        <f t="shared" si="112"/>
        <v>180000</v>
      </c>
    </row>
    <row r="709" spans="1:19" s="71" customFormat="1" x14ac:dyDescent="0.2">
      <c r="A709" s="67"/>
      <c r="B709" s="75">
        <f t="shared" si="98"/>
        <v>61</v>
      </c>
      <c r="C709" s="14"/>
      <c r="D709" s="14"/>
      <c r="E709" s="14" t="s">
        <v>89</v>
      </c>
      <c r="F709" s="51"/>
      <c r="G709" s="14"/>
      <c r="H709" s="14" t="s">
        <v>64</v>
      </c>
      <c r="I709" s="48">
        <f>I712+I711+I710</f>
        <v>132580</v>
      </c>
      <c r="J709" s="48">
        <f>J712+J711+J710</f>
        <v>0</v>
      </c>
      <c r="K709" s="48">
        <f t="shared" si="94"/>
        <v>132580</v>
      </c>
      <c r="L709" s="123"/>
      <c r="M709" s="48">
        <f>M712+M711+M710</f>
        <v>0</v>
      </c>
      <c r="N709" s="48">
        <f>N712+N711+N710</f>
        <v>0</v>
      </c>
      <c r="O709" s="48">
        <f t="shared" si="95"/>
        <v>0</v>
      </c>
      <c r="P709" s="123"/>
      <c r="Q709" s="48">
        <f t="shared" si="111"/>
        <v>132580</v>
      </c>
      <c r="R709" s="48">
        <f t="shared" si="112"/>
        <v>0</v>
      </c>
      <c r="S709" s="48">
        <f t="shared" si="112"/>
        <v>132580</v>
      </c>
    </row>
    <row r="710" spans="1:19" s="71" customFormat="1" ht="18" customHeight="1" x14ac:dyDescent="0.2">
      <c r="A710" s="67"/>
      <c r="B710" s="75">
        <f t="shared" si="98"/>
        <v>62</v>
      </c>
      <c r="C710" s="15"/>
      <c r="D710" s="15"/>
      <c r="E710" s="15"/>
      <c r="F710" s="52" t="s">
        <v>200</v>
      </c>
      <c r="G710" s="15">
        <v>610</v>
      </c>
      <c r="H710" s="15" t="s">
        <v>137</v>
      </c>
      <c r="I710" s="49">
        <v>74290</v>
      </c>
      <c r="J710" s="49"/>
      <c r="K710" s="49">
        <f t="shared" si="94"/>
        <v>74290</v>
      </c>
      <c r="L710" s="123"/>
      <c r="M710" s="49"/>
      <c r="N710" s="49"/>
      <c r="O710" s="49">
        <f t="shared" si="95"/>
        <v>0</v>
      </c>
      <c r="P710" s="123"/>
      <c r="Q710" s="49">
        <f t="shared" si="111"/>
        <v>74290</v>
      </c>
      <c r="R710" s="49">
        <f t="shared" si="112"/>
        <v>0</v>
      </c>
      <c r="S710" s="49">
        <f t="shared" si="112"/>
        <v>74290</v>
      </c>
    </row>
    <row r="711" spans="1:19" x14ac:dyDescent="0.2">
      <c r="B711" s="75">
        <f t="shared" si="98"/>
        <v>63</v>
      </c>
      <c r="C711" s="15"/>
      <c r="D711" s="15"/>
      <c r="E711" s="15"/>
      <c r="F711" s="52" t="s">
        <v>200</v>
      </c>
      <c r="G711" s="15">
        <v>620</v>
      </c>
      <c r="H711" s="15" t="s">
        <v>132</v>
      </c>
      <c r="I711" s="49">
        <v>27587</v>
      </c>
      <c r="J711" s="49"/>
      <c r="K711" s="49">
        <f t="shared" si="94"/>
        <v>27587</v>
      </c>
      <c r="L711" s="123"/>
      <c r="M711" s="49"/>
      <c r="N711" s="49"/>
      <c r="O711" s="49">
        <f t="shared" si="95"/>
        <v>0</v>
      </c>
      <c r="P711" s="123"/>
      <c r="Q711" s="49">
        <f t="shared" si="111"/>
        <v>27587</v>
      </c>
      <c r="R711" s="49">
        <f t="shared" si="112"/>
        <v>0</v>
      </c>
      <c r="S711" s="49">
        <f t="shared" si="112"/>
        <v>27587</v>
      </c>
    </row>
    <row r="712" spans="1:19" x14ac:dyDescent="0.2">
      <c r="B712" s="75">
        <f t="shared" si="98"/>
        <v>64</v>
      </c>
      <c r="C712" s="15"/>
      <c r="D712" s="15"/>
      <c r="E712" s="15"/>
      <c r="F712" s="52" t="s">
        <v>200</v>
      </c>
      <c r="G712" s="15">
        <v>630</v>
      </c>
      <c r="H712" s="15" t="s">
        <v>129</v>
      </c>
      <c r="I712" s="49">
        <f>I716+I715+I714+I713+I717</f>
        <v>30703</v>
      </c>
      <c r="J712" s="49">
        <f>J716+J715+J714+J713+J717</f>
        <v>0</v>
      </c>
      <c r="K712" s="49">
        <f t="shared" si="94"/>
        <v>30703</v>
      </c>
      <c r="L712" s="123"/>
      <c r="M712" s="49">
        <v>0</v>
      </c>
      <c r="N712" s="49">
        <v>0</v>
      </c>
      <c r="O712" s="49">
        <f t="shared" si="95"/>
        <v>0</v>
      </c>
      <c r="P712" s="123"/>
      <c r="Q712" s="49">
        <f t="shared" si="111"/>
        <v>30703</v>
      </c>
      <c r="R712" s="49">
        <f t="shared" si="112"/>
        <v>0</v>
      </c>
      <c r="S712" s="49">
        <f t="shared" si="112"/>
        <v>30703</v>
      </c>
    </row>
    <row r="713" spans="1:19" x14ac:dyDescent="0.2">
      <c r="B713" s="75">
        <f t="shared" si="98"/>
        <v>65</v>
      </c>
      <c r="C713" s="4"/>
      <c r="D713" s="4"/>
      <c r="E713" s="4"/>
      <c r="F713" s="53" t="s">
        <v>200</v>
      </c>
      <c r="G713" s="4">
        <v>632</v>
      </c>
      <c r="H713" s="4" t="s">
        <v>140</v>
      </c>
      <c r="I713" s="26">
        <v>18530</v>
      </c>
      <c r="J713" s="26"/>
      <c r="K713" s="26">
        <f t="shared" si="94"/>
        <v>18530</v>
      </c>
      <c r="L713" s="76"/>
      <c r="M713" s="26"/>
      <c r="N713" s="26"/>
      <c r="O713" s="26">
        <f t="shared" si="95"/>
        <v>0</v>
      </c>
      <c r="P713" s="76"/>
      <c r="Q713" s="26">
        <f t="shared" si="111"/>
        <v>18530</v>
      </c>
      <c r="R713" s="26">
        <f t="shared" si="112"/>
        <v>0</v>
      </c>
      <c r="S713" s="26">
        <f t="shared" si="112"/>
        <v>18530</v>
      </c>
    </row>
    <row r="714" spans="1:19" x14ac:dyDescent="0.2">
      <c r="B714" s="75">
        <f t="shared" si="98"/>
        <v>66</v>
      </c>
      <c r="C714" s="4"/>
      <c r="D714" s="4"/>
      <c r="E714" s="4"/>
      <c r="F714" s="53" t="s">
        <v>200</v>
      </c>
      <c r="G714" s="4">
        <v>633</v>
      </c>
      <c r="H714" s="4" t="s">
        <v>133</v>
      </c>
      <c r="I714" s="26">
        <f>5541+1152</f>
        <v>6693</v>
      </c>
      <c r="J714" s="26"/>
      <c r="K714" s="26">
        <f t="shared" si="94"/>
        <v>6693</v>
      </c>
      <c r="L714" s="76"/>
      <c r="M714" s="26"/>
      <c r="N714" s="26"/>
      <c r="O714" s="26">
        <f t="shared" si="95"/>
        <v>0</v>
      </c>
      <c r="P714" s="76"/>
      <c r="Q714" s="26">
        <f t="shared" si="111"/>
        <v>6693</v>
      </c>
      <c r="R714" s="26">
        <f t="shared" si="112"/>
        <v>0</v>
      </c>
      <c r="S714" s="26">
        <f t="shared" si="112"/>
        <v>6693</v>
      </c>
    </row>
    <row r="715" spans="1:19" x14ac:dyDescent="0.2">
      <c r="B715" s="75">
        <f t="shared" si="98"/>
        <v>67</v>
      </c>
      <c r="C715" s="4"/>
      <c r="D715" s="4"/>
      <c r="E715" s="4"/>
      <c r="F715" s="53" t="s">
        <v>200</v>
      </c>
      <c r="G715" s="4">
        <v>635</v>
      </c>
      <c r="H715" s="4" t="s">
        <v>139</v>
      </c>
      <c r="I715" s="26">
        <v>150</v>
      </c>
      <c r="J715" s="26"/>
      <c r="K715" s="26">
        <f t="shared" ref="K715:K778" si="113">I715+J715</f>
        <v>150</v>
      </c>
      <c r="L715" s="76"/>
      <c r="M715" s="26"/>
      <c r="N715" s="26"/>
      <c r="O715" s="26">
        <f t="shared" ref="O715:O778" si="114">M715+N715</f>
        <v>0</v>
      </c>
      <c r="P715" s="76"/>
      <c r="Q715" s="26">
        <f t="shared" si="111"/>
        <v>150</v>
      </c>
      <c r="R715" s="26">
        <f t="shared" si="112"/>
        <v>0</v>
      </c>
      <c r="S715" s="26">
        <f t="shared" si="112"/>
        <v>150</v>
      </c>
    </row>
    <row r="716" spans="1:19" x14ac:dyDescent="0.2">
      <c r="B716" s="75">
        <f t="shared" ref="B716:B717" si="115">B715+1</f>
        <v>68</v>
      </c>
      <c r="C716" s="4"/>
      <c r="D716" s="4"/>
      <c r="E716" s="4"/>
      <c r="F716" s="53" t="s">
        <v>200</v>
      </c>
      <c r="G716" s="4">
        <v>637</v>
      </c>
      <c r="H716" s="4" t="s">
        <v>130</v>
      </c>
      <c r="I716" s="26">
        <v>2330</v>
      </c>
      <c r="J716" s="26"/>
      <c r="K716" s="26">
        <f t="shared" si="113"/>
        <v>2330</v>
      </c>
      <c r="L716" s="76"/>
      <c r="M716" s="26"/>
      <c r="N716" s="26"/>
      <c r="O716" s="26">
        <f t="shared" si="114"/>
        <v>0</v>
      </c>
      <c r="P716" s="76"/>
      <c r="Q716" s="26">
        <f t="shared" si="111"/>
        <v>2330</v>
      </c>
      <c r="R716" s="26">
        <f t="shared" si="112"/>
        <v>0</v>
      </c>
      <c r="S716" s="26">
        <f t="shared" si="112"/>
        <v>2330</v>
      </c>
    </row>
    <row r="717" spans="1:19" x14ac:dyDescent="0.2">
      <c r="B717" s="75">
        <f t="shared" si="115"/>
        <v>69</v>
      </c>
      <c r="C717" s="4"/>
      <c r="D717" s="4"/>
      <c r="E717" s="4"/>
      <c r="F717" s="140">
        <v>9111</v>
      </c>
      <c r="G717" s="140">
        <v>633</v>
      </c>
      <c r="H717" s="162" t="s">
        <v>654</v>
      </c>
      <c r="I717" s="141">
        <v>3000</v>
      </c>
      <c r="J717" s="141"/>
      <c r="K717" s="141">
        <f t="shared" si="113"/>
        <v>3000</v>
      </c>
      <c r="L717" s="76"/>
      <c r="M717" s="141">
        <v>0</v>
      </c>
      <c r="N717" s="141">
        <v>0</v>
      </c>
      <c r="O717" s="141">
        <f t="shared" si="114"/>
        <v>0</v>
      </c>
      <c r="P717" s="76"/>
      <c r="Q717" s="141">
        <f t="shared" si="111"/>
        <v>3000</v>
      </c>
      <c r="R717" s="141">
        <f t="shared" si="112"/>
        <v>0</v>
      </c>
      <c r="S717" s="141">
        <f t="shared" si="112"/>
        <v>3000</v>
      </c>
    </row>
    <row r="718" spans="1:19" x14ac:dyDescent="0.2">
      <c r="B718" s="75">
        <f t="shared" ref="B718:B779" si="116">B717+1</f>
        <v>70</v>
      </c>
      <c r="C718" s="14"/>
      <c r="D718" s="14"/>
      <c r="E718" s="14" t="s">
        <v>99</v>
      </c>
      <c r="F718" s="51"/>
      <c r="G718" s="14"/>
      <c r="H718" s="14" t="s">
        <v>100</v>
      </c>
      <c r="I718" s="48">
        <f>I726+I721+I720+I719</f>
        <v>174749</v>
      </c>
      <c r="J718" s="48">
        <f>J726+J721+J720+J719</f>
        <v>0</v>
      </c>
      <c r="K718" s="48">
        <f t="shared" si="113"/>
        <v>174749</v>
      </c>
      <c r="L718" s="123"/>
      <c r="M718" s="48">
        <f>M726+M721+M720+M719</f>
        <v>0</v>
      </c>
      <c r="N718" s="48">
        <f>N726+N721+N720+N719</f>
        <v>0</v>
      </c>
      <c r="O718" s="48">
        <f t="shared" si="114"/>
        <v>0</v>
      </c>
      <c r="P718" s="123"/>
      <c r="Q718" s="48">
        <f t="shared" si="111"/>
        <v>174749</v>
      </c>
      <c r="R718" s="48">
        <f t="shared" si="112"/>
        <v>0</v>
      </c>
      <c r="S718" s="48">
        <f t="shared" si="112"/>
        <v>174749</v>
      </c>
    </row>
    <row r="719" spans="1:19" x14ac:dyDescent="0.2">
      <c r="B719" s="75">
        <f t="shared" si="116"/>
        <v>71</v>
      </c>
      <c r="C719" s="15"/>
      <c r="D719" s="15"/>
      <c r="E719" s="15"/>
      <c r="F719" s="52" t="s">
        <v>200</v>
      </c>
      <c r="G719" s="15">
        <v>610</v>
      </c>
      <c r="H719" s="15" t="s">
        <v>137</v>
      </c>
      <c r="I719" s="49">
        <v>89455</v>
      </c>
      <c r="J719" s="49"/>
      <c r="K719" s="49">
        <f t="shared" si="113"/>
        <v>89455</v>
      </c>
      <c r="L719" s="123"/>
      <c r="M719" s="49"/>
      <c r="N719" s="49"/>
      <c r="O719" s="49">
        <f t="shared" si="114"/>
        <v>0</v>
      </c>
      <c r="P719" s="123"/>
      <c r="Q719" s="49">
        <f t="shared" si="111"/>
        <v>89455</v>
      </c>
      <c r="R719" s="49">
        <f t="shared" si="112"/>
        <v>0</v>
      </c>
      <c r="S719" s="49">
        <f t="shared" si="112"/>
        <v>89455</v>
      </c>
    </row>
    <row r="720" spans="1:19" x14ac:dyDescent="0.2">
      <c r="B720" s="75">
        <f t="shared" si="116"/>
        <v>72</v>
      </c>
      <c r="C720" s="15"/>
      <c r="D720" s="15"/>
      <c r="E720" s="15"/>
      <c r="F720" s="52" t="s">
        <v>200</v>
      </c>
      <c r="G720" s="15">
        <v>620</v>
      </c>
      <c r="H720" s="15" t="s">
        <v>132</v>
      </c>
      <c r="I720" s="49">
        <v>33221</v>
      </c>
      <c r="J720" s="49"/>
      <c r="K720" s="49">
        <f t="shared" si="113"/>
        <v>33221</v>
      </c>
      <c r="L720" s="123"/>
      <c r="M720" s="49"/>
      <c r="N720" s="49"/>
      <c r="O720" s="49">
        <f t="shared" si="114"/>
        <v>0</v>
      </c>
      <c r="P720" s="123"/>
      <c r="Q720" s="49">
        <f t="shared" si="111"/>
        <v>33221</v>
      </c>
      <c r="R720" s="49">
        <f t="shared" si="112"/>
        <v>0</v>
      </c>
      <c r="S720" s="49">
        <f t="shared" si="112"/>
        <v>33221</v>
      </c>
    </row>
    <row r="721" spans="2:19" x14ac:dyDescent="0.2">
      <c r="B721" s="75">
        <f t="shared" si="116"/>
        <v>73</v>
      </c>
      <c r="C721" s="15"/>
      <c r="D721" s="15"/>
      <c r="E721" s="15"/>
      <c r="F721" s="52" t="s">
        <v>200</v>
      </c>
      <c r="G721" s="15">
        <v>630</v>
      </c>
      <c r="H721" s="15" t="s">
        <v>129</v>
      </c>
      <c r="I721" s="49">
        <f>I725+I724+I723+I722</f>
        <v>50613</v>
      </c>
      <c r="J721" s="49">
        <f>J725+J724+J723+J722</f>
        <v>0</v>
      </c>
      <c r="K721" s="49">
        <f t="shared" si="113"/>
        <v>50613</v>
      </c>
      <c r="L721" s="123"/>
      <c r="M721" s="49">
        <f>M725+M724+M723+M722</f>
        <v>0</v>
      </c>
      <c r="N721" s="49">
        <f>N725+N724+N723+N722</f>
        <v>0</v>
      </c>
      <c r="O721" s="49">
        <f t="shared" si="114"/>
        <v>0</v>
      </c>
      <c r="P721" s="123"/>
      <c r="Q721" s="49">
        <f t="shared" si="111"/>
        <v>50613</v>
      </c>
      <c r="R721" s="49">
        <f t="shared" si="112"/>
        <v>0</v>
      </c>
      <c r="S721" s="49">
        <f t="shared" si="112"/>
        <v>50613</v>
      </c>
    </row>
    <row r="722" spans="2:19" x14ac:dyDescent="0.2">
      <c r="B722" s="75">
        <f t="shared" si="116"/>
        <v>74</v>
      </c>
      <c r="C722" s="4"/>
      <c r="D722" s="4"/>
      <c r="E722" s="4"/>
      <c r="F722" s="53" t="s">
        <v>200</v>
      </c>
      <c r="G722" s="4">
        <v>632</v>
      </c>
      <c r="H722" s="4" t="s">
        <v>140</v>
      </c>
      <c r="I722" s="26">
        <v>37410</v>
      </c>
      <c r="J722" s="26"/>
      <c r="K722" s="26">
        <f t="shared" si="113"/>
        <v>37410</v>
      </c>
      <c r="L722" s="76"/>
      <c r="M722" s="26"/>
      <c r="N722" s="26"/>
      <c r="O722" s="26">
        <f t="shared" si="114"/>
        <v>0</v>
      </c>
      <c r="P722" s="76"/>
      <c r="Q722" s="26">
        <f t="shared" si="111"/>
        <v>37410</v>
      </c>
      <c r="R722" s="26">
        <f t="shared" ref="R722:S737" si="117">N722+J722</f>
        <v>0</v>
      </c>
      <c r="S722" s="26">
        <f t="shared" si="117"/>
        <v>37410</v>
      </c>
    </row>
    <row r="723" spans="2:19" x14ac:dyDescent="0.2">
      <c r="B723" s="75">
        <f t="shared" si="116"/>
        <v>75</v>
      </c>
      <c r="C723" s="4"/>
      <c r="D723" s="4"/>
      <c r="E723" s="4"/>
      <c r="F723" s="53" t="s">
        <v>200</v>
      </c>
      <c r="G723" s="4">
        <v>633</v>
      </c>
      <c r="H723" s="4" t="s">
        <v>133</v>
      </c>
      <c r="I723" s="26">
        <f>5943+1520</f>
        <v>7463</v>
      </c>
      <c r="J723" s="26"/>
      <c r="K723" s="26">
        <f t="shared" si="113"/>
        <v>7463</v>
      </c>
      <c r="L723" s="76"/>
      <c r="M723" s="26"/>
      <c r="N723" s="26"/>
      <c r="O723" s="26">
        <f t="shared" si="114"/>
        <v>0</v>
      </c>
      <c r="P723" s="76"/>
      <c r="Q723" s="26">
        <f t="shared" si="111"/>
        <v>7463</v>
      </c>
      <c r="R723" s="26">
        <f t="shared" si="117"/>
        <v>0</v>
      </c>
      <c r="S723" s="26">
        <f t="shared" si="117"/>
        <v>7463</v>
      </c>
    </row>
    <row r="724" spans="2:19" x14ac:dyDescent="0.2">
      <c r="B724" s="75">
        <f t="shared" si="116"/>
        <v>76</v>
      </c>
      <c r="C724" s="4"/>
      <c r="D724" s="4"/>
      <c r="E724" s="4"/>
      <c r="F724" s="53" t="s">
        <v>200</v>
      </c>
      <c r="G724" s="4">
        <v>635</v>
      </c>
      <c r="H724" s="4" t="s">
        <v>139</v>
      </c>
      <c r="I724" s="26">
        <v>2450</v>
      </c>
      <c r="J724" s="26"/>
      <c r="K724" s="26">
        <f t="shared" si="113"/>
        <v>2450</v>
      </c>
      <c r="L724" s="76"/>
      <c r="M724" s="26"/>
      <c r="N724" s="26"/>
      <c r="O724" s="26">
        <f t="shared" si="114"/>
        <v>0</v>
      </c>
      <c r="P724" s="76"/>
      <c r="Q724" s="26">
        <f t="shared" si="111"/>
        <v>2450</v>
      </c>
      <c r="R724" s="26">
        <f t="shared" si="117"/>
        <v>0</v>
      </c>
      <c r="S724" s="26">
        <f t="shared" si="117"/>
        <v>2450</v>
      </c>
    </row>
    <row r="725" spans="2:19" x14ac:dyDescent="0.2">
      <c r="B725" s="75">
        <f t="shared" si="116"/>
        <v>77</v>
      </c>
      <c r="C725" s="4"/>
      <c r="D725" s="4"/>
      <c r="E725" s="4"/>
      <c r="F725" s="53" t="s">
        <v>200</v>
      </c>
      <c r="G725" s="4">
        <v>637</v>
      </c>
      <c r="H725" s="4" t="s">
        <v>130</v>
      </c>
      <c r="I725" s="26">
        <v>3290</v>
      </c>
      <c r="J725" s="26"/>
      <c r="K725" s="26">
        <f t="shared" si="113"/>
        <v>3290</v>
      </c>
      <c r="L725" s="76"/>
      <c r="M725" s="26"/>
      <c r="N725" s="26"/>
      <c r="O725" s="26">
        <f t="shared" si="114"/>
        <v>0</v>
      </c>
      <c r="P725" s="76"/>
      <c r="Q725" s="26">
        <f t="shared" si="111"/>
        <v>3290</v>
      </c>
      <c r="R725" s="26">
        <f t="shared" si="117"/>
        <v>0</v>
      </c>
      <c r="S725" s="26">
        <f t="shared" si="117"/>
        <v>3290</v>
      </c>
    </row>
    <row r="726" spans="2:19" x14ac:dyDescent="0.2">
      <c r="B726" s="75">
        <f t="shared" si="116"/>
        <v>78</v>
      </c>
      <c r="C726" s="15"/>
      <c r="D726" s="15"/>
      <c r="E726" s="15"/>
      <c r="F726" s="52" t="s">
        <v>200</v>
      </c>
      <c r="G726" s="15">
        <v>640</v>
      </c>
      <c r="H726" s="15" t="s">
        <v>136</v>
      </c>
      <c r="I726" s="49">
        <v>1460</v>
      </c>
      <c r="J726" s="49"/>
      <c r="K726" s="49">
        <f t="shared" si="113"/>
        <v>1460</v>
      </c>
      <c r="L726" s="123"/>
      <c r="M726" s="49"/>
      <c r="N726" s="49"/>
      <c r="O726" s="49">
        <f t="shared" si="114"/>
        <v>0</v>
      </c>
      <c r="P726" s="123"/>
      <c r="Q726" s="49">
        <f t="shared" si="111"/>
        <v>1460</v>
      </c>
      <c r="R726" s="49">
        <f t="shared" si="117"/>
        <v>0</v>
      </c>
      <c r="S726" s="49">
        <f t="shared" si="117"/>
        <v>1460</v>
      </c>
    </row>
    <row r="727" spans="2:19" x14ac:dyDescent="0.2">
      <c r="B727" s="75">
        <f t="shared" si="116"/>
        <v>79</v>
      </c>
      <c r="C727" s="14"/>
      <c r="D727" s="14"/>
      <c r="E727" s="14" t="s">
        <v>102</v>
      </c>
      <c r="F727" s="51"/>
      <c r="G727" s="14"/>
      <c r="H727" s="14" t="s">
        <v>103</v>
      </c>
      <c r="I727" s="48">
        <f>I735+I730+I729+I728</f>
        <v>167203</v>
      </c>
      <c r="J727" s="48">
        <f>J735+J730+J729+J728</f>
        <v>0</v>
      </c>
      <c r="K727" s="48">
        <f t="shared" si="113"/>
        <v>167203</v>
      </c>
      <c r="L727" s="123"/>
      <c r="M727" s="48">
        <f>M735+M730+M729+M728</f>
        <v>0</v>
      </c>
      <c r="N727" s="48">
        <f>N735+N730+N729+N728</f>
        <v>0</v>
      </c>
      <c r="O727" s="48">
        <f t="shared" si="114"/>
        <v>0</v>
      </c>
      <c r="P727" s="123"/>
      <c r="Q727" s="48">
        <f t="shared" si="111"/>
        <v>167203</v>
      </c>
      <c r="R727" s="48">
        <f t="shared" si="117"/>
        <v>0</v>
      </c>
      <c r="S727" s="48">
        <f t="shared" si="117"/>
        <v>167203</v>
      </c>
    </row>
    <row r="728" spans="2:19" x14ac:dyDescent="0.2">
      <c r="B728" s="75">
        <f t="shared" si="116"/>
        <v>80</v>
      </c>
      <c r="C728" s="15"/>
      <c r="D728" s="15"/>
      <c r="E728" s="15"/>
      <c r="F728" s="52" t="s">
        <v>200</v>
      </c>
      <c r="G728" s="15">
        <v>610</v>
      </c>
      <c r="H728" s="15" t="s">
        <v>137</v>
      </c>
      <c r="I728" s="49">
        <v>90396</v>
      </c>
      <c r="J728" s="49"/>
      <c r="K728" s="49">
        <f t="shared" si="113"/>
        <v>90396</v>
      </c>
      <c r="L728" s="123"/>
      <c r="M728" s="49"/>
      <c r="N728" s="49"/>
      <c r="O728" s="49">
        <f t="shared" si="114"/>
        <v>0</v>
      </c>
      <c r="P728" s="123"/>
      <c r="Q728" s="49">
        <f t="shared" si="111"/>
        <v>90396</v>
      </c>
      <c r="R728" s="49">
        <f t="shared" si="117"/>
        <v>0</v>
      </c>
      <c r="S728" s="49">
        <f t="shared" si="117"/>
        <v>90396</v>
      </c>
    </row>
    <row r="729" spans="2:19" x14ac:dyDescent="0.2">
      <c r="B729" s="75">
        <f t="shared" si="116"/>
        <v>81</v>
      </c>
      <c r="C729" s="15"/>
      <c r="D729" s="15"/>
      <c r="E729" s="15"/>
      <c r="F729" s="52" t="s">
        <v>200</v>
      </c>
      <c r="G729" s="15">
        <v>620</v>
      </c>
      <c r="H729" s="15" t="s">
        <v>132</v>
      </c>
      <c r="I729" s="49">
        <v>34433</v>
      </c>
      <c r="J729" s="49"/>
      <c r="K729" s="49">
        <f t="shared" si="113"/>
        <v>34433</v>
      </c>
      <c r="L729" s="123"/>
      <c r="M729" s="49"/>
      <c r="N729" s="49"/>
      <c r="O729" s="49">
        <f t="shared" si="114"/>
        <v>0</v>
      </c>
      <c r="P729" s="123"/>
      <c r="Q729" s="49">
        <f t="shared" si="111"/>
        <v>34433</v>
      </c>
      <c r="R729" s="49">
        <f t="shared" si="117"/>
        <v>0</v>
      </c>
      <c r="S729" s="49">
        <f t="shared" si="117"/>
        <v>34433</v>
      </c>
    </row>
    <row r="730" spans="2:19" x14ac:dyDescent="0.2">
      <c r="B730" s="75">
        <f t="shared" si="116"/>
        <v>82</v>
      </c>
      <c r="C730" s="15"/>
      <c r="D730" s="15"/>
      <c r="E730" s="15"/>
      <c r="F730" s="52" t="s">
        <v>200</v>
      </c>
      <c r="G730" s="15">
        <v>630</v>
      </c>
      <c r="H730" s="15" t="s">
        <v>129</v>
      </c>
      <c r="I730" s="49">
        <f>I734+I733+I732+I731</f>
        <v>39994</v>
      </c>
      <c r="J730" s="49">
        <f>J734+J733+J732+J731</f>
        <v>0</v>
      </c>
      <c r="K730" s="49">
        <f t="shared" si="113"/>
        <v>39994</v>
      </c>
      <c r="L730" s="123"/>
      <c r="M730" s="49">
        <v>0</v>
      </c>
      <c r="N730" s="49"/>
      <c r="O730" s="49">
        <f t="shared" si="114"/>
        <v>0</v>
      </c>
      <c r="P730" s="123"/>
      <c r="Q730" s="49">
        <f t="shared" si="111"/>
        <v>39994</v>
      </c>
      <c r="R730" s="49">
        <f t="shared" si="117"/>
        <v>0</v>
      </c>
      <c r="S730" s="49">
        <f t="shared" si="117"/>
        <v>39994</v>
      </c>
    </row>
    <row r="731" spans="2:19" x14ac:dyDescent="0.2">
      <c r="B731" s="75">
        <f t="shared" si="116"/>
        <v>83</v>
      </c>
      <c r="C731" s="4"/>
      <c r="D731" s="4"/>
      <c r="E731" s="4"/>
      <c r="F731" s="53" t="s">
        <v>200</v>
      </c>
      <c r="G731" s="4">
        <v>632</v>
      </c>
      <c r="H731" s="4" t="s">
        <v>140</v>
      </c>
      <c r="I731" s="26">
        <v>26980</v>
      </c>
      <c r="J731" s="26"/>
      <c r="K731" s="26">
        <f t="shared" si="113"/>
        <v>26980</v>
      </c>
      <c r="L731" s="76"/>
      <c r="M731" s="26"/>
      <c r="N731" s="26"/>
      <c r="O731" s="26">
        <f t="shared" si="114"/>
        <v>0</v>
      </c>
      <c r="P731" s="76"/>
      <c r="Q731" s="26">
        <f t="shared" si="111"/>
        <v>26980</v>
      </c>
      <c r="R731" s="26">
        <f t="shared" si="117"/>
        <v>0</v>
      </c>
      <c r="S731" s="26">
        <f t="shared" si="117"/>
        <v>26980</v>
      </c>
    </row>
    <row r="732" spans="2:19" x14ac:dyDescent="0.2">
      <c r="B732" s="75">
        <f t="shared" si="116"/>
        <v>84</v>
      </c>
      <c r="C732" s="4"/>
      <c r="D732" s="4"/>
      <c r="E732" s="4"/>
      <c r="F732" s="53" t="s">
        <v>200</v>
      </c>
      <c r="G732" s="4">
        <v>633</v>
      </c>
      <c r="H732" s="4" t="s">
        <v>133</v>
      </c>
      <c r="I732" s="26">
        <f>7350+1424</f>
        <v>8774</v>
      </c>
      <c r="J732" s="26"/>
      <c r="K732" s="26">
        <f t="shared" si="113"/>
        <v>8774</v>
      </c>
      <c r="L732" s="76"/>
      <c r="M732" s="26"/>
      <c r="N732" s="26"/>
      <c r="O732" s="26">
        <f t="shared" si="114"/>
        <v>0</v>
      </c>
      <c r="P732" s="76"/>
      <c r="Q732" s="26">
        <f t="shared" si="111"/>
        <v>8774</v>
      </c>
      <c r="R732" s="26">
        <f t="shared" si="117"/>
        <v>0</v>
      </c>
      <c r="S732" s="26">
        <f t="shared" si="117"/>
        <v>8774</v>
      </c>
    </row>
    <row r="733" spans="2:19" x14ac:dyDescent="0.2">
      <c r="B733" s="75">
        <f t="shared" si="116"/>
        <v>85</v>
      </c>
      <c r="C733" s="4"/>
      <c r="D733" s="4"/>
      <c r="E733" s="4"/>
      <c r="F733" s="53" t="s">
        <v>200</v>
      </c>
      <c r="G733" s="4">
        <v>635</v>
      </c>
      <c r="H733" s="4" t="s">
        <v>139</v>
      </c>
      <c r="I733" s="26">
        <v>1100</v>
      </c>
      <c r="J733" s="26"/>
      <c r="K733" s="26">
        <f t="shared" si="113"/>
        <v>1100</v>
      </c>
      <c r="L733" s="76"/>
      <c r="M733" s="26"/>
      <c r="N733" s="26"/>
      <c r="O733" s="26">
        <f t="shared" si="114"/>
        <v>0</v>
      </c>
      <c r="P733" s="76"/>
      <c r="Q733" s="26">
        <f t="shared" si="111"/>
        <v>1100</v>
      </c>
      <c r="R733" s="26">
        <f t="shared" si="117"/>
        <v>0</v>
      </c>
      <c r="S733" s="26">
        <f t="shared" si="117"/>
        <v>1100</v>
      </c>
    </row>
    <row r="734" spans="2:19" x14ac:dyDescent="0.2">
      <c r="B734" s="75">
        <f t="shared" si="116"/>
        <v>86</v>
      </c>
      <c r="C734" s="4"/>
      <c r="D734" s="4"/>
      <c r="E734" s="4"/>
      <c r="F734" s="53" t="s">
        <v>200</v>
      </c>
      <c r="G734" s="4">
        <v>637</v>
      </c>
      <c r="H734" s="4" t="s">
        <v>130</v>
      </c>
      <c r="I734" s="26">
        <v>3140</v>
      </c>
      <c r="J734" s="26"/>
      <c r="K734" s="26">
        <f t="shared" si="113"/>
        <v>3140</v>
      </c>
      <c r="L734" s="76"/>
      <c r="M734" s="26"/>
      <c r="N734" s="26"/>
      <c r="O734" s="26">
        <f t="shared" si="114"/>
        <v>0</v>
      </c>
      <c r="P734" s="76"/>
      <c r="Q734" s="26">
        <f t="shared" si="111"/>
        <v>3140</v>
      </c>
      <c r="R734" s="26">
        <f t="shared" si="117"/>
        <v>0</v>
      </c>
      <c r="S734" s="26">
        <f t="shared" si="117"/>
        <v>3140</v>
      </c>
    </row>
    <row r="735" spans="2:19" x14ac:dyDescent="0.2">
      <c r="B735" s="75">
        <f t="shared" si="116"/>
        <v>87</v>
      </c>
      <c r="C735" s="15"/>
      <c r="D735" s="15"/>
      <c r="E735" s="15"/>
      <c r="F735" s="52" t="s">
        <v>200</v>
      </c>
      <c r="G735" s="15">
        <v>640</v>
      </c>
      <c r="H735" s="15" t="s">
        <v>136</v>
      </c>
      <c r="I735" s="49">
        <v>2380</v>
      </c>
      <c r="J735" s="49"/>
      <c r="K735" s="49">
        <f t="shared" si="113"/>
        <v>2380</v>
      </c>
      <c r="L735" s="123"/>
      <c r="M735" s="49"/>
      <c r="N735" s="49"/>
      <c r="O735" s="49">
        <f t="shared" si="114"/>
        <v>0</v>
      </c>
      <c r="P735" s="123"/>
      <c r="Q735" s="49">
        <f t="shared" si="111"/>
        <v>2380</v>
      </c>
      <c r="R735" s="49">
        <f t="shared" si="117"/>
        <v>0</v>
      </c>
      <c r="S735" s="49">
        <f t="shared" si="117"/>
        <v>2380</v>
      </c>
    </row>
    <row r="736" spans="2:19" x14ac:dyDescent="0.2">
      <c r="B736" s="75">
        <f t="shared" si="116"/>
        <v>88</v>
      </c>
      <c r="C736" s="14"/>
      <c r="D736" s="14"/>
      <c r="E736" s="14" t="s">
        <v>87</v>
      </c>
      <c r="F736" s="51"/>
      <c r="G736" s="14"/>
      <c r="H736" s="14" t="s">
        <v>88</v>
      </c>
      <c r="I736" s="48">
        <f>I745+I744+I739+I738+I737</f>
        <v>249476</v>
      </c>
      <c r="J736" s="48">
        <f>J745+J744+J739+J738+J737</f>
        <v>0</v>
      </c>
      <c r="K736" s="48">
        <f t="shared" si="113"/>
        <v>249476</v>
      </c>
      <c r="L736" s="123"/>
      <c r="M736" s="48">
        <f>M745+M744+M739+M738+M737</f>
        <v>15000</v>
      </c>
      <c r="N736" s="48">
        <f>N745+N744+N739+N738+N737</f>
        <v>0</v>
      </c>
      <c r="O736" s="48">
        <f t="shared" si="114"/>
        <v>15000</v>
      </c>
      <c r="P736" s="123"/>
      <c r="Q736" s="48">
        <f t="shared" si="111"/>
        <v>264476</v>
      </c>
      <c r="R736" s="48">
        <f t="shared" si="117"/>
        <v>0</v>
      </c>
      <c r="S736" s="48">
        <f t="shared" si="117"/>
        <v>264476</v>
      </c>
    </row>
    <row r="737" spans="2:19" x14ac:dyDescent="0.2">
      <c r="B737" s="75">
        <f t="shared" si="116"/>
        <v>89</v>
      </c>
      <c r="C737" s="15"/>
      <c r="D737" s="15"/>
      <c r="E737" s="15"/>
      <c r="F737" s="52" t="s">
        <v>200</v>
      </c>
      <c r="G737" s="15">
        <v>610</v>
      </c>
      <c r="H737" s="15" t="s">
        <v>137</v>
      </c>
      <c r="I737" s="49">
        <v>136506</v>
      </c>
      <c r="J737" s="49"/>
      <c r="K737" s="49">
        <f t="shared" si="113"/>
        <v>136506</v>
      </c>
      <c r="L737" s="123"/>
      <c r="M737" s="49"/>
      <c r="N737" s="49"/>
      <c r="O737" s="49">
        <f t="shared" si="114"/>
        <v>0</v>
      </c>
      <c r="P737" s="123"/>
      <c r="Q737" s="49">
        <f t="shared" si="111"/>
        <v>136506</v>
      </c>
      <c r="R737" s="49">
        <f t="shared" si="117"/>
        <v>0</v>
      </c>
      <c r="S737" s="49">
        <f t="shared" si="117"/>
        <v>136506</v>
      </c>
    </row>
    <row r="738" spans="2:19" x14ac:dyDescent="0.2">
      <c r="B738" s="75">
        <f t="shared" si="116"/>
        <v>90</v>
      </c>
      <c r="C738" s="15"/>
      <c r="D738" s="15"/>
      <c r="E738" s="15"/>
      <c r="F738" s="52" t="s">
        <v>200</v>
      </c>
      <c r="G738" s="15">
        <v>620</v>
      </c>
      <c r="H738" s="15" t="s">
        <v>132</v>
      </c>
      <c r="I738" s="49">
        <v>51530</v>
      </c>
      <c r="J738" s="49"/>
      <c r="K738" s="49">
        <f t="shared" si="113"/>
        <v>51530</v>
      </c>
      <c r="L738" s="123"/>
      <c r="M738" s="49"/>
      <c r="N738" s="49"/>
      <c r="O738" s="49">
        <f t="shared" si="114"/>
        <v>0</v>
      </c>
      <c r="P738" s="123"/>
      <c r="Q738" s="49">
        <f t="shared" ref="Q738:Q769" si="118">M738+I738</f>
        <v>51530</v>
      </c>
      <c r="R738" s="49">
        <f t="shared" ref="R738:S753" si="119">N738+J738</f>
        <v>0</v>
      </c>
      <c r="S738" s="49">
        <f t="shared" si="119"/>
        <v>51530</v>
      </c>
    </row>
    <row r="739" spans="2:19" x14ac:dyDescent="0.2">
      <c r="B739" s="75">
        <f t="shared" si="116"/>
        <v>91</v>
      </c>
      <c r="C739" s="15"/>
      <c r="D739" s="15"/>
      <c r="E739" s="15"/>
      <c r="F739" s="52" t="s">
        <v>200</v>
      </c>
      <c r="G739" s="15">
        <v>630</v>
      </c>
      <c r="H739" s="15" t="s">
        <v>129</v>
      </c>
      <c r="I739" s="49">
        <f>I743+I742+I741+I740</f>
        <v>59088</v>
      </c>
      <c r="J739" s="49">
        <f>J743+J742+J741+J740</f>
        <v>0</v>
      </c>
      <c r="K739" s="49">
        <f t="shared" si="113"/>
        <v>59088</v>
      </c>
      <c r="L739" s="123"/>
      <c r="M739" s="49">
        <f>M743+M742+M741+M740</f>
        <v>0</v>
      </c>
      <c r="N739" s="49">
        <f>N743+N742+N741+N740</f>
        <v>0</v>
      </c>
      <c r="O739" s="49">
        <f t="shared" si="114"/>
        <v>0</v>
      </c>
      <c r="P739" s="123"/>
      <c r="Q739" s="49">
        <f t="shared" si="118"/>
        <v>59088</v>
      </c>
      <c r="R739" s="49">
        <f t="shared" si="119"/>
        <v>0</v>
      </c>
      <c r="S739" s="49">
        <f t="shared" si="119"/>
        <v>59088</v>
      </c>
    </row>
    <row r="740" spans="2:19" x14ac:dyDescent="0.2">
      <c r="B740" s="75">
        <f t="shared" si="116"/>
        <v>92</v>
      </c>
      <c r="C740" s="4"/>
      <c r="D740" s="4"/>
      <c r="E740" s="4"/>
      <c r="F740" s="53" t="s">
        <v>200</v>
      </c>
      <c r="G740" s="4">
        <v>632</v>
      </c>
      <c r="H740" s="4" t="s">
        <v>140</v>
      </c>
      <c r="I740" s="26">
        <v>41760</v>
      </c>
      <c r="J740" s="26"/>
      <c r="K740" s="26">
        <f t="shared" si="113"/>
        <v>41760</v>
      </c>
      <c r="L740" s="76"/>
      <c r="M740" s="26"/>
      <c r="N740" s="26"/>
      <c r="O740" s="26">
        <f t="shared" si="114"/>
        <v>0</v>
      </c>
      <c r="P740" s="76"/>
      <c r="Q740" s="26">
        <f t="shared" si="118"/>
        <v>41760</v>
      </c>
      <c r="R740" s="26">
        <f t="shared" si="119"/>
        <v>0</v>
      </c>
      <c r="S740" s="26">
        <f t="shared" si="119"/>
        <v>41760</v>
      </c>
    </row>
    <row r="741" spans="2:19" x14ac:dyDescent="0.2">
      <c r="B741" s="75">
        <f t="shared" si="116"/>
        <v>93</v>
      </c>
      <c r="C741" s="4"/>
      <c r="D741" s="4"/>
      <c r="E741" s="4"/>
      <c r="F741" s="53" t="s">
        <v>200</v>
      </c>
      <c r="G741" s="4">
        <v>633</v>
      </c>
      <c r="H741" s="4" t="s">
        <v>133</v>
      </c>
      <c r="I741" s="26">
        <f>8582+2096</f>
        <v>10678</v>
      </c>
      <c r="J741" s="26"/>
      <c r="K741" s="26">
        <f t="shared" si="113"/>
        <v>10678</v>
      </c>
      <c r="L741" s="76"/>
      <c r="M741" s="26"/>
      <c r="N741" s="26"/>
      <c r="O741" s="26">
        <f t="shared" si="114"/>
        <v>0</v>
      </c>
      <c r="P741" s="76"/>
      <c r="Q741" s="26">
        <f t="shared" si="118"/>
        <v>10678</v>
      </c>
      <c r="R741" s="26">
        <f t="shared" si="119"/>
        <v>0</v>
      </c>
      <c r="S741" s="26">
        <f t="shared" si="119"/>
        <v>10678</v>
      </c>
    </row>
    <row r="742" spans="2:19" x14ac:dyDescent="0.2">
      <c r="B742" s="75">
        <f t="shared" si="116"/>
        <v>94</v>
      </c>
      <c r="C742" s="4"/>
      <c r="D742" s="4"/>
      <c r="E742" s="4"/>
      <c r="F742" s="53" t="s">
        <v>200</v>
      </c>
      <c r="G742" s="4">
        <v>635</v>
      </c>
      <c r="H742" s="4" t="s">
        <v>139</v>
      </c>
      <c r="I742" s="26">
        <v>2550</v>
      </c>
      <c r="J742" s="26"/>
      <c r="K742" s="26">
        <f t="shared" si="113"/>
        <v>2550</v>
      </c>
      <c r="L742" s="76"/>
      <c r="M742" s="26"/>
      <c r="N742" s="26"/>
      <c r="O742" s="26">
        <f t="shared" si="114"/>
        <v>0</v>
      </c>
      <c r="P742" s="76"/>
      <c r="Q742" s="26">
        <f t="shared" si="118"/>
        <v>2550</v>
      </c>
      <c r="R742" s="26">
        <f t="shared" si="119"/>
        <v>0</v>
      </c>
      <c r="S742" s="26">
        <f t="shared" si="119"/>
        <v>2550</v>
      </c>
    </row>
    <row r="743" spans="2:19" x14ac:dyDescent="0.2">
      <c r="B743" s="75">
        <f t="shared" si="116"/>
        <v>95</v>
      </c>
      <c r="C743" s="4"/>
      <c r="D743" s="4"/>
      <c r="E743" s="4"/>
      <c r="F743" s="53" t="s">
        <v>200</v>
      </c>
      <c r="G743" s="4">
        <v>637</v>
      </c>
      <c r="H743" s="4" t="s">
        <v>130</v>
      </c>
      <c r="I743" s="26">
        <v>4100</v>
      </c>
      <c r="J743" s="26"/>
      <c r="K743" s="26">
        <f t="shared" si="113"/>
        <v>4100</v>
      </c>
      <c r="L743" s="76"/>
      <c r="M743" s="26"/>
      <c r="N743" s="26"/>
      <c r="O743" s="26">
        <f t="shared" si="114"/>
        <v>0</v>
      </c>
      <c r="P743" s="76"/>
      <c r="Q743" s="26">
        <f t="shared" si="118"/>
        <v>4100</v>
      </c>
      <c r="R743" s="26">
        <f t="shared" si="119"/>
        <v>0</v>
      </c>
      <c r="S743" s="26">
        <f t="shared" si="119"/>
        <v>4100</v>
      </c>
    </row>
    <row r="744" spans="2:19" x14ac:dyDescent="0.2">
      <c r="B744" s="75">
        <f t="shared" si="116"/>
        <v>96</v>
      </c>
      <c r="C744" s="15"/>
      <c r="D744" s="15"/>
      <c r="E744" s="15"/>
      <c r="F744" s="52" t="s">
        <v>200</v>
      </c>
      <c r="G744" s="15">
        <v>640</v>
      </c>
      <c r="H744" s="15" t="s">
        <v>136</v>
      </c>
      <c r="I744" s="49">
        <v>2352</v>
      </c>
      <c r="J744" s="49"/>
      <c r="K744" s="49">
        <f t="shared" si="113"/>
        <v>2352</v>
      </c>
      <c r="L744" s="123"/>
      <c r="M744" s="49"/>
      <c r="N744" s="49"/>
      <c r="O744" s="49">
        <f t="shared" si="114"/>
        <v>0</v>
      </c>
      <c r="P744" s="123"/>
      <c r="Q744" s="49">
        <f t="shared" si="118"/>
        <v>2352</v>
      </c>
      <c r="R744" s="49">
        <f t="shared" si="119"/>
        <v>0</v>
      </c>
      <c r="S744" s="49">
        <f t="shared" si="119"/>
        <v>2352</v>
      </c>
    </row>
    <row r="745" spans="2:19" x14ac:dyDescent="0.2">
      <c r="B745" s="75">
        <f t="shared" si="116"/>
        <v>97</v>
      </c>
      <c r="C745" s="15"/>
      <c r="D745" s="15"/>
      <c r="E745" s="15"/>
      <c r="F745" s="52" t="s">
        <v>200</v>
      </c>
      <c r="G745" s="15">
        <v>710</v>
      </c>
      <c r="H745" s="15" t="s">
        <v>185</v>
      </c>
      <c r="I745" s="49">
        <f>I746</f>
        <v>0</v>
      </c>
      <c r="J745" s="49">
        <f>J746</f>
        <v>0</v>
      </c>
      <c r="K745" s="49">
        <f t="shared" si="113"/>
        <v>0</v>
      </c>
      <c r="L745" s="123"/>
      <c r="M745" s="49">
        <f>M746</f>
        <v>15000</v>
      </c>
      <c r="N745" s="49">
        <f>N746</f>
        <v>0</v>
      </c>
      <c r="O745" s="49">
        <f t="shared" si="114"/>
        <v>15000</v>
      </c>
      <c r="P745" s="123"/>
      <c r="Q745" s="49">
        <f t="shared" si="118"/>
        <v>15000</v>
      </c>
      <c r="R745" s="49">
        <f t="shared" si="119"/>
        <v>0</v>
      </c>
      <c r="S745" s="49">
        <f t="shared" si="119"/>
        <v>15000</v>
      </c>
    </row>
    <row r="746" spans="2:19" x14ac:dyDescent="0.2">
      <c r="B746" s="75">
        <f t="shared" si="116"/>
        <v>98</v>
      </c>
      <c r="C746" s="4"/>
      <c r="D746" s="4"/>
      <c r="E746" s="4"/>
      <c r="F746" s="86" t="s">
        <v>200</v>
      </c>
      <c r="G746" s="87">
        <v>717</v>
      </c>
      <c r="H746" s="87" t="s">
        <v>195</v>
      </c>
      <c r="I746" s="88"/>
      <c r="J746" s="88"/>
      <c r="K746" s="88">
        <f t="shared" si="113"/>
        <v>0</v>
      </c>
      <c r="L746" s="76"/>
      <c r="M746" s="88">
        <f>M747</f>
        <v>15000</v>
      </c>
      <c r="N746" s="88">
        <f>N747</f>
        <v>0</v>
      </c>
      <c r="O746" s="88">
        <f t="shared" si="114"/>
        <v>15000</v>
      </c>
      <c r="P746" s="76"/>
      <c r="Q746" s="88">
        <f t="shared" si="118"/>
        <v>15000</v>
      </c>
      <c r="R746" s="88">
        <f t="shared" si="119"/>
        <v>0</v>
      </c>
      <c r="S746" s="88">
        <f t="shared" si="119"/>
        <v>15000</v>
      </c>
    </row>
    <row r="747" spans="2:19" x14ac:dyDescent="0.2">
      <c r="B747" s="75">
        <f t="shared" si="116"/>
        <v>99</v>
      </c>
      <c r="C747" s="4"/>
      <c r="D747" s="4"/>
      <c r="E747" s="4"/>
      <c r="F747" s="64"/>
      <c r="G747" s="60"/>
      <c r="H747" s="60" t="s">
        <v>511</v>
      </c>
      <c r="I747" s="58"/>
      <c r="J747" s="58"/>
      <c r="K747" s="58">
        <f t="shared" si="113"/>
        <v>0</v>
      </c>
      <c r="L747" s="76"/>
      <c r="M747" s="58">
        <v>15000</v>
      </c>
      <c r="N747" s="58"/>
      <c r="O747" s="58">
        <f t="shared" si="114"/>
        <v>15000</v>
      </c>
      <c r="P747" s="76"/>
      <c r="Q747" s="26">
        <f t="shared" si="118"/>
        <v>15000</v>
      </c>
      <c r="R747" s="26">
        <f t="shared" si="119"/>
        <v>0</v>
      </c>
      <c r="S747" s="26">
        <f t="shared" si="119"/>
        <v>15000</v>
      </c>
    </row>
    <row r="748" spans="2:19" x14ac:dyDescent="0.2">
      <c r="B748" s="75">
        <f t="shared" si="116"/>
        <v>100</v>
      </c>
      <c r="C748" s="14"/>
      <c r="D748" s="14"/>
      <c r="E748" s="14" t="s">
        <v>84</v>
      </c>
      <c r="F748" s="51"/>
      <c r="G748" s="14"/>
      <c r="H748" s="14" t="s">
        <v>85</v>
      </c>
      <c r="I748" s="48">
        <f>I756+I751+I750+I749</f>
        <v>260525</v>
      </c>
      <c r="J748" s="48">
        <f>J756+J751+J750+J749</f>
        <v>0</v>
      </c>
      <c r="K748" s="48">
        <f t="shared" si="113"/>
        <v>260525</v>
      </c>
      <c r="L748" s="123"/>
      <c r="M748" s="48">
        <f>M756+M751+M750+M749+M757</f>
        <v>7000</v>
      </c>
      <c r="N748" s="48">
        <f>N756+N751+N750+N749+N757</f>
        <v>0</v>
      </c>
      <c r="O748" s="48">
        <f t="shared" si="114"/>
        <v>7000</v>
      </c>
      <c r="P748" s="123"/>
      <c r="Q748" s="48">
        <f t="shared" si="118"/>
        <v>267525</v>
      </c>
      <c r="R748" s="48">
        <f t="shared" si="119"/>
        <v>0</v>
      </c>
      <c r="S748" s="48">
        <f t="shared" si="119"/>
        <v>267525</v>
      </c>
    </row>
    <row r="749" spans="2:19" x14ac:dyDescent="0.2">
      <c r="B749" s="75">
        <f t="shared" si="116"/>
        <v>101</v>
      </c>
      <c r="C749" s="15"/>
      <c r="D749" s="15"/>
      <c r="E749" s="15"/>
      <c r="F749" s="52" t="s">
        <v>200</v>
      </c>
      <c r="G749" s="15">
        <v>610</v>
      </c>
      <c r="H749" s="15" t="s">
        <v>137</v>
      </c>
      <c r="I749" s="49">
        <v>134310</v>
      </c>
      <c r="J749" s="49"/>
      <c r="K749" s="49">
        <f t="shared" si="113"/>
        <v>134310</v>
      </c>
      <c r="L749" s="123"/>
      <c r="M749" s="49"/>
      <c r="N749" s="49"/>
      <c r="O749" s="49">
        <f t="shared" si="114"/>
        <v>0</v>
      </c>
      <c r="P749" s="123"/>
      <c r="Q749" s="49">
        <f t="shared" si="118"/>
        <v>134310</v>
      </c>
      <c r="R749" s="49">
        <f t="shared" si="119"/>
        <v>0</v>
      </c>
      <c r="S749" s="49">
        <f t="shared" si="119"/>
        <v>134310</v>
      </c>
    </row>
    <row r="750" spans="2:19" x14ac:dyDescent="0.2">
      <c r="B750" s="75">
        <f t="shared" si="116"/>
        <v>102</v>
      </c>
      <c r="C750" s="15"/>
      <c r="D750" s="15"/>
      <c r="E750" s="15"/>
      <c r="F750" s="52" t="s">
        <v>200</v>
      </c>
      <c r="G750" s="15">
        <v>620</v>
      </c>
      <c r="H750" s="15" t="s">
        <v>132</v>
      </c>
      <c r="I750" s="49">
        <v>51588</v>
      </c>
      <c r="J750" s="49"/>
      <c r="K750" s="49">
        <f t="shared" si="113"/>
        <v>51588</v>
      </c>
      <c r="L750" s="123"/>
      <c r="M750" s="49"/>
      <c r="N750" s="49"/>
      <c r="O750" s="49">
        <f t="shared" si="114"/>
        <v>0</v>
      </c>
      <c r="P750" s="123"/>
      <c r="Q750" s="49">
        <f t="shared" si="118"/>
        <v>51588</v>
      </c>
      <c r="R750" s="49">
        <f t="shared" si="119"/>
        <v>0</v>
      </c>
      <c r="S750" s="49">
        <f t="shared" si="119"/>
        <v>51588</v>
      </c>
    </row>
    <row r="751" spans="2:19" x14ac:dyDescent="0.2">
      <c r="B751" s="75">
        <f t="shared" si="116"/>
        <v>103</v>
      </c>
      <c r="C751" s="15"/>
      <c r="D751" s="15"/>
      <c r="E751" s="15"/>
      <c r="F751" s="52" t="s">
        <v>200</v>
      </c>
      <c r="G751" s="15">
        <v>630</v>
      </c>
      <c r="H751" s="15" t="s">
        <v>129</v>
      </c>
      <c r="I751" s="49">
        <f>I755+I754+I753+I752</f>
        <v>69923</v>
      </c>
      <c r="J751" s="49">
        <f>J755+J754+J753+J752</f>
        <v>0</v>
      </c>
      <c r="K751" s="49">
        <f t="shared" si="113"/>
        <v>69923</v>
      </c>
      <c r="L751" s="123"/>
      <c r="M751" s="49">
        <v>0</v>
      </c>
      <c r="N751" s="49"/>
      <c r="O751" s="49">
        <f t="shared" si="114"/>
        <v>0</v>
      </c>
      <c r="P751" s="123"/>
      <c r="Q751" s="49">
        <f t="shared" si="118"/>
        <v>69923</v>
      </c>
      <c r="R751" s="49">
        <f t="shared" si="119"/>
        <v>0</v>
      </c>
      <c r="S751" s="49">
        <f t="shared" si="119"/>
        <v>69923</v>
      </c>
    </row>
    <row r="752" spans="2:19" x14ac:dyDescent="0.2">
      <c r="B752" s="75">
        <f t="shared" si="116"/>
        <v>104</v>
      </c>
      <c r="C752" s="4"/>
      <c r="D752" s="4"/>
      <c r="E752" s="4"/>
      <c r="F752" s="53" t="s">
        <v>200</v>
      </c>
      <c r="G752" s="4">
        <v>632</v>
      </c>
      <c r="H752" s="4" t="s">
        <v>140</v>
      </c>
      <c r="I752" s="26">
        <v>53910</v>
      </c>
      <c r="J752" s="26"/>
      <c r="K752" s="26">
        <f t="shared" si="113"/>
        <v>53910</v>
      </c>
      <c r="L752" s="76"/>
      <c r="M752" s="26"/>
      <c r="N752" s="26"/>
      <c r="O752" s="26">
        <f t="shared" si="114"/>
        <v>0</v>
      </c>
      <c r="P752" s="76"/>
      <c r="Q752" s="26">
        <f t="shared" si="118"/>
        <v>53910</v>
      </c>
      <c r="R752" s="26">
        <f t="shared" si="119"/>
        <v>0</v>
      </c>
      <c r="S752" s="26">
        <f t="shared" si="119"/>
        <v>53910</v>
      </c>
    </row>
    <row r="753" spans="2:19" x14ac:dyDescent="0.2">
      <c r="B753" s="75">
        <f t="shared" si="116"/>
        <v>105</v>
      </c>
      <c r="C753" s="4"/>
      <c r="D753" s="4"/>
      <c r="E753" s="4"/>
      <c r="F753" s="53" t="s">
        <v>200</v>
      </c>
      <c r="G753" s="4">
        <v>633</v>
      </c>
      <c r="H753" s="4" t="s">
        <v>133</v>
      </c>
      <c r="I753" s="26">
        <f>8043+2240</f>
        <v>10283</v>
      </c>
      <c r="J753" s="26"/>
      <c r="K753" s="26">
        <f t="shared" si="113"/>
        <v>10283</v>
      </c>
      <c r="L753" s="76"/>
      <c r="M753" s="26"/>
      <c r="N753" s="26"/>
      <c r="O753" s="26">
        <f t="shared" si="114"/>
        <v>0</v>
      </c>
      <c r="P753" s="76"/>
      <c r="Q753" s="26">
        <f t="shared" si="118"/>
        <v>10283</v>
      </c>
      <c r="R753" s="26">
        <f t="shared" si="119"/>
        <v>0</v>
      </c>
      <c r="S753" s="26">
        <f t="shared" si="119"/>
        <v>10283</v>
      </c>
    </row>
    <row r="754" spans="2:19" x14ac:dyDescent="0.2">
      <c r="B754" s="75">
        <f t="shared" si="116"/>
        <v>106</v>
      </c>
      <c r="C754" s="4"/>
      <c r="D754" s="4"/>
      <c r="E754" s="4"/>
      <c r="F754" s="53" t="s">
        <v>200</v>
      </c>
      <c r="G754" s="4">
        <v>635</v>
      </c>
      <c r="H754" s="4" t="s">
        <v>139</v>
      </c>
      <c r="I754" s="26">
        <v>800</v>
      </c>
      <c r="J754" s="26"/>
      <c r="K754" s="26">
        <f t="shared" si="113"/>
        <v>800</v>
      </c>
      <c r="L754" s="76"/>
      <c r="M754" s="26"/>
      <c r="N754" s="26"/>
      <c r="O754" s="26">
        <f t="shared" si="114"/>
        <v>0</v>
      </c>
      <c r="P754" s="76"/>
      <c r="Q754" s="26">
        <f t="shared" si="118"/>
        <v>800</v>
      </c>
      <c r="R754" s="26">
        <f t="shared" ref="R754:S769" si="120">N754+J754</f>
        <v>0</v>
      </c>
      <c r="S754" s="26">
        <f t="shared" si="120"/>
        <v>800</v>
      </c>
    </row>
    <row r="755" spans="2:19" x14ac:dyDescent="0.2">
      <c r="B755" s="75">
        <f t="shared" si="116"/>
        <v>107</v>
      </c>
      <c r="C755" s="4"/>
      <c r="D755" s="4"/>
      <c r="E755" s="4"/>
      <c r="F755" s="53" t="s">
        <v>200</v>
      </c>
      <c r="G755" s="4">
        <v>637</v>
      </c>
      <c r="H755" s="4" t="s">
        <v>130</v>
      </c>
      <c r="I755" s="26">
        <v>4930</v>
      </c>
      <c r="J755" s="26"/>
      <c r="K755" s="26">
        <f t="shared" si="113"/>
        <v>4930</v>
      </c>
      <c r="L755" s="76"/>
      <c r="M755" s="26"/>
      <c r="N755" s="26"/>
      <c r="O755" s="26">
        <f t="shared" si="114"/>
        <v>0</v>
      </c>
      <c r="P755" s="76"/>
      <c r="Q755" s="26">
        <f t="shared" si="118"/>
        <v>4930</v>
      </c>
      <c r="R755" s="26">
        <f t="shared" si="120"/>
        <v>0</v>
      </c>
      <c r="S755" s="26">
        <f t="shared" si="120"/>
        <v>4930</v>
      </c>
    </row>
    <row r="756" spans="2:19" x14ac:dyDescent="0.2">
      <c r="B756" s="75">
        <f t="shared" si="116"/>
        <v>108</v>
      </c>
      <c r="C756" s="15"/>
      <c r="D756" s="15"/>
      <c r="E756" s="15"/>
      <c r="F756" s="52" t="s">
        <v>200</v>
      </c>
      <c r="G756" s="15">
        <v>640</v>
      </c>
      <c r="H756" s="15" t="s">
        <v>136</v>
      </c>
      <c r="I756" s="49">
        <v>4704</v>
      </c>
      <c r="J756" s="49"/>
      <c r="K756" s="49">
        <f t="shared" si="113"/>
        <v>4704</v>
      </c>
      <c r="L756" s="123"/>
      <c r="M756" s="49"/>
      <c r="N756" s="49"/>
      <c r="O756" s="49">
        <f t="shared" si="114"/>
        <v>0</v>
      </c>
      <c r="P756" s="123"/>
      <c r="Q756" s="49">
        <f t="shared" si="118"/>
        <v>4704</v>
      </c>
      <c r="R756" s="49">
        <f t="shared" si="120"/>
        <v>0</v>
      </c>
      <c r="S756" s="49">
        <f t="shared" si="120"/>
        <v>4704</v>
      </c>
    </row>
    <row r="757" spans="2:19" x14ac:dyDescent="0.2">
      <c r="B757" s="75">
        <f t="shared" si="116"/>
        <v>109</v>
      </c>
      <c r="C757" s="15"/>
      <c r="D757" s="15"/>
      <c r="E757" s="15"/>
      <c r="F757" s="52" t="s">
        <v>200</v>
      </c>
      <c r="G757" s="15">
        <v>710</v>
      </c>
      <c r="H757" s="15" t="s">
        <v>185</v>
      </c>
      <c r="I757" s="49">
        <f>I758</f>
        <v>0</v>
      </c>
      <c r="J757" s="49"/>
      <c r="K757" s="49">
        <f t="shared" si="113"/>
        <v>0</v>
      </c>
      <c r="L757" s="123"/>
      <c r="M757" s="49">
        <f>M758</f>
        <v>7000</v>
      </c>
      <c r="N757" s="49">
        <f>N758</f>
        <v>0</v>
      </c>
      <c r="O757" s="49">
        <f t="shared" si="114"/>
        <v>7000</v>
      </c>
      <c r="P757" s="123"/>
      <c r="Q757" s="49">
        <f t="shared" si="118"/>
        <v>7000</v>
      </c>
      <c r="R757" s="49">
        <f t="shared" si="120"/>
        <v>0</v>
      </c>
      <c r="S757" s="49">
        <f t="shared" si="120"/>
        <v>7000</v>
      </c>
    </row>
    <row r="758" spans="2:19" x14ac:dyDescent="0.2">
      <c r="B758" s="75">
        <f t="shared" si="116"/>
        <v>110</v>
      </c>
      <c r="C758" s="15"/>
      <c r="D758" s="15"/>
      <c r="E758" s="15"/>
      <c r="F758" s="86" t="s">
        <v>200</v>
      </c>
      <c r="G758" s="87">
        <v>717</v>
      </c>
      <c r="H758" s="87" t="s">
        <v>195</v>
      </c>
      <c r="I758" s="88"/>
      <c r="J758" s="88"/>
      <c r="K758" s="88">
        <f t="shared" si="113"/>
        <v>0</v>
      </c>
      <c r="L758" s="76"/>
      <c r="M758" s="88">
        <f>M759</f>
        <v>7000</v>
      </c>
      <c r="N758" s="88">
        <f>N759</f>
        <v>0</v>
      </c>
      <c r="O758" s="88">
        <f t="shared" si="114"/>
        <v>7000</v>
      </c>
      <c r="P758" s="76"/>
      <c r="Q758" s="88">
        <f t="shared" si="118"/>
        <v>7000</v>
      </c>
      <c r="R758" s="88">
        <f t="shared" si="120"/>
        <v>0</v>
      </c>
      <c r="S758" s="88">
        <f t="shared" si="120"/>
        <v>7000</v>
      </c>
    </row>
    <row r="759" spans="2:19" x14ac:dyDescent="0.2">
      <c r="B759" s="75">
        <f t="shared" si="116"/>
        <v>111</v>
      </c>
      <c r="C759" s="15"/>
      <c r="D759" s="15"/>
      <c r="E759" s="15"/>
      <c r="F759" s="64"/>
      <c r="G759" s="60"/>
      <c r="H759" s="126" t="s">
        <v>552</v>
      </c>
      <c r="I759" s="125"/>
      <c r="J759" s="125"/>
      <c r="K759" s="125">
        <f t="shared" si="113"/>
        <v>0</v>
      </c>
      <c r="L759" s="76"/>
      <c r="M759" s="125">
        <f>3000+4000</f>
        <v>7000</v>
      </c>
      <c r="N759" s="125"/>
      <c r="O759" s="125">
        <f t="shared" si="114"/>
        <v>7000</v>
      </c>
      <c r="P759" s="76"/>
      <c r="Q759" s="125">
        <f t="shared" si="118"/>
        <v>7000</v>
      </c>
      <c r="R759" s="125">
        <f t="shared" si="120"/>
        <v>0</v>
      </c>
      <c r="S759" s="125">
        <f t="shared" si="120"/>
        <v>7000</v>
      </c>
    </row>
    <row r="760" spans="2:19" x14ac:dyDescent="0.2">
      <c r="B760" s="75">
        <f t="shared" si="116"/>
        <v>112</v>
      </c>
      <c r="C760" s="14"/>
      <c r="D760" s="14"/>
      <c r="E760" s="14" t="s">
        <v>106</v>
      </c>
      <c r="F760" s="51"/>
      <c r="G760" s="14"/>
      <c r="H760" s="14" t="s">
        <v>107</v>
      </c>
      <c r="I760" s="48">
        <f>I769+I768+I763+I762+I761</f>
        <v>165031</v>
      </c>
      <c r="J760" s="48">
        <f>J769+J768+J763+J762+J761</f>
        <v>0</v>
      </c>
      <c r="K760" s="48">
        <f t="shared" si="113"/>
        <v>165031</v>
      </c>
      <c r="L760" s="123"/>
      <c r="M760" s="48">
        <f>M770+M772</f>
        <v>48000</v>
      </c>
      <c r="N760" s="48">
        <f>N770+N772</f>
        <v>0</v>
      </c>
      <c r="O760" s="48">
        <f t="shared" si="114"/>
        <v>48000</v>
      </c>
      <c r="P760" s="123"/>
      <c r="Q760" s="48">
        <f t="shared" si="118"/>
        <v>213031</v>
      </c>
      <c r="R760" s="48">
        <f t="shared" si="120"/>
        <v>0</v>
      </c>
      <c r="S760" s="48">
        <f t="shared" si="120"/>
        <v>213031</v>
      </c>
    </row>
    <row r="761" spans="2:19" x14ac:dyDescent="0.2">
      <c r="B761" s="75">
        <f t="shared" si="116"/>
        <v>113</v>
      </c>
      <c r="C761" s="15"/>
      <c r="D761" s="15"/>
      <c r="E761" s="15"/>
      <c r="F761" s="52" t="s">
        <v>200</v>
      </c>
      <c r="G761" s="15">
        <v>610</v>
      </c>
      <c r="H761" s="15" t="s">
        <v>137</v>
      </c>
      <c r="I761" s="49">
        <v>99850</v>
      </c>
      <c r="J761" s="49"/>
      <c r="K761" s="49">
        <f t="shared" si="113"/>
        <v>99850</v>
      </c>
      <c r="L761" s="123"/>
      <c r="M761" s="49"/>
      <c r="N761" s="49"/>
      <c r="O761" s="49">
        <f t="shared" si="114"/>
        <v>0</v>
      </c>
      <c r="P761" s="123"/>
      <c r="Q761" s="49">
        <f t="shared" si="118"/>
        <v>99850</v>
      </c>
      <c r="R761" s="49">
        <f t="shared" si="120"/>
        <v>0</v>
      </c>
      <c r="S761" s="49">
        <f t="shared" si="120"/>
        <v>99850</v>
      </c>
    </row>
    <row r="762" spans="2:19" x14ac:dyDescent="0.2">
      <c r="B762" s="75">
        <f t="shared" si="116"/>
        <v>114</v>
      </c>
      <c r="C762" s="15"/>
      <c r="D762" s="15"/>
      <c r="E762" s="15"/>
      <c r="F762" s="52" t="s">
        <v>200</v>
      </c>
      <c r="G762" s="15">
        <v>620</v>
      </c>
      <c r="H762" s="15" t="s">
        <v>132</v>
      </c>
      <c r="I762" s="49">
        <v>37638</v>
      </c>
      <c r="J762" s="49"/>
      <c r="K762" s="49">
        <f t="shared" si="113"/>
        <v>37638</v>
      </c>
      <c r="L762" s="123"/>
      <c r="M762" s="49"/>
      <c r="N762" s="49"/>
      <c r="O762" s="49">
        <f t="shared" si="114"/>
        <v>0</v>
      </c>
      <c r="P762" s="123"/>
      <c r="Q762" s="49">
        <f t="shared" si="118"/>
        <v>37638</v>
      </c>
      <c r="R762" s="49">
        <f t="shared" si="120"/>
        <v>0</v>
      </c>
      <c r="S762" s="49">
        <f t="shared" si="120"/>
        <v>37638</v>
      </c>
    </row>
    <row r="763" spans="2:19" x14ac:dyDescent="0.2">
      <c r="B763" s="75">
        <f t="shared" si="116"/>
        <v>115</v>
      </c>
      <c r="C763" s="15"/>
      <c r="D763" s="15"/>
      <c r="E763" s="15"/>
      <c r="F763" s="52" t="s">
        <v>200</v>
      </c>
      <c r="G763" s="15">
        <v>630</v>
      </c>
      <c r="H763" s="15" t="s">
        <v>129</v>
      </c>
      <c r="I763" s="49">
        <f>I767+I766+I765+I764</f>
        <v>26043</v>
      </c>
      <c r="J763" s="49">
        <f>J767+J766+J765+J764</f>
        <v>0</v>
      </c>
      <c r="K763" s="49">
        <f t="shared" si="113"/>
        <v>26043</v>
      </c>
      <c r="L763" s="123"/>
      <c r="M763" s="49">
        <v>0</v>
      </c>
      <c r="N763" s="49"/>
      <c r="O763" s="49">
        <f t="shared" si="114"/>
        <v>0</v>
      </c>
      <c r="P763" s="123"/>
      <c r="Q763" s="49">
        <f t="shared" si="118"/>
        <v>26043</v>
      </c>
      <c r="R763" s="49">
        <f t="shared" si="120"/>
        <v>0</v>
      </c>
      <c r="S763" s="49">
        <f t="shared" si="120"/>
        <v>26043</v>
      </c>
    </row>
    <row r="764" spans="2:19" x14ac:dyDescent="0.2">
      <c r="B764" s="75">
        <f t="shared" si="116"/>
        <v>116</v>
      </c>
      <c r="C764" s="4"/>
      <c r="D764" s="4"/>
      <c r="E764" s="4"/>
      <c r="F764" s="53" t="s">
        <v>200</v>
      </c>
      <c r="G764" s="4">
        <v>632</v>
      </c>
      <c r="H764" s="4" t="s">
        <v>140</v>
      </c>
      <c r="I764" s="26">
        <v>14100</v>
      </c>
      <c r="J764" s="26"/>
      <c r="K764" s="26">
        <f t="shared" si="113"/>
        <v>14100</v>
      </c>
      <c r="L764" s="76"/>
      <c r="M764" s="26"/>
      <c r="N764" s="26"/>
      <c r="O764" s="26">
        <f t="shared" si="114"/>
        <v>0</v>
      </c>
      <c r="P764" s="76"/>
      <c r="Q764" s="26">
        <f t="shared" si="118"/>
        <v>14100</v>
      </c>
      <c r="R764" s="26">
        <f t="shared" si="120"/>
        <v>0</v>
      </c>
      <c r="S764" s="26">
        <f t="shared" si="120"/>
        <v>14100</v>
      </c>
    </row>
    <row r="765" spans="2:19" x14ac:dyDescent="0.2">
      <c r="B765" s="75">
        <f t="shared" si="116"/>
        <v>117</v>
      </c>
      <c r="C765" s="4"/>
      <c r="D765" s="4"/>
      <c r="E765" s="4"/>
      <c r="F765" s="53" t="s">
        <v>200</v>
      </c>
      <c r="G765" s="4">
        <v>633</v>
      </c>
      <c r="H765" s="4" t="s">
        <v>133</v>
      </c>
      <c r="I765" s="26">
        <f>6847+1216</f>
        <v>8063</v>
      </c>
      <c r="J765" s="26"/>
      <c r="K765" s="26">
        <f t="shared" si="113"/>
        <v>8063</v>
      </c>
      <c r="L765" s="76"/>
      <c r="M765" s="26"/>
      <c r="N765" s="26"/>
      <c r="O765" s="26">
        <f t="shared" si="114"/>
        <v>0</v>
      </c>
      <c r="P765" s="76"/>
      <c r="Q765" s="26">
        <f t="shared" si="118"/>
        <v>8063</v>
      </c>
      <c r="R765" s="26">
        <f t="shared" si="120"/>
        <v>0</v>
      </c>
      <c r="S765" s="26">
        <f t="shared" si="120"/>
        <v>8063</v>
      </c>
    </row>
    <row r="766" spans="2:19" x14ac:dyDescent="0.2">
      <c r="B766" s="75">
        <f t="shared" si="116"/>
        <v>118</v>
      </c>
      <c r="C766" s="4"/>
      <c r="D766" s="4"/>
      <c r="E766" s="4"/>
      <c r="F766" s="53" t="s">
        <v>200</v>
      </c>
      <c r="G766" s="4">
        <v>635</v>
      </c>
      <c r="H766" s="4" t="s">
        <v>139</v>
      </c>
      <c r="I766" s="26">
        <v>550</v>
      </c>
      <c r="J766" s="26"/>
      <c r="K766" s="26">
        <f t="shared" si="113"/>
        <v>550</v>
      </c>
      <c r="L766" s="76"/>
      <c r="M766" s="26"/>
      <c r="N766" s="26"/>
      <c r="O766" s="26">
        <f t="shared" si="114"/>
        <v>0</v>
      </c>
      <c r="P766" s="76"/>
      <c r="Q766" s="26">
        <f t="shared" si="118"/>
        <v>550</v>
      </c>
      <c r="R766" s="26">
        <f t="shared" si="120"/>
        <v>0</v>
      </c>
      <c r="S766" s="26">
        <f t="shared" si="120"/>
        <v>550</v>
      </c>
    </row>
    <row r="767" spans="2:19" ht="13.5" customHeight="1" x14ac:dyDescent="0.2">
      <c r="B767" s="75">
        <f t="shared" si="116"/>
        <v>119</v>
      </c>
      <c r="C767" s="4"/>
      <c r="D767" s="4"/>
      <c r="E767" s="4"/>
      <c r="F767" s="53" t="s">
        <v>200</v>
      </c>
      <c r="G767" s="4">
        <v>637</v>
      </c>
      <c r="H767" s="4" t="s">
        <v>130</v>
      </c>
      <c r="I767" s="26">
        <v>3330</v>
      </c>
      <c r="J767" s="26"/>
      <c r="K767" s="26">
        <f t="shared" si="113"/>
        <v>3330</v>
      </c>
      <c r="L767" s="76"/>
      <c r="M767" s="26"/>
      <c r="N767" s="26"/>
      <c r="O767" s="26">
        <f t="shared" si="114"/>
        <v>0</v>
      </c>
      <c r="P767" s="76"/>
      <c r="Q767" s="26">
        <f t="shared" si="118"/>
        <v>3330</v>
      </c>
      <c r="R767" s="26">
        <f t="shared" si="120"/>
        <v>0</v>
      </c>
      <c r="S767" s="26">
        <f t="shared" si="120"/>
        <v>3330</v>
      </c>
    </row>
    <row r="768" spans="2:19" ht="18" customHeight="1" x14ac:dyDescent="0.2">
      <c r="B768" s="75">
        <f t="shared" si="116"/>
        <v>120</v>
      </c>
      <c r="C768" s="15"/>
      <c r="D768" s="15"/>
      <c r="E768" s="15"/>
      <c r="F768" s="52" t="s">
        <v>200</v>
      </c>
      <c r="G768" s="15">
        <v>640</v>
      </c>
      <c r="H768" s="15" t="s">
        <v>136</v>
      </c>
      <c r="I768" s="49">
        <v>1500</v>
      </c>
      <c r="J768" s="49"/>
      <c r="K768" s="49">
        <f t="shared" si="113"/>
        <v>1500</v>
      </c>
      <c r="L768" s="123"/>
      <c r="M768" s="49"/>
      <c r="N768" s="49"/>
      <c r="O768" s="49">
        <f t="shared" si="114"/>
        <v>0</v>
      </c>
      <c r="P768" s="123"/>
      <c r="Q768" s="49">
        <f t="shared" si="118"/>
        <v>1500</v>
      </c>
      <c r="R768" s="49">
        <f t="shared" si="120"/>
        <v>0</v>
      </c>
      <c r="S768" s="49">
        <f t="shared" si="120"/>
        <v>1500</v>
      </c>
    </row>
    <row r="769" spans="2:19" ht="18" customHeight="1" x14ac:dyDescent="0.2">
      <c r="B769" s="75">
        <f t="shared" si="116"/>
        <v>121</v>
      </c>
      <c r="C769" s="15"/>
      <c r="D769" s="15"/>
      <c r="E769" s="15"/>
      <c r="F769" s="52" t="s">
        <v>200</v>
      </c>
      <c r="G769" s="15">
        <v>710</v>
      </c>
      <c r="H769" s="15" t="s">
        <v>185</v>
      </c>
      <c r="I769" s="49">
        <f>I772</f>
        <v>0</v>
      </c>
      <c r="J769" s="49">
        <f>J772</f>
        <v>0</v>
      </c>
      <c r="K769" s="49">
        <f t="shared" si="113"/>
        <v>0</v>
      </c>
      <c r="L769" s="123"/>
      <c r="M769" s="49">
        <f>M772</f>
        <v>45000</v>
      </c>
      <c r="N769" s="49">
        <f>N772</f>
        <v>0</v>
      </c>
      <c r="O769" s="49">
        <f t="shared" si="114"/>
        <v>45000</v>
      </c>
      <c r="P769" s="123"/>
      <c r="Q769" s="49">
        <f t="shared" si="118"/>
        <v>45000</v>
      </c>
      <c r="R769" s="49">
        <f t="shared" si="120"/>
        <v>0</v>
      </c>
      <c r="S769" s="49">
        <f t="shared" si="120"/>
        <v>45000</v>
      </c>
    </row>
    <row r="770" spans="2:19" ht="15" customHeight="1" x14ac:dyDescent="0.2">
      <c r="B770" s="75">
        <f t="shared" si="116"/>
        <v>122</v>
      </c>
      <c r="C770" s="15"/>
      <c r="D770" s="15"/>
      <c r="E770" s="15"/>
      <c r="F770" s="86" t="s">
        <v>200</v>
      </c>
      <c r="G770" s="87">
        <v>716</v>
      </c>
      <c r="H770" s="87" t="s">
        <v>0</v>
      </c>
      <c r="I770" s="88"/>
      <c r="J770" s="88"/>
      <c r="K770" s="88">
        <f t="shared" si="113"/>
        <v>0</v>
      </c>
      <c r="L770" s="76"/>
      <c r="M770" s="88">
        <f>M771</f>
        <v>3000</v>
      </c>
      <c r="N770" s="88">
        <f>N771</f>
        <v>0</v>
      </c>
      <c r="O770" s="88">
        <f t="shared" si="114"/>
        <v>3000</v>
      </c>
      <c r="P770" s="76"/>
      <c r="Q770" s="88">
        <f t="shared" ref="Q770:Q784" si="121">M770+I770</f>
        <v>3000</v>
      </c>
      <c r="R770" s="88">
        <f t="shared" ref="R770:S784" si="122">N770+J770</f>
        <v>0</v>
      </c>
      <c r="S770" s="88">
        <f t="shared" si="122"/>
        <v>3000</v>
      </c>
    </row>
    <row r="771" spans="2:19" x14ac:dyDescent="0.2">
      <c r="B771" s="75">
        <f t="shared" si="116"/>
        <v>123</v>
      </c>
      <c r="C771" s="15"/>
      <c r="D771" s="15"/>
      <c r="E771" s="15"/>
      <c r="F771" s="53"/>
      <c r="G771" s="4"/>
      <c r="H771" s="4" t="s">
        <v>509</v>
      </c>
      <c r="I771" s="26"/>
      <c r="J771" s="26"/>
      <c r="K771" s="26">
        <f t="shared" si="113"/>
        <v>0</v>
      </c>
      <c r="L771" s="76"/>
      <c r="M771" s="26">
        <f>1500+1500</f>
        <v>3000</v>
      </c>
      <c r="N771" s="26"/>
      <c r="O771" s="26">
        <f t="shared" si="114"/>
        <v>3000</v>
      </c>
      <c r="P771" s="76"/>
      <c r="Q771" s="26">
        <f t="shared" si="121"/>
        <v>3000</v>
      </c>
      <c r="R771" s="26">
        <f t="shared" si="122"/>
        <v>0</v>
      </c>
      <c r="S771" s="26">
        <f t="shared" si="122"/>
        <v>3000</v>
      </c>
    </row>
    <row r="772" spans="2:19" x14ac:dyDescent="0.2">
      <c r="B772" s="75">
        <f t="shared" si="116"/>
        <v>124</v>
      </c>
      <c r="C772" s="4"/>
      <c r="D772" s="4"/>
      <c r="E772" s="4"/>
      <c r="F772" s="86" t="s">
        <v>200</v>
      </c>
      <c r="G772" s="87">
        <v>717</v>
      </c>
      <c r="H772" s="87" t="s">
        <v>195</v>
      </c>
      <c r="I772" s="88"/>
      <c r="J772" s="88"/>
      <c r="K772" s="88">
        <f t="shared" si="113"/>
        <v>0</v>
      </c>
      <c r="L772" s="76"/>
      <c r="M772" s="88">
        <f>M773</f>
        <v>45000</v>
      </c>
      <c r="N772" s="88">
        <f>N773</f>
        <v>0</v>
      </c>
      <c r="O772" s="88">
        <f t="shared" si="114"/>
        <v>45000</v>
      </c>
      <c r="P772" s="76"/>
      <c r="Q772" s="88">
        <f t="shared" si="121"/>
        <v>45000</v>
      </c>
      <c r="R772" s="88">
        <f t="shared" si="122"/>
        <v>0</v>
      </c>
      <c r="S772" s="88">
        <f t="shared" si="122"/>
        <v>45000</v>
      </c>
    </row>
    <row r="773" spans="2:19" x14ac:dyDescent="0.2">
      <c r="B773" s="75">
        <f t="shared" si="116"/>
        <v>125</v>
      </c>
      <c r="C773" s="4"/>
      <c r="D773" s="4"/>
      <c r="E773" s="4"/>
      <c r="F773" s="53"/>
      <c r="G773" s="4"/>
      <c r="H773" s="4" t="s">
        <v>345</v>
      </c>
      <c r="I773" s="26"/>
      <c r="J773" s="26"/>
      <c r="K773" s="26">
        <f t="shared" si="113"/>
        <v>0</v>
      </c>
      <c r="L773" s="76"/>
      <c r="M773" s="26">
        <f>38500+6500</f>
        <v>45000</v>
      </c>
      <c r="N773" s="26"/>
      <c r="O773" s="26">
        <f t="shared" si="114"/>
        <v>45000</v>
      </c>
      <c r="P773" s="76"/>
      <c r="Q773" s="26">
        <f t="shared" si="121"/>
        <v>45000</v>
      </c>
      <c r="R773" s="26">
        <f t="shared" si="122"/>
        <v>0</v>
      </c>
      <c r="S773" s="26">
        <f t="shared" si="122"/>
        <v>45000</v>
      </c>
    </row>
    <row r="774" spans="2:19" x14ac:dyDescent="0.2">
      <c r="B774" s="75">
        <f t="shared" si="116"/>
        <v>126</v>
      </c>
      <c r="C774" s="14"/>
      <c r="D774" s="14"/>
      <c r="E774" s="14" t="s">
        <v>105</v>
      </c>
      <c r="F774" s="51"/>
      <c r="G774" s="14"/>
      <c r="H774" s="14" t="s">
        <v>252</v>
      </c>
      <c r="I774" s="48">
        <f>I783+I782+I777+I776+I775</f>
        <v>232516</v>
      </c>
      <c r="J774" s="48">
        <f>J783+J782+J777+J776+J775</f>
        <v>0</v>
      </c>
      <c r="K774" s="48">
        <f t="shared" si="113"/>
        <v>232516</v>
      </c>
      <c r="L774" s="123"/>
      <c r="M774" s="48">
        <f>M783+M782+M777+M776+M775</f>
        <v>59660</v>
      </c>
      <c r="N774" s="48">
        <f>N783+N782+N777+N776+N775</f>
        <v>0</v>
      </c>
      <c r="O774" s="48">
        <f t="shared" si="114"/>
        <v>59660</v>
      </c>
      <c r="P774" s="123"/>
      <c r="Q774" s="48">
        <f t="shared" si="121"/>
        <v>292176</v>
      </c>
      <c r="R774" s="48">
        <f t="shared" si="122"/>
        <v>0</v>
      </c>
      <c r="S774" s="48">
        <f t="shared" si="122"/>
        <v>292176</v>
      </c>
    </row>
    <row r="775" spans="2:19" x14ac:dyDescent="0.2">
      <c r="B775" s="75">
        <f t="shared" si="116"/>
        <v>127</v>
      </c>
      <c r="C775" s="15"/>
      <c r="D775" s="15"/>
      <c r="E775" s="15"/>
      <c r="F775" s="52" t="s">
        <v>200</v>
      </c>
      <c r="G775" s="15">
        <v>610</v>
      </c>
      <c r="H775" s="15" t="s">
        <v>137</v>
      </c>
      <c r="I775" s="49">
        <v>123215</v>
      </c>
      <c r="J775" s="49"/>
      <c r="K775" s="49">
        <f t="shared" si="113"/>
        <v>123215</v>
      </c>
      <c r="L775" s="123"/>
      <c r="M775" s="49"/>
      <c r="N775" s="49"/>
      <c r="O775" s="49">
        <f t="shared" si="114"/>
        <v>0</v>
      </c>
      <c r="P775" s="123"/>
      <c r="Q775" s="49">
        <f t="shared" si="121"/>
        <v>123215</v>
      </c>
      <c r="R775" s="49">
        <f t="shared" si="122"/>
        <v>0</v>
      </c>
      <c r="S775" s="49">
        <f t="shared" si="122"/>
        <v>123215</v>
      </c>
    </row>
    <row r="776" spans="2:19" x14ac:dyDescent="0.2">
      <c r="B776" s="75">
        <f t="shared" si="116"/>
        <v>128</v>
      </c>
      <c r="C776" s="15"/>
      <c r="D776" s="15"/>
      <c r="E776" s="15"/>
      <c r="F776" s="52" t="s">
        <v>200</v>
      </c>
      <c r="G776" s="15">
        <v>620</v>
      </c>
      <c r="H776" s="15" t="s">
        <v>132</v>
      </c>
      <c r="I776" s="49">
        <v>45750</v>
      </c>
      <c r="J776" s="49"/>
      <c r="K776" s="49">
        <f t="shared" si="113"/>
        <v>45750</v>
      </c>
      <c r="L776" s="123"/>
      <c r="M776" s="49"/>
      <c r="N776" s="49"/>
      <c r="O776" s="49">
        <f t="shared" si="114"/>
        <v>0</v>
      </c>
      <c r="P776" s="123"/>
      <c r="Q776" s="49">
        <f t="shared" si="121"/>
        <v>45750</v>
      </c>
      <c r="R776" s="49">
        <f t="shared" si="122"/>
        <v>0</v>
      </c>
      <c r="S776" s="49">
        <f t="shared" si="122"/>
        <v>45750</v>
      </c>
    </row>
    <row r="777" spans="2:19" x14ac:dyDescent="0.2">
      <c r="B777" s="75">
        <f t="shared" si="116"/>
        <v>129</v>
      </c>
      <c r="C777" s="15"/>
      <c r="D777" s="15"/>
      <c r="E777" s="15"/>
      <c r="F777" s="52" t="s">
        <v>200</v>
      </c>
      <c r="G777" s="15">
        <v>630</v>
      </c>
      <c r="H777" s="15" t="s">
        <v>129</v>
      </c>
      <c r="I777" s="49">
        <f>I781+I780+I779+I778</f>
        <v>62011</v>
      </c>
      <c r="J777" s="49">
        <f>J781+J780+J779+J778</f>
        <v>0</v>
      </c>
      <c r="K777" s="49">
        <f t="shared" si="113"/>
        <v>62011</v>
      </c>
      <c r="L777" s="123"/>
      <c r="M777" s="49">
        <v>0</v>
      </c>
      <c r="N777" s="49"/>
      <c r="O777" s="49">
        <f t="shared" si="114"/>
        <v>0</v>
      </c>
      <c r="P777" s="123"/>
      <c r="Q777" s="49">
        <f t="shared" si="121"/>
        <v>62011</v>
      </c>
      <c r="R777" s="49">
        <f t="shared" si="122"/>
        <v>0</v>
      </c>
      <c r="S777" s="49">
        <f t="shared" si="122"/>
        <v>62011</v>
      </c>
    </row>
    <row r="778" spans="2:19" x14ac:dyDescent="0.2">
      <c r="B778" s="75">
        <f t="shared" si="116"/>
        <v>130</v>
      </c>
      <c r="C778" s="4"/>
      <c r="D778" s="4"/>
      <c r="E778" s="4"/>
      <c r="F778" s="53" t="s">
        <v>200</v>
      </c>
      <c r="G778" s="4">
        <v>632</v>
      </c>
      <c r="H778" s="4" t="s">
        <v>140</v>
      </c>
      <c r="I778" s="26">
        <v>42250</v>
      </c>
      <c r="J778" s="26"/>
      <c r="K778" s="26">
        <f t="shared" si="113"/>
        <v>42250</v>
      </c>
      <c r="L778" s="76"/>
      <c r="M778" s="26"/>
      <c r="N778" s="26"/>
      <c r="O778" s="26">
        <f t="shared" si="114"/>
        <v>0</v>
      </c>
      <c r="P778" s="76"/>
      <c r="Q778" s="26">
        <f t="shared" si="121"/>
        <v>42250</v>
      </c>
      <c r="R778" s="26">
        <f t="shared" si="122"/>
        <v>0</v>
      </c>
      <c r="S778" s="26">
        <f t="shared" si="122"/>
        <v>42250</v>
      </c>
    </row>
    <row r="779" spans="2:19" x14ac:dyDescent="0.2">
      <c r="B779" s="75">
        <f t="shared" si="116"/>
        <v>131</v>
      </c>
      <c r="C779" s="4"/>
      <c r="D779" s="4"/>
      <c r="E779" s="4"/>
      <c r="F779" s="53" t="s">
        <v>200</v>
      </c>
      <c r="G779" s="4">
        <v>633</v>
      </c>
      <c r="H779" s="4" t="s">
        <v>133</v>
      </c>
      <c r="I779" s="26">
        <f>12233+1728</f>
        <v>13961</v>
      </c>
      <c r="J779" s="26"/>
      <c r="K779" s="26">
        <f t="shared" ref="K779:K842" si="123">I779+J779</f>
        <v>13961</v>
      </c>
      <c r="L779" s="76"/>
      <c r="M779" s="26"/>
      <c r="N779" s="26"/>
      <c r="O779" s="26">
        <f t="shared" ref="O779:O842" si="124">M779+N779</f>
        <v>0</v>
      </c>
      <c r="P779" s="76"/>
      <c r="Q779" s="26">
        <f t="shared" si="121"/>
        <v>13961</v>
      </c>
      <c r="R779" s="26">
        <f t="shared" si="122"/>
        <v>0</v>
      </c>
      <c r="S779" s="26">
        <f t="shared" si="122"/>
        <v>13961</v>
      </c>
    </row>
    <row r="780" spans="2:19" x14ac:dyDescent="0.2">
      <c r="B780" s="75">
        <f t="shared" ref="B780:B843" si="125">B779+1</f>
        <v>132</v>
      </c>
      <c r="C780" s="4"/>
      <c r="D780" s="4"/>
      <c r="E780" s="4"/>
      <c r="F780" s="53" t="s">
        <v>200</v>
      </c>
      <c r="G780" s="4">
        <v>635</v>
      </c>
      <c r="H780" s="4" t="s">
        <v>139</v>
      </c>
      <c r="I780" s="26">
        <v>2000</v>
      </c>
      <c r="J780" s="26"/>
      <c r="K780" s="26">
        <f t="shared" si="123"/>
        <v>2000</v>
      </c>
      <c r="L780" s="76"/>
      <c r="M780" s="26"/>
      <c r="N780" s="26"/>
      <c r="O780" s="26">
        <f t="shared" si="124"/>
        <v>0</v>
      </c>
      <c r="P780" s="76"/>
      <c r="Q780" s="26">
        <f t="shared" si="121"/>
        <v>2000</v>
      </c>
      <c r="R780" s="26">
        <f t="shared" si="122"/>
        <v>0</v>
      </c>
      <c r="S780" s="26">
        <f t="shared" si="122"/>
        <v>2000</v>
      </c>
    </row>
    <row r="781" spans="2:19" x14ac:dyDescent="0.2">
      <c r="B781" s="75">
        <f t="shared" si="125"/>
        <v>133</v>
      </c>
      <c r="C781" s="4"/>
      <c r="D781" s="4"/>
      <c r="E781" s="4"/>
      <c r="F781" s="53" t="s">
        <v>200</v>
      </c>
      <c r="G781" s="4">
        <v>637</v>
      </c>
      <c r="H781" s="4" t="s">
        <v>130</v>
      </c>
      <c r="I781" s="26">
        <v>3800</v>
      </c>
      <c r="J781" s="26"/>
      <c r="K781" s="26">
        <f t="shared" si="123"/>
        <v>3800</v>
      </c>
      <c r="L781" s="76"/>
      <c r="M781" s="26"/>
      <c r="N781" s="26"/>
      <c r="O781" s="26">
        <f t="shared" si="124"/>
        <v>0</v>
      </c>
      <c r="P781" s="76"/>
      <c r="Q781" s="26">
        <f t="shared" si="121"/>
        <v>3800</v>
      </c>
      <c r="R781" s="26">
        <f t="shared" si="122"/>
        <v>0</v>
      </c>
      <c r="S781" s="26">
        <f t="shared" si="122"/>
        <v>3800</v>
      </c>
    </row>
    <row r="782" spans="2:19" x14ac:dyDescent="0.2">
      <c r="B782" s="75">
        <f t="shared" si="125"/>
        <v>134</v>
      </c>
      <c r="C782" s="15"/>
      <c r="D782" s="15"/>
      <c r="E782" s="15"/>
      <c r="F782" s="52" t="s">
        <v>200</v>
      </c>
      <c r="G782" s="15">
        <v>640</v>
      </c>
      <c r="H782" s="15" t="s">
        <v>136</v>
      </c>
      <c r="I782" s="49">
        <v>1540</v>
      </c>
      <c r="J782" s="49"/>
      <c r="K782" s="49">
        <f t="shared" si="123"/>
        <v>1540</v>
      </c>
      <c r="L782" s="123"/>
      <c r="M782" s="49"/>
      <c r="N782" s="49"/>
      <c r="O782" s="49">
        <f t="shared" si="124"/>
        <v>0</v>
      </c>
      <c r="P782" s="123"/>
      <c r="Q782" s="49">
        <f t="shared" si="121"/>
        <v>1540</v>
      </c>
      <c r="R782" s="49">
        <f t="shared" si="122"/>
        <v>0</v>
      </c>
      <c r="S782" s="49">
        <f t="shared" si="122"/>
        <v>1540</v>
      </c>
    </row>
    <row r="783" spans="2:19" x14ac:dyDescent="0.2">
      <c r="B783" s="75">
        <f t="shared" si="125"/>
        <v>135</v>
      </c>
      <c r="C783" s="15"/>
      <c r="D783" s="15"/>
      <c r="E783" s="15"/>
      <c r="F783" s="52" t="s">
        <v>200</v>
      </c>
      <c r="G783" s="15">
        <v>710</v>
      </c>
      <c r="H783" s="15" t="s">
        <v>185</v>
      </c>
      <c r="I783" s="49">
        <v>0</v>
      </c>
      <c r="J783" s="49">
        <v>0</v>
      </c>
      <c r="K783" s="49">
        <f t="shared" si="123"/>
        <v>0</v>
      </c>
      <c r="L783" s="123"/>
      <c r="M783" s="49">
        <f>M786+M784</f>
        <v>59660</v>
      </c>
      <c r="N783" s="49">
        <f>N786+N784</f>
        <v>0</v>
      </c>
      <c r="O783" s="49">
        <f t="shared" si="124"/>
        <v>59660</v>
      </c>
      <c r="P783" s="123"/>
      <c r="Q783" s="49">
        <f t="shared" si="121"/>
        <v>59660</v>
      </c>
      <c r="R783" s="49">
        <f t="shared" si="122"/>
        <v>0</v>
      </c>
      <c r="S783" s="49">
        <f t="shared" si="122"/>
        <v>59660</v>
      </c>
    </row>
    <row r="784" spans="2:19" x14ac:dyDescent="0.2">
      <c r="B784" s="75">
        <f t="shared" si="125"/>
        <v>136</v>
      </c>
      <c r="C784" s="15"/>
      <c r="D784" s="15"/>
      <c r="E784" s="15"/>
      <c r="F784" s="86" t="s">
        <v>200</v>
      </c>
      <c r="G784" s="87">
        <v>716</v>
      </c>
      <c r="H784" s="87" t="s">
        <v>0</v>
      </c>
      <c r="I784" s="88"/>
      <c r="J784" s="88"/>
      <c r="K784" s="88">
        <f t="shared" si="123"/>
        <v>0</v>
      </c>
      <c r="L784" s="76"/>
      <c r="M784" s="88">
        <f>M785</f>
        <v>9660</v>
      </c>
      <c r="N784" s="88">
        <f>N785</f>
        <v>0</v>
      </c>
      <c r="O784" s="88">
        <f t="shared" si="124"/>
        <v>9660</v>
      </c>
      <c r="P784" s="76"/>
      <c r="Q784" s="88">
        <f t="shared" si="121"/>
        <v>9660</v>
      </c>
      <c r="R784" s="88">
        <f t="shared" si="122"/>
        <v>0</v>
      </c>
      <c r="S784" s="88">
        <f t="shared" si="122"/>
        <v>9660</v>
      </c>
    </row>
    <row r="785" spans="1:19" x14ac:dyDescent="0.2">
      <c r="B785" s="75">
        <f t="shared" si="125"/>
        <v>137</v>
      </c>
      <c r="C785" s="15"/>
      <c r="D785" s="15"/>
      <c r="E785" s="15"/>
      <c r="F785" s="52"/>
      <c r="G785" s="15"/>
      <c r="H785" s="60" t="s">
        <v>527</v>
      </c>
      <c r="I785" s="58"/>
      <c r="J785" s="58"/>
      <c r="K785" s="58">
        <f t="shared" si="123"/>
        <v>0</v>
      </c>
      <c r="L785" s="76"/>
      <c r="M785" s="58">
        <v>9660</v>
      </c>
      <c r="N785" s="58"/>
      <c r="O785" s="58">
        <f t="shared" si="124"/>
        <v>9660</v>
      </c>
      <c r="P785" s="76"/>
      <c r="Q785" s="58">
        <f>I785+M785</f>
        <v>9660</v>
      </c>
      <c r="R785" s="58">
        <f t="shared" ref="R785:S785" si="126">J785+N785</f>
        <v>0</v>
      </c>
      <c r="S785" s="58">
        <f t="shared" si="126"/>
        <v>9660</v>
      </c>
    </row>
    <row r="786" spans="1:19" x14ac:dyDescent="0.2">
      <c r="B786" s="75">
        <f t="shared" si="125"/>
        <v>138</v>
      </c>
      <c r="C786" s="4"/>
      <c r="D786" s="4"/>
      <c r="E786" s="4"/>
      <c r="F786" s="86" t="s">
        <v>200</v>
      </c>
      <c r="G786" s="87">
        <v>717</v>
      </c>
      <c r="H786" s="87" t="s">
        <v>195</v>
      </c>
      <c r="I786" s="88"/>
      <c r="J786" s="88"/>
      <c r="K786" s="88">
        <f t="shared" si="123"/>
        <v>0</v>
      </c>
      <c r="L786" s="76"/>
      <c r="M786" s="88">
        <f>M787</f>
        <v>50000</v>
      </c>
      <c r="N786" s="88">
        <f>N787</f>
        <v>0</v>
      </c>
      <c r="O786" s="88">
        <f t="shared" si="124"/>
        <v>50000</v>
      </c>
      <c r="P786" s="76"/>
      <c r="Q786" s="88">
        <f t="shared" ref="Q786:Q799" si="127">M786+I786</f>
        <v>50000</v>
      </c>
      <c r="R786" s="88">
        <f t="shared" ref="R786:S799" si="128">N786+J786</f>
        <v>0</v>
      </c>
      <c r="S786" s="88">
        <f t="shared" si="128"/>
        <v>50000</v>
      </c>
    </row>
    <row r="787" spans="1:19" x14ac:dyDescent="0.2">
      <c r="B787" s="75">
        <f t="shared" si="125"/>
        <v>139</v>
      </c>
      <c r="C787" s="4"/>
      <c r="D787" s="4"/>
      <c r="E787" s="4"/>
      <c r="F787" s="53"/>
      <c r="G787" s="4"/>
      <c r="H787" s="4" t="s">
        <v>512</v>
      </c>
      <c r="I787" s="26"/>
      <c r="J787" s="26"/>
      <c r="K787" s="26">
        <f t="shared" si="123"/>
        <v>0</v>
      </c>
      <c r="L787" s="76"/>
      <c r="M787" s="26">
        <v>50000</v>
      </c>
      <c r="N787" s="26"/>
      <c r="O787" s="26">
        <f t="shared" si="124"/>
        <v>50000</v>
      </c>
      <c r="P787" s="76"/>
      <c r="Q787" s="26">
        <f t="shared" si="127"/>
        <v>50000</v>
      </c>
      <c r="R787" s="26">
        <f t="shared" si="128"/>
        <v>0</v>
      </c>
      <c r="S787" s="26">
        <f t="shared" si="128"/>
        <v>50000</v>
      </c>
    </row>
    <row r="788" spans="1:19" x14ac:dyDescent="0.2">
      <c r="B788" s="75">
        <f t="shared" si="125"/>
        <v>140</v>
      </c>
      <c r="C788" s="14"/>
      <c r="D788" s="14"/>
      <c r="E788" s="14" t="s">
        <v>101</v>
      </c>
      <c r="F788" s="51"/>
      <c r="G788" s="14"/>
      <c r="H788" s="14" t="s">
        <v>66</v>
      </c>
      <c r="I788" s="48">
        <f>I797+I791+I790+I789</f>
        <v>233561</v>
      </c>
      <c r="J788" s="48">
        <f>J797+J791+J790+J789</f>
        <v>0</v>
      </c>
      <c r="K788" s="48">
        <f t="shared" si="123"/>
        <v>233561</v>
      </c>
      <c r="L788" s="123"/>
      <c r="M788" s="48">
        <f>M789+M790+M791+M797+M798</f>
        <v>9660</v>
      </c>
      <c r="N788" s="48">
        <f>N789+N790+N791+N797+N798</f>
        <v>0</v>
      </c>
      <c r="O788" s="48">
        <f t="shared" si="124"/>
        <v>9660</v>
      </c>
      <c r="P788" s="123"/>
      <c r="Q788" s="48">
        <f t="shared" si="127"/>
        <v>243221</v>
      </c>
      <c r="R788" s="48">
        <f t="shared" si="128"/>
        <v>0</v>
      </c>
      <c r="S788" s="48">
        <f t="shared" si="128"/>
        <v>243221</v>
      </c>
    </row>
    <row r="789" spans="1:19" x14ac:dyDescent="0.2">
      <c r="B789" s="75">
        <f t="shared" si="125"/>
        <v>141</v>
      </c>
      <c r="C789" s="15"/>
      <c r="D789" s="15"/>
      <c r="E789" s="15"/>
      <c r="F789" s="52" t="s">
        <v>200</v>
      </c>
      <c r="G789" s="15">
        <v>610</v>
      </c>
      <c r="H789" s="15" t="s">
        <v>137</v>
      </c>
      <c r="I789" s="49">
        <v>139740</v>
      </c>
      <c r="J789" s="49"/>
      <c r="K789" s="49">
        <f t="shared" si="123"/>
        <v>139740</v>
      </c>
      <c r="L789" s="123"/>
      <c r="M789" s="49"/>
      <c r="N789" s="49"/>
      <c r="O789" s="49">
        <f t="shared" si="124"/>
        <v>0</v>
      </c>
      <c r="P789" s="123"/>
      <c r="Q789" s="49">
        <f t="shared" si="127"/>
        <v>139740</v>
      </c>
      <c r="R789" s="49">
        <f t="shared" si="128"/>
        <v>0</v>
      </c>
      <c r="S789" s="49">
        <f t="shared" si="128"/>
        <v>139740</v>
      </c>
    </row>
    <row r="790" spans="1:19" x14ac:dyDescent="0.2">
      <c r="B790" s="75">
        <f t="shared" si="125"/>
        <v>142</v>
      </c>
      <c r="C790" s="15"/>
      <c r="D790" s="15"/>
      <c r="E790" s="15"/>
      <c r="F790" s="52" t="s">
        <v>200</v>
      </c>
      <c r="G790" s="15">
        <v>620</v>
      </c>
      <c r="H790" s="15" t="s">
        <v>132</v>
      </c>
      <c r="I790" s="49">
        <v>52450</v>
      </c>
      <c r="J790" s="49"/>
      <c r="K790" s="49">
        <f t="shared" si="123"/>
        <v>52450</v>
      </c>
      <c r="L790" s="123"/>
      <c r="M790" s="49"/>
      <c r="N790" s="49"/>
      <c r="O790" s="49">
        <f t="shared" si="124"/>
        <v>0</v>
      </c>
      <c r="P790" s="123"/>
      <c r="Q790" s="49">
        <f t="shared" si="127"/>
        <v>52450</v>
      </c>
      <c r="R790" s="49">
        <f t="shared" si="128"/>
        <v>0</v>
      </c>
      <c r="S790" s="49">
        <f t="shared" si="128"/>
        <v>52450</v>
      </c>
    </row>
    <row r="791" spans="1:19" x14ac:dyDescent="0.2">
      <c r="B791" s="75">
        <f t="shared" si="125"/>
        <v>143</v>
      </c>
      <c r="C791" s="15"/>
      <c r="D791" s="15"/>
      <c r="E791" s="15"/>
      <c r="F791" s="52" t="s">
        <v>200</v>
      </c>
      <c r="G791" s="15">
        <v>630</v>
      </c>
      <c r="H791" s="15" t="s">
        <v>129</v>
      </c>
      <c r="I791" s="49">
        <f>I796+I794+I793+I792+I795</f>
        <v>39871</v>
      </c>
      <c r="J791" s="49">
        <f>J796+J794+J793+J792+J795</f>
        <v>0</v>
      </c>
      <c r="K791" s="49">
        <f t="shared" si="123"/>
        <v>39871</v>
      </c>
      <c r="L791" s="123"/>
      <c r="M791" s="49">
        <v>0</v>
      </c>
      <c r="N791" s="49"/>
      <c r="O791" s="49">
        <f t="shared" si="124"/>
        <v>0</v>
      </c>
      <c r="P791" s="123"/>
      <c r="Q791" s="49">
        <f t="shared" si="127"/>
        <v>39871</v>
      </c>
      <c r="R791" s="49">
        <f t="shared" si="128"/>
        <v>0</v>
      </c>
      <c r="S791" s="49">
        <f t="shared" si="128"/>
        <v>39871</v>
      </c>
    </row>
    <row r="792" spans="1:19" x14ac:dyDescent="0.2">
      <c r="B792" s="75">
        <f t="shared" si="125"/>
        <v>144</v>
      </c>
      <c r="C792" s="4"/>
      <c r="D792" s="4"/>
      <c r="E792" s="4"/>
      <c r="F792" s="53" t="s">
        <v>200</v>
      </c>
      <c r="G792" s="4">
        <v>632</v>
      </c>
      <c r="H792" s="4" t="s">
        <v>140</v>
      </c>
      <c r="I792" s="26">
        <v>21670</v>
      </c>
      <c r="J792" s="26"/>
      <c r="K792" s="26">
        <f t="shared" si="123"/>
        <v>21670</v>
      </c>
      <c r="L792" s="76"/>
      <c r="M792" s="26"/>
      <c r="N792" s="26"/>
      <c r="O792" s="26">
        <f t="shared" si="124"/>
        <v>0</v>
      </c>
      <c r="P792" s="76"/>
      <c r="Q792" s="26">
        <f t="shared" si="127"/>
        <v>21670</v>
      </c>
      <c r="R792" s="26">
        <f t="shared" si="128"/>
        <v>0</v>
      </c>
      <c r="S792" s="26">
        <f t="shared" si="128"/>
        <v>21670</v>
      </c>
    </row>
    <row r="793" spans="1:19" s="71" customFormat="1" x14ac:dyDescent="0.2">
      <c r="A793" s="67"/>
      <c r="B793" s="75">
        <f t="shared" si="125"/>
        <v>145</v>
      </c>
      <c r="C793" s="4"/>
      <c r="D793" s="4"/>
      <c r="E793" s="4"/>
      <c r="F793" s="53" t="s">
        <v>200</v>
      </c>
      <c r="G793" s="4">
        <v>633</v>
      </c>
      <c r="H793" s="4" t="s">
        <v>133</v>
      </c>
      <c r="I793" s="26">
        <f>8483+2128</f>
        <v>10611</v>
      </c>
      <c r="J793" s="26"/>
      <c r="K793" s="26">
        <f t="shared" si="123"/>
        <v>10611</v>
      </c>
      <c r="L793" s="76"/>
      <c r="M793" s="26"/>
      <c r="N793" s="26"/>
      <c r="O793" s="26">
        <f t="shared" si="124"/>
        <v>0</v>
      </c>
      <c r="P793" s="76"/>
      <c r="Q793" s="26">
        <f t="shared" si="127"/>
        <v>10611</v>
      </c>
      <c r="R793" s="26">
        <f t="shared" si="128"/>
        <v>0</v>
      </c>
      <c r="S793" s="26">
        <f t="shared" si="128"/>
        <v>10611</v>
      </c>
    </row>
    <row r="794" spans="1:19" x14ac:dyDescent="0.2">
      <c r="B794" s="75">
        <f t="shared" si="125"/>
        <v>146</v>
      </c>
      <c r="C794" s="4"/>
      <c r="D794" s="4"/>
      <c r="E794" s="4"/>
      <c r="F794" s="53" t="s">
        <v>200</v>
      </c>
      <c r="G794" s="4">
        <v>635</v>
      </c>
      <c r="H794" s="4" t="s">
        <v>139</v>
      </c>
      <c r="I794" s="26">
        <v>150</v>
      </c>
      <c r="J794" s="26"/>
      <c r="K794" s="26">
        <f t="shared" si="123"/>
        <v>150</v>
      </c>
      <c r="L794" s="76"/>
      <c r="M794" s="26"/>
      <c r="N794" s="26"/>
      <c r="O794" s="26">
        <f t="shared" si="124"/>
        <v>0</v>
      </c>
      <c r="P794" s="76"/>
      <c r="Q794" s="26">
        <f t="shared" si="127"/>
        <v>150</v>
      </c>
      <c r="R794" s="26">
        <f t="shared" si="128"/>
        <v>0</v>
      </c>
      <c r="S794" s="26">
        <f t="shared" si="128"/>
        <v>150</v>
      </c>
    </row>
    <row r="795" spans="1:19" hidden="1" x14ac:dyDescent="0.2">
      <c r="B795" s="75">
        <f t="shared" si="125"/>
        <v>147</v>
      </c>
      <c r="C795" s="4"/>
      <c r="D795" s="4"/>
      <c r="E795" s="4"/>
      <c r="F795" s="142" t="s">
        <v>200</v>
      </c>
      <c r="G795" s="143">
        <v>635</v>
      </c>
      <c r="H795" s="143" t="s">
        <v>582</v>
      </c>
      <c r="I795" s="141">
        <v>2000</v>
      </c>
      <c r="J795" s="141"/>
      <c r="K795" s="141">
        <f t="shared" si="123"/>
        <v>2000</v>
      </c>
      <c r="L795" s="76"/>
      <c r="M795" s="141"/>
      <c r="N795" s="141"/>
      <c r="O795" s="141">
        <f t="shared" si="124"/>
        <v>0</v>
      </c>
      <c r="P795" s="76"/>
      <c r="Q795" s="141">
        <f t="shared" si="127"/>
        <v>2000</v>
      </c>
      <c r="R795" s="141">
        <f t="shared" si="128"/>
        <v>0</v>
      </c>
      <c r="S795" s="141">
        <f t="shared" si="128"/>
        <v>2000</v>
      </c>
    </row>
    <row r="796" spans="1:19" x14ac:dyDescent="0.2">
      <c r="B796" s="75">
        <f t="shared" si="125"/>
        <v>148</v>
      </c>
      <c r="C796" s="4"/>
      <c r="D796" s="4"/>
      <c r="E796" s="4"/>
      <c r="F796" s="53" t="s">
        <v>200</v>
      </c>
      <c r="G796" s="4">
        <v>637</v>
      </c>
      <c r="H796" s="4" t="s">
        <v>130</v>
      </c>
      <c r="I796" s="26">
        <v>5440</v>
      </c>
      <c r="J796" s="26"/>
      <c r="K796" s="26">
        <f t="shared" si="123"/>
        <v>5440</v>
      </c>
      <c r="L796" s="76"/>
      <c r="M796" s="26"/>
      <c r="N796" s="26"/>
      <c r="O796" s="26">
        <f t="shared" si="124"/>
        <v>0</v>
      </c>
      <c r="P796" s="76"/>
      <c r="Q796" s="26">
        <f t="shared" si="127"/>
        <v>5440</v>
      </c>
      <c r="R796" s="26">
        <f t="shared" si="128"/>
        <v>0</v>
      </c>
      <c r="S796" s="26">
        <f t="shared" si="128"/>
        <v>5440</v>
      </c>
    </row>
    <row r="797" spans="1:19" x14ac:dyDescent="0.2">
      <c r="B797" s="75">
        <f t="shared" si="125"/>
        <v>149</v>
      </c>
      <c r="C797" s="15"/>
      <c r="D797" s="15"/>
      <c r="E797" s="15"/>
      <c r="F797" s="52" t="s">
        <v>200</v>
      </c>
      <c r="G797" s="15">
        <v>640</v>
      </c>
      <c r="H797" s="15" t="s">
        <v>136</v>
      </c>
      <c r="I797" s="49">
        <v>1500</v>
      </c>
      <c r="J797" s="49"/>
      <c r="K797" s="49">
        <f t="shared" si="123"/>
        <v>1500</v>
      </c>
      <c r="L797" s="123"/>
      <c r="M797" s="49"/>
      <c r="N797" s="49"/>
      <c r="O797" s="49">
        <f t="shared" si="124"/>
        <v>0</v>
      </c>
      <c r="P797" s="123"/>
      <c r="Q797" s="49">
        <f t="shared" si="127"/>
        <v>1500</v>
      </c>
      <c r="R797" s="49">
        <f t="shared" si="128"/>
        <v>0</v>
      </c>
      <c r="S797" s="49">
        <f t="shared" si="128"/>
        <v>1500</v>
      </c>
    </row>
    <row r="798" spans="1:19" s="9" customFormat="1" x14ac:dyDescent="0.2">
      <c r="A798" s="7"/>
      <c r="B798" s="75">
        <f t="shared" si="125"/>
        <v>150</v>
      </c>
      <c r="C798" s="15"/>
      <c r="D798" s="15"/>
      <c r="E798" s="15"/>
      <c r="F798" s="52" t="s">
        <v>200</v>
      </c>
      <c r="G798" s="15">
        <v>710</v>
      </c>
      <c r="H798" s="15" t="s">
        <v>185</v>
      </c>
      <c r="I798" s="49">
        <v>0</v>
      </c>
      <c r="J798" s="49">
        <v>0</v>
      </c>
      <c r="K798" s="49">
        <f t="shared" si="123"/>
        <v>0</v>
      </c>
      <c r="L798" s="123"/>
      <c r="M798" s="49">
        <f>M799</f>
        <v>9660</v>
      </c>
      <c r="N798" s="49">
        <f>N799</f>
        <v>0</v>
      </c>
      <c r="O798" s="49">
        <f t="shared" si="124"/>
        <v>9660</v>
      </c>
      <c r="P798" s="123"/>
      <c r="Q798" s="49">
        <f t="shared" si="127"/>
        <v>9660</v>
      </c>
      <c r="R798" s="49">
        <f t="shared" si="128"/>
        <v>0</v>
      </c>
      <c r="S798" s="49">
        <f t="shared" si="128"/>
        <v>9660</v>
      </c>
    </row>
    <row r="799" spans="1:19" x14ac:dyDescent="0.2">
      <c r="B799" s="75">
        <f t="shared" si="125"/>
        <v>151</v>
      </c>
      <c r="C799" s="15"/>
      <c r="D799" s="15"/>
      <c r="E799" s="15"/>
      <c r="F799" s="86" t="s">
        <v>200</v>
      </c>
      <c r="G799" s="87">
        <v>716</v>
      </c>
      <c r="H799" s="87" t="s">
        <v>0</v>
      </c>
      <c r="I799" s="88"/>
      <c r="J799" s="88"/>
      <c r="K799" s="88">
        <f t="shared" si="123"/>
        <v>0</v>
      </c>
      <c r="L799" s="76"/>
      <c r="M799" s="88">
        <f>M800</f>
        <v>9660</v>
      </c>
      <c r="N799" s="88">
        <f>N800</f>
        <v>0</v>
      </c>
      <c r="O799" s="88">
        <f t="shared" si="124"/>
        <v>9660</v>
      </c>
      <c r="P799" s="76"/>
      <c r="Q799" s="88">
        <f t="shared" si="127"/>
        <v>9660</v>
      </c>
      <c r="R799" s="88">
        <f t="shared" si="128"/>
        <v>0</v>
      </c>
      <c r="S799" s="88">
        <f t="shared" si="128"/>
        <v>9660</v>
      </c>
    </row>
    <row r="800" spans="1:19" x14ac:dyDescent="0.2">
      <c r="B800" s="75">
        <f t="shared" si="125"/>
        <v>152</v>
      </c>
      <c r="C800" s="15"/>
      <c r="D800" s="15"/>
      <c r="E800" s="15"/>
      <c r="F800" s="52"/>
      <c r="G800" s="15"/>
      <c r="H800" s="60" t="s">
        <v>527</v>
      </c>
      <c r="I800" s="58"/>
      <c r="J800" s="58"/>
      <c r="K800" s="58">
        <f t="shared" si="123"/>
        <v>0</v>
      </c>
      <c r="L800" s="76"/>
      <c r="M800" s="58">
        <v>9660</v>
      </c>
      <c r="N800" s="58"/>
      <c r="O800" s="58">
        <f t="shared" si="124"/>
        <v>9660</v>
      </c>
      <c r="P800" s="76"/>
      <c r="Q800" s="58">
        <f>I800+M800</f>
        <v>9660</v>
      </c>
      <c r="R800" s="58">
        <f t="shared" ref="R800:S800" si="129">J800+N800</f>
        <v>0</v>
      </c>
      <c r="S800" s="58">
        <f t="shared" si="129"/>
        <v>9660</v>
      </c>
    </row>
    <row r="801" spans="2:19" x14ac:dyDescent="0.2">
      <c r="B801" s="75">
        <f t="shared" si="125"/>
        <v>153</v>
      </c>
      <c r="C801" s="14"/>
      <c r="D801" s="14"/>
      <c r="E801" s="14" t="s">
        <v>104</v>
      </c>
      <c r="F801" s="51"/>
      <c r="G801" s="14"/>
      <c r="H801" s="14" t="s">
        <v>67</v>
      </c>
      <c r="I801" s="48">
        <f>I804+I803+I802</f>
        <v>147532</v>
      </c>
      <c r="J801" s="48">
        <f>J804+J803+J802</f>
        <v>0</v>
      </c>
      <c r="K801" s="48">
        <f t="shared" si="123"/>
        <v>147532</v>
      </c>
      <c r="L801" s="123"/>
      <c r="M801" s="48">
        <f>M804+M803+M802</f>
        <v>0</v>
      </c>
      <c r="N801" s="48">
        <f>N804+N803+N802</f>
        <v>0</v>
      </c>
      <c r="O801" s="48">
        <f t="shared" si="124"/>
        <v>0</v>
      </c>
      <c r="P801" s="123"/>
      <c r="Q801" s="48">
        <f t="shared" ref="Q801:Q832" si="130">M801+I801</f>
        <v>147532</v>
      </c>
      <c r="R801" s="48">
        <f t="shared" ref="R801:S816" si="131">N801+J801</f>
        <v>0</v>
      </c>
      <c r="S801" s="48">
        <f t="shared" si="131"/>
        <v>147532</v>
      </c>
    </row>
    <row r="802" spans="2:19" x14ac:dyDescent="0.2">
      <c r="B802" s="75">
        <f t="shared" si="125"/>
        <v>154</v>
      </c>
      <c r="C802" s="15"/>
      <c r="D802" s="15"/>
      <c r="E802" s="15"/>
      <c r="F802" s="52" t="s">
        <v>200</v>
      </c>
      <c r="G802" s="15">
        <v>610</v>
      </c>
      <c r="H802" s="15" t="s">
        <v>137</v>
      </c>
      <c r="I802" s="49">
        <v>89106</v>
      </c>
      <c r="J802" s="49"/>
      <c r="K802" s="49">
        <f t="shared" si="123"/>
        <v>89106</v>
      </c>
      <c r="L802" s="123"/>
      <c r="M802" s="49"/>
      <c r="N802" s="49"/>
      <c r="O802" s="49">
        <f t="shared" si="124"/>
        <v>0</v>
      </c>
      <c r="P802" s="123"/>
      <c r="Q802" s="49">
        <f t="shared" si="130"/>
        <v>89106</v>
      </c>
      <c r="R802" s="49">
        <f t="shared" si="131"/>
        <v>0</v>
      </c>
      <c r="S802" s="49">
        <f t="shared" si="131"/>
        <v>89106</v>
      </c>
    </row>
    <row r="803" spans="2:19" x14ac:dyDescent="0.2">
      <c r="B803" s="75">
        <f t="shared" si="125"/>
        <v>155</v>
      </c>
      <c r="C803" s="15"/>
      <c r="D803" s="15"/>
      <c r="E803" s="15"/>
      <c r="F803" s="52" t="s">
        <v>200</v>
      </c>
      <c r="G803" s="15">
        <v>620</v>
      </c>
      <c r="H803" s="15" t="s">
        <v>132</v>
      </c>
      <c r="I803" s="49">
        <v>33091</v>
      </c>
      <c r="J803" s="49"/>
      <c r="K803" s="49">
        <f t="shared" si="123"/>
        <v>33091</v>
      </c>
      <c r="L803" s="123"/>
      <c r="M803" s="49"/>
      <c r="N803" s="49"/>
      <c r="O803" s="49">
        <f t="shared" si="124"/>
        <v>0</v>
      </c>
      <c r="P803" s="123"/>
      <c r="Q803" s="49">
        <f t="shared" si="130"/>
        <v>33091</v>
      </c>
      <c r="R803" s="49">
        <f t="shared" si="131"/>
        <v>0</v>
      </c>
      <c r="S803" s="49">
        <f t="shared" si="131"/>
        <v>33091</v>
      </c>
    </row>
    <row r="804" spans="2:19" x14ac:dyDescent="0.2">
      <c r="B804" s="75">
        <f t="shared" si="125"/>
        <v>156</v>
      </c>
      <c r="C804" s="15"/>
      <c r="D804" s="15"/>
      <c r="E804" s="15"/>
      <c r="F804" s="52" t="s">
        <v>200</v>
      </c>
      <c r="G804" s="15">
        <v>630</v>
      </c>
      <c r="H804" s="15" t="s">
        <v>129</v>
      </c>
      <c r="I804" s="49">
        <f>I808+I807+I806+I805</f>
        <v>25335</v>
      </c>
      <c r="J804" s="49">
        <f>J808+J807+J806+J805</f>
        <v>0</v>
      </c>
      <c r="K804" s="49">
        <f t="shared" si="123"/>
        <v>25335</v>
      </c>
      <c r="L804" s="123"/>
      <c r="M804" s="49">
        <v>0</v>
      </c>
      <c r="N804" s="49">
        <v>0</v>
      </c>
      <c r="O804" s="49">
        <f t="shared" si="124"/>
        <v>0</v>
      </c>
      <c r="P804" s="123"/>
      <c r="Q804" s="49">
        <f t="shared" si="130"/>
        <v>25335</v>
      </c>
      <c r="R804" s="49">
        <f t="shared" si="131"/>
        <v>0</v>
      </c>
      <c r="S804" s="49">
        <f t="shared" si="131"/>
        <v>25335</v>
      </c>
    </row>
    <row r="805" spans="2:19" x14ac:dyDescent="0.2">
      <c r="B805" s="75">
        <f t="shared" si="125"/>
        <v>157</v>
      </c>
      <c r="C805" s="4"/>
      <c r="D805" s="4"/>
      <c r="E805" s="4"/>
      <c r="F805" s="53" t="s">
        <v>200</v>
      </c>
      <c r="G805" s="4">
        <v>632</v>
      </c>
      <c r="H805" s="4" t="s">
        <v>140</v>
      </c>
      <c r="I805" s="26">
        <v>13500</v>
      </c>
      <c r="J805" s="26"/>
      <c r="K805" s="26">
        <f t="shared" si="123"/>
        <v>13500</v>
      </c>
      <c r="L805" s="76"/>
      <c r="M805" s="26"/>
      <c r="N805" s="26"/>
      <c r="O805" s="26">
        <f t="shared" si="124"/>
        <v>0</v>
      </c>
      <c r="P805" s="76"/>
      <c r="Q805" s="26">
        <f t="shared" si="130"/>
        <v>13500</v>
      </c>
      <c r="R805" s="26">
        <f t="shared" si="131"/>
        <v>0</v>
      </c>
      <c r="S805" s="26">
        <f t="shared" si="131"/>
        <v>13500</v>
      </c>
    </row>
    <row r="806" spans="2:19" x14ac:dyDescent="0.2">
      <c r="B806" s="75">
        <f t="shared" si="125"/>
        <v>158</v>
      </c>
      <c r="C806" s="4"/>
      <c r="D806" s="4"/>
      <c r="E806" s="4"/>
      <c r="F806" s="53" t="s">
        <v>200</v>
      </c>
      <c r="G806" s="4">
        <v>633</v>
      </c>
      <c r="H806" s="4" t="s">
        <v>133</v>
      </c>
      <c r="I806" s="26">
        <f>7661+1264</f>
        <v>8925</v>
      </c>
      <c r="J806" s="26"/>
      <c r="K806" s="26">
        <f t="shared" si="123"/>
        <v>8925</v>
      </c>
      <c r="L806" s="76"/>
      <c r="M806" s="26"/>
      <c r="N806" s="26"/>
      <c r="O806" s="26">
        <f t="shared" si="124"/>
        <v>0</v>
      </c>
      <c r="P806" s="76"/>
      <c r="Q806" s="26">
        <f t="shared" si="130"/>
        <v>8925</v>
      </c>
      <c r="R806" s="26">
        <f t="shared" si="131"/>
        <v>0</v>
      </c>
      <c r="S806" s="26">
        <f t="shared" si="131"/>
        <v>8925</v>
      </c>
    </row>
    <row r="807" spans="2:19" x14ac:dyDescent="0.2">
      <c r="B807" s="75">
        <f t="shared" si="125"/>
        <v>159</v>
      </c>
      <c r="C807" s="4"/>
      <c r="D807" s="4"/>
      <c r="E807" s="4"/>
      <c r="F807" s="53" t="s">
        <v>200</v>
      </c>
      <c r="G807" s="4">
        <v>635</v>
      </c>
      <c r="H807" s="4" t="s">
        <v>139</v>
      </c>
      <c r="I807" s="26">
        <v>150</v>
      </c>
      <c r="J807" s="26"/>
      <c r="K807" s="26">
        <f t="shared" si="123"/>
        <v>150</v>
      </c>
      <c r="L807" s="76"/>
      <c r="M807" s="26"/>
      <c r="N807" s="26"/>
      <c r="O807" s="26">
        <f t="shared" si="124"/>
        <v>0</v>
      </c>
      <c r="P807" s="76"/>
      <c r="Q807" s="26">
        <f t="shared" si="130"/>
        <v>150</v>
      </c>
      <c r="R807" s="26">
        <f t="shared" si="131"/>
        <v>0</v>
      </c>
      <c r="S807" s="26">
        <f t="shared" si="131"/>
        <v>150</v>
      </c>
    </row>
    <row r="808" spans="2:19" x14ac:dyDescent="0.2">
      <c r="B808" s="75">
        <f t="shared" si="125"/>
        <v>160</v>
      </c>
      <c r="C808" s="4"/>
      <c r="D808" s="4"/>
      <c r="E808" s="4"/>
      <c r="F808" s="53" t="s">
        <v>200</v>
      </c>
      <c r="G808" s="4">
        <v>637</v>
      </c>
      <c r="H808" s="4" t="s">
        <v>130</v>
      </c>
      <c r="I808" s="26">
        <v>2760</v>
      </c>
      <c r="J808" s="26"/>
      <c r="K808" s="26">
        <f t="shared" si="123"/>
        <v>2760</v>
      </c>
      <c r="L808" s="76"/>
      <c r="M808" s="26"/>
      <c r="N808" s="26"/>
      <c r="O808" s="26">
        <f t="shared" si="124"/>
        <v>0</v>
      </c>
      <c r="P808" s="76"/>
      <c r="Q808" s="26">
        <f t="shared" si="130"/>
        <v>2760</v>
      </c>
      <c r="R808" s="26">
        <f t="shared" si="131"/>
        <v>0</v>
      </c>
      <c r="S808" s="26">
        <f t="shared" si="131"/>
        <v>2760</v>
      </c>
    </row>
    <row r="809" spans="2:19" x14ac:dyDescent="0.2">
      <c r="B809" s="75">
        <f t="shared" si="125"/>
        <v>161</v>
      </c>
      <c r="C809" s="14"/>
      <c r="D809" s="14"/>
      <c r="E809" s="14" t="s">
        <v>97</v>
      </c>
      <c r="F809" s="51"/>
      <c r="G809" s="14"/>
      <c r="H809" s="14" t="s">
        <v>98</v>
      </c>
      <c r="I809" s="48">
        <f>I812+I811+I810</f>
        <v>73537</v>
      </c>
      <c r="J809" s="48">
        <f>J812+J811+J810</f>
        <v>0</v>
      </c>
      <c r="K809" s="48">
        <f t="shared" si="123"/>
        <v>73537</v>
      </c>
      <c r="L809" s="123"/>
      <c r="M809" s="48">
        <v>0</v>
      </c>
      <c r="N809" s="48">
        <v>0</v>
      </c>
      <c r="O809" s="48">
        <f t="shared" si="124"/>
        <v>0</v>
      </c>
      <c r="P809" s="123"/>
      <c r="Q809" s="48">
        <f t="shared" si="130"/>
        <v>73537</v>
      </c>
      <c r="R809" s="48">
        <f t="shared" si="131"/>
        <v>0</v>
      </c>
      <c r="S809" s="48">
        <f t="shared" si="131"/>
        <v>73537</v>
      </c>
    </row>
    <row r="810" spans="2:19" x14ac:dyDescent="0.2">
      <c r="B810" s="75">
        <f t="shared" si="125"/>
        <v>162</v>
      </c>
      <c r="C810" s="15"/>
      <c r="D810" s="15"/>
      <c r="E810" s="15"/>
      <c r="F810" s="52" t="s">
        <v>200</v>
      </c>
      <c r="G810" s="15">
        <v>610</v>
      </c>
      <c r="H810" s="15" t="s">
        <v>137</v>
      </c>
      <c r="I810" s="49">
        <v>44478</v>
      </c>
      <c r="J810" s="49"/>
      <c r="K810" s="49">
        <f t="shared" si="123"/>
        <v>44478</v>
      </c>
      <c r="L810" s="123"/>
      <c r="M810" s="49"/>
      <c r="N810" s="49"/>
      <c r="O810" s="49">
        <f t="shared" si="124"/>
        <v>0</v>
      </c>
      <c r="P810" s="123"/>
      <c r="Q810" s="49">
        <f t="shared" si="130"/>
        <v>44478</v>
      </c>
      <c r="R810" s="49">
        <f t="shared" si="131"/>
        <v>0</v>
      </c>
      <c r="S810" s="49">
        <f t="shared" si="131"/>
        <v>44478</v>
      </c>
    </row>
    <row r="811" spans="2:19" x14ac:dyDescent="0.2">
      <c r="B811" s="75">
        <f t="shared" si="125"/>
        <v>163</v>
      </c>
      <c r="C811" s="15"/>
      <c r="D811" s="15"/>
      <c r="E811" s="15"/>
      <c r="F811" s="52" t="s">
        <v>200</v>
      </c>
      <c r="G811" s="15">
        <v>620</v>
      </c>
      <c r="H811" s="15" t="s">
        <v>132</v>
      </c>
      <c r="I811" s="49">
        <v>16512</v>
      </c>
      <c r="J811" s="49"/>
      <c r="K811" s="49">
        <f t="shared" si="123"/>
        <v>16512</v>
      </c>
      <c r="L811" s="123"/>
      <c r="M811" s="49"/>
      <c r="N811" s="49"/>
      <c r="O811" s="49">
        <f t="shared" si="124"/>
        <v>0</v>
      </c>
      <c r="P811" s="123"/>
      <c r="Q811" s="49">
        <f t="shared" si="130"/>
        <v>16512</v>
      </c>
      <c r="R811" s="49">
        <f t="shared" si="131"/>
        <v>0</v>
      </c>
      <c r="S811" s="49">
        <f t="shared" si="131"/>
        <v>16512</v>
      </c>
    </row>
    <row r="812" spans="2:19" x14ac:dyDescent="0.2">
      <c r="B812" s="75">
        <f t="shared" si="125"/>
        <v>164</v>
      </c>
      <c r="C812" s="15"/>
      <c r="D812" s="15"/>
      <c r="E812" s="15"/>
      <c r="F812" s="52" t="s">
        <v>200</v>
      </c>
      <c r="G812" s="15">
        <v>630</v>
      </c>
      <c r="H812" s="15" t="s">
        <v>129</v>
      </c>
      <c r="I812" s="49">
        <f>I816+I815+I814+I813</f>
        <v>12547</v>
      </c>
      <c r="J812" s="49">
        <f>J816+J815+J814+J813</f>
        <v>0</v>
      </c>
      <c r="K812" s="49">
        <f t="shared" si="123"/>
        <v>12547</v>
      </c>
      <c r="L812" s="123"/>
      <c r="M812" s="49">
        <f>M816+M815+M814+M813</f>
        <v>0</v>
      </c>
      <c r="N812" s="49">
        <f>N816+N815+N814+N813</f>
        <v>0</v>
      </c>
      <c r="O812" s="49">
        <f t="shared" si="124"/>
        <v>0</v>
      </c>
      <c r="P812" s="123"/>
      <c r="Q812" s="49">
        <f t="shared" si="130"/>
        <v>12547</v>
      </c>
      <c r="R812" s="49">
        <f t="shared" si="131"/>
        <v>0</v>
      </c>
      <c r="S812" s="49">
        <f t="shared" si="131"/>
        <v>12547</v>
      </c>
    </row>
    <row r="813" spans="2:19" x14ac:dyDescent="0.2">
      <c r="B813" s="75">
        <f t="shared" si="125"/>
        <v>165</v>
      </c>
      <c r="C813" s="4"/>
      <c r="D813" s="4"/>
      <c r="E813" s="4"/>
      <c r="F813" s="53" t="s">
        <v>200</v>
      </c>
      <c r="G813" s="4">
        <v>632</v>
      </c>
      <c r="H813" s="4" t="s">
        <v>140</v>
      </c>
      <c r="I813" s="26">
        <v>6240</v>
      </c>
      <c r="J813" s="26"/>
      <c r="K813" s="26">
        <f t="shared" si="123"/>
        <v>6240</v>
      </c>
      <c r="L813" s="76"/>
      <c r="M813" s="26"/>
      <c r="N813" s="26"/>
      <c r="O813" s="26">
        <f t="shared" si="124"/>
        <v>0</v>
      </c>
      <c r="P813" s="76"/>
      <c r="Q813" s="26">
        <f t="shared" si="130"/>
        <v>6240</v>
      </c>
      <c r="R813" s="26">
        <f t="shared" si="131"/>
        <v>0</v>
      </c>
      <c r="S813" s="26">
        <f t="shared" si="131"/>
        <v>6240</v>
      </c>
    </row>
    <row r="814" spans="2:19" x14ac:dyDescent="0.2">
      <c r="B814" s="75">
        <f t="shared" si="125"/>
        <v>166</v>
      </c>
      <c r="C814" s="4"/>
      <c r="D814" s="4"/>
      <c r="E814" s="4"/>
      <c r="F814" s="53" t="s">
        <v>200</v>
      </c>
      <c r="G814" s="4">
        <v>633</v>
      </c>
      <c r="H814" s="4" t="s">
        <v>133</v>
      </c>
      <c r="I814" s="26">
        <f>3831+656</f>
        <v>4487</v>
      </c>
      <c r="J814" s="26"/>
      <c r="K814" s="26">
        <f t="shared" si="123"/>
        <v>4487</v>
      </c>
      <c r="L814" s="76"/>
      <c r="M814" s="26"/>
      <c r="N814" s="26"/>
      <c r="O814" s="26">
        <f t="shared" si="124"/>
        <v>0</v>
      </c>
      <c r="P814" s="76"/>
      <c r="Q814" s="26">
        <f t="shared" si="130"/>
        <v>4487</v>
      </c>
      <c r="R814" s="26">
        <f t="shared" si="131"/>
        <v>0</v>
      </c>
      <c r="S814" s="26">
        <f t="shared" si="131"/>
        <v>4487</v>
      </c>
    </row>
    <row r="815" spans="2:19" x14ac:dyDescent="0.2">
      <c r="B815" s="75">
        <f t="shared" si="125"/>
        <v>167</v>
      </c>
      <c r="C815" s="4"/>
      <c r="D815" s="4"/>
      <c r="E815" s="4"/>
      <c r="F815" s="53" t="s">
        <v>200</v>
      </c>
      <c r="G815" s="4">
        <v>635</v>
      </c>
      <c r="H815" s="4" t="s">
        <v>139</v>
      </c>
      <c r="I815" s="26">
        <v>150</v>
      </c>
      <c r="J815" s="26"/>
      <c r="K815" s="26">
        <f t="shared" si="123"/>
        <v>150</v>
      </c>
      <c r="L815" s="76"/>
      <c r="M815" s="26"/>
      <c r="N815" s="26"/>
      <c r="O815" s="26">
        <f t="shared" si="124"/>
        <v>0</v>
      </c>
      <c r="P815" s="76"/>
      <c r="Q815" s="26">
        <f t="shared" si="130"/>
        <v>150</v>
      </c>
      <c r="R815" s="26">
        <f t="shared" si="131"/>
        <v>0</v>
      </c>
      <c r="S815" s="26">
        <f t="shared" si="131"/>
        <v>150</v>
      </c>
    </row>
    <row r="816" spans="2:19" x14ac:dyDescent="0.2">
      <c r="B816" s="75">
        <f t="shared" si="125"/>
        <v>168</v>
      </c>
      <c r="C816" s="4"/>
      <c r="D816" s="4"/>
      <c r="E816" s="4"/>
      <c r="F816" s="53" t="s">
        <v>200</v>
      </c>
      <c r="G816" s="4">
        <v>637</v>
      </c>
      <c r="H816" s="4" t="s">
        <v>130</v>
      </c>
      <c r="I816" s="26">
        <v>1670</v>
      </c>
      <c r="J816" s="26"/>
      <c r="K816" s="26">
        <f t="shared" si="123"/>
        <v>1670</v>
      </c>
      <c r="L816" s="76"/>
      <c r="M816" s="26"/>
      <c r="N816" s="26"/>
      <c r="O816" s="26">
        <f t="shared" si="124"/>
        <v>0</v>
      </c>
      <c r="P816" s="76"/>
      <c r="Q816" s="26">
        <f t="shared" si="130"/>
        <v>1670</v>
      </c>
      <c r="R816" s="26">
        <f t="shared" si="131"/>
        <v>0</v>
      </c>
      <c r="S816" s="26">
        <f t="shared" si="131"/>
        <v>1670</v>
      </c>
    </row>
    <row r="817" spans="2:19" x14ac:dyDescent="0.2">
      <c r="B817" s="75">
        <f t="shared" si="125"/>
        <v>169</v>
      </c>
      <c r="C817" s="14"/>
      <c r="D817" s="14"/>
      <c r="E817" s="14" t="s">
        <v>90</v>
      </c>
      <c r="F817" s="51"/>
      <c r="G817" s="14"/>
      <c r="H817" s="14" t="s">
        <v>210</v>
      </c>
      <c r="I817" s="48">
        <f>I820+I819+I818</f>
        <v>103498</v>
      </c>
      <c r="J817" s="48">
        <f>J820+J819+J818</f>
        <v>0</v>
      </c>
      <c r="K817" s="48">
        <f t="shared" si="123"/>
        <v>103498</v>
      </c>
      <c r="L817" s="123"/>
      <c r="M817" s="48">
        <f>M820+M819+M818</f>
        <v>0</v>
      </c>
      <c r="N817" s="48">
        <f>N820+N819+N818</f>
        <v>0</v>
      </c>
      <c r="O817" s="48">
        <f t="shared" si="124"/>
        <v>0</v>
      </c>
      <c r="P817" s="123"/>
      <c r="Q817" s="48">
        <f t="shared" si="130"/>
        <v>103498</v>
      </c>
      <c r="R817" s="48">
        <f t="shared" ref="R817:S832" si="132">N817+J817</f>
        <v>0</v>
      </c>
      <c r="S817" s="48">
        <f t="shared" si="132"/>
        <v>103498</v>
      </c>
    </row>
    <row r="818" spans="2:19" x14ac:dyDescent="0.2">
      <c r="B818" s="75">
        <f t="shared" si="125"/>
        <v>170</v>
      </c>
      <c r="C818" s="15"/>
      <c r="D818" s="15"/>
      <c r="E818" s="15"/>
      <c r="F818" s="52" t="s">
        <v>200</v>
      </c>
      <c r="G818" s="15">
        <v>610</v>
      </c>
      <c r="H818" s="15" t="s">
        <v>137</v>
      </c>
      <c r="I818" s="49">
        <v>60370</v>
      </c>
      <c r="J818" s="49"/>
      <c r="K818" s="49">
        <f t="shared" si="123"/>
        <v>60370</v>
      </c>
      <c r="L818" s="123"/>
      <c r="M818" s="49"/>
      <c r="N818" s="49"/>
      <c r="O818" s="49">
        <f t="shared" si="124"/>
        <v>0</v>
      </c>
      <c r="P818" s="123"/>
      <c r="Q818" s="49">
        <f t="shared" si="130"/>
        <v>60370</v>
      </c>
      <c r="R818" s="49">
        <f t="shared" si="132"/>
        <v>0</v>
      </c>
      <c r="S818" s="49">
        <f t="shared" si="132"/>
        <v>60370</v>
      </c>
    </row>
    <row r="819" spans="2:19" x14ac:dyDescent="0.2">
      <c r="B819" s="75">
        <f t="shared" si="125"/>
        <v>171</v>
      </c>
      <c r="C819" s="15"/>
      <c r="D819" s="15"/>
      <c r="E819" s="15"/>
      <c r="F819" s="52" t="s">
        <v>200</v>
      </c>
      <c r="G819" s="15">
        <v>620</v>
      </c>
      <c r="H819" s="15" t="s">
        <v>132</v>
      </c>
      <c r="I819" s="49">
        <v>22415</v>
      </c>
      <c r="J819" s="49"/>
      <c r="K819" s="49">
        <f t="shared" si="123"/>
        <v>22415</v>
      </c>
      <c r="L819" s="123"/>
      <c r="M819" s="49"/>
      <c r="N819" s="49"/>
      <c r="O819" s="49">
        <f t="shared" si="124"/>
        <v>0</v>
      </c>
      <c r="P819" s="123"/>
      <c r="Q819" s="49">
        <f t="shared" si="130"/>
        <v>22415</v>
      </c>
      <c r="R819" s="49">
        <f t="shared" si="132"/>
        <v>0</v>
      </c>
      <c r="S819" s="49">
        <f t="shared" si="132"/>
        <v>22415</v>
      </c>
    </row>
    <row r="820" spans="2:19" x14ac:dyDescent="0.2">
      <c r="B820" s="75">
        <f t="shared" si="125"/>
        <v>172</v>
      </c>
      <c r="C820" s="15"/>
      <c r="D820" s="15"/>
      <c r="E820" s="15"/>
      <c r="F820" s="52" t="s">
        <v>200</v>
      </c>
      <c r="G820" s="15">
        <v>630</v>
      </c>
      <c r="H820" s="15" t="s">
        <v>129</v>
      </c>
      <c r="I820" s="49">
        <f>I824+I823+I822+I821</f>
        <v>20713</v>
      </c>
      <c r="J820" s="49">
        <f>J824+J823+J822+J821</f>
        <v>0</v>
      </c>
      <c r="K820" s="49">
        <f t="shared" si="123"/>
        <v>20713</v>
      </c>
      <c r="L820" s="123"/>
      <c r="M820" s="49">
        <f>M824+M823+M822+M821</f>
        <v>0</v>
      </c>
      <c r="N820" s="49">
        <f>N824+N823+N822+N821</f>
        <v>0</v>
      </c>
      <c r="O820" s="49">
        <f t="shared" si="124"/>
        <v>0</v>
      </c>
      <c r="P820" s="123"/>
      <c r="Q820" s="49">
        <f t="shared" si="130"/>
        <v>20713</v>
      </c>
      <c r="R820" s="49">
        <f t="shared" si="132"/>
        <v>0</v>
      </c>
      <c r="S820" s="49">
        <f t="shared" si="132"/>
        <v>20713</v>
      </c>
    </row>
    <row r="821" spans="2:19" x14ac:dyDescent="0.2">
      <c r="B821" s="75">
        <f t="shared" si="125"/>
        <v>173</v>
      </c>
      <c r="C821" s="4"/>
      <c r="D821" s="4"/>
      <c r="E821" s="4"/>
      <c r="F821" s="53" t="s">
        <v>200</v>
      </c>
      <c r="G821" s="4">
        <v>632</v>
      </c>
      <c r="H821" s="4" t="s">
        <v>140</v>
      </c>
      <c r="I821" s="26">
        <v>6370</v>
      </c>
      <c r="J821" s="26"/>
      <c r="K821" s="26">
        <f t="shared" si="123"/>
        <v>6370</v>
      </c>
      <c r="L821" s="76"/>
      <c r="M821" s="26"/>
      <c r="N821" s="26"/>
      <c r="O821" s="26">
        <f t="shared" si="124"/>
        <v>0</v>
      </c>
      <c r="P821" s="76"/>
      <c r="Q821" s="26">
        <f t="shared" si="130"/>
        <v>6370</v>
      </c>
      <c r="R821" s="26">
        <f t="shared" si="132"/>
        <v>0</v>
      </c>
      <c r="S821" s="26">
        <f t="shared" si="132"/>
        <v>6370</v>
      </c>
    </row>
    <row r="822" spans="2:19" x14ac:dyDescent="0.2">
      <c r="B822" s="75">
        <f t="shared" si="125"/>
        <v>174</v>
      </c>
      <c r="C822" s="4"/>
      <c r="D822" s="4"/>
      <c r="E822" s="4"/>
      <c r="F822" s="53" t="s">
        <v>200</v>
      </c>
      <c r="G822" s="4">
        <v>633</v>
      </c>
      <c r="H822" s="4" t="s">
        <v>133</v>
      </c>
      <c r="I822" s="26">
        <f>10541+672</f>
        <v>11213</v>
      </c>
      <c r="J822" s="26"/>
      <c r="K822" s="26">
        <f t="shared" si="123"/>
        <v>11213</v>
      </c>
      <c r="L822" s="76"/>
      <c r="M822" s="26"/>
      <c r="N822" s="26"/>
      <c r="O822" s="26">
        <f t="shared" si="124"/>
        <v>0</v>
      </c>
      <c r="P822" s="76"/>
      <c r="Q822" s="26">
        <f t="shared" si="130"/>
        <v>11213</v>
      </c>
      <c r="R822" s="26">
        <f t="shared" si="132"/>
        <v>0</v>
      </c>
      <c r="S822" s="26">
        <f t="shared" si="132"/>
        <v>11213</v>
      </c>
    </row>
    <row r="823" spans="2:19" x14ac:dyDescent="0.2">
      <c r="B823" s="75">
        <f t="shared" si="125"/>
        <v>175</v>
      </c>
      <c r="C823" s="4"/>
      <c r="D823" s="4"/>
      <c r="E823" s="4"/>
      <c r="F823" s="53" t="s">
        <v>200</v>
      </c>
      <c r="G823" s="4">
        <v>635</v>
      </c>
      <c r="H823" s="4" t="s">
        <v>139</v>
      </c>
      <c r="I823" s="26">
        <v>950</v>
      </c>
      <c r="J823" s="26"/>
      <c r="K823" s="26">
        <f t="shared" si="123"/>
        <v>950</v>
      </c>
      <c r="L823" s="76"/>
      <c r="M823" s="26"/>
      <c r="N823" s="26"/>
      <c r="O823" s="26">
        <f t="shared" si="124"/>
        <v>0</v>
      </c>
      <c r="P823" s="76"/>
      <c r="Q823" s="26">
        <f t="shared" si="130"/>
        <v>950</v>
      </c>
      <c r="R823" s="26">
        <f t="shared" si="132"/>
        <v>0</v>
      </c>
      <c r="S823" s="26">
        <f t="shared" si="132"/>
        <v>950</v>
      </c>
    </row>
    <row r="824" spans="2:19" x14ac:dyDescent="0.2">
      <c r="B824" s="75">
        <f t="shared" si="125"/>
        <v>176</v>
      </c>
      <c r="C824" s="4"/>
      <c r="D824" s="4"/>
      <c r="E824" s="4"/>
      <c r="F824" s="53" t="s">
        <v>200</v>
      </c>
      <c r="G824" s="4">
        <v>637</v>
      </c>
      <c r="H824" s="4" t="s">
        <v>130</v>
      </c>
      <c r="I824" s="26">
        <v>2180</v>
      </c>
      <c r="J824" s="26"/>
      <c r="K824" s="26">
        <f t="shared" si="123"/>
        <v>2180</v>
      </c>
      <c r="L824" s="76"/>
      <c r="M824" s="26"/>
      <c r="N824" s="26"/>
      <c r="O824" s="26">
        <f t="shared" si="124"/>
        <v>0</v>
      </c>
      <c r="P824" s="76"/>
      <c r="Q824" s="26">
        <f t="shared" si="130"/>
        <v>2180</v>
      </c>
      <c r="R824" s="26">
        <f t="shared" si="132"/>
        <v>0</v>
      </c>
      <c r="S824" s="26">
        <f t="shared" si="132"/>
        <v>2180</v>
      </c>
    </row>
    <row r="825" spans="2:19" x14ac:dyDescent="0.2">
      <c r="B825" s="75">
        <f t="shared" si="125"/>
        <v>177</v>
      </c>
      <c r="C825" s="14"/>
      <c r="D825" s="14"/>
      <c r="E825" s="14" t="s">
        <v>108</v>
      </c>
      <c r="F825" s="51"/>
      <c r="G825" s="14"/>
      <c r="H825" s="14" t="s">
        <v>68</v>
      </c>
      <c r="I825" s="48">
        <f>I834+I833+I828+I827+I826</f>
        <v>84604</v>
      </c>
      <c r="J825" s="48">
        <f>J834+J833+J828+J827+J826</f>
        <v>1600</v>
      </c>
      <c r="K825" s="48">
        <f t="shared" si="123"/>
        <v>86204</v>
      </c>
      <c r="L825" s="123"/>
      <c r="M825" s="48">
        <f>M834+M833+M828+M827+M826</f>
        <v>10000</v>
      </c>
      <c r="N825" s="48">
        <f>N834+N833+N828+N827+N826</f>
        <v>0</v>
      </c>
      <c r="O825" s="48">
        <f t="shared" si="124"/>
        <v>10000</v>
      </c>
      <c r="P825" s="123"/>
      <c r="Q825" s="48">
        <f t="shared" si="130"/>
        <v>94604</v>
      </c>
      <c r="R825" s="48">
        <f t="shared" si="132"/>
        <v>1600</v>
      </c>
      <c r="S825" s="48">
        <f t="shared" si="132"/>
        <v>96204</v>
      </c>
    </row>
    <row r="826" spans="2:19" x14ac:dyDescent="0.2">
      <c r="B826" s="75">
        <f t="shared" si="125"/>
        <v>178</v>
      </c>
      <c r="C826" s="15"/>
      <c r="D826" s="15"/>
      <c r="E826" s="15"/>
      <c r="F826" s="52" t="s">
        <v>200</v>
      </c>
      <c r="G826" s="15">
        <v>610</v>
      </c>
      <c r="H826" s="15" t="s">
        <v>137</v>
      </c>
      <c r="I826" s="49">
        <v>49110</v>
      </c>
      <c r="J826" s="49">
        <v>1500</v>
      </c>
      <c r="K826" s="49">
        <f t="shared" si="123"/>
        <v>50610</v>
      </c>
      <c r="L826" s="123"/>
      <c r="M826" s="49"/>
      <c r="N826" s="49"/>
      <c r="O826" s="49">
        <f t="shared" si="124"/>
        <v>0</v>
      </c>
      <c r="P826" s="123"/>
      <c r="Q826" s="49">
        <f t="shared" si="130"/>
        <v>49110</v>
      </c>
      <c r="R826" s="49">
        <f t="shared" si="132"/>
        <v>1500</v>
      </c>
      <c r="S826" s="49">
        <f t="shared" si="132"/>
        <v>50610</v>
      </c>
    </row>
    <row r="827" spans="2:19" x14ac:dyDescent="0.2">
      <c r="B827" s="75">
        <f t="shared" si="125"/>
        <v>179</v>
      </c>
      <c r="C827" s="15"/>
      <c r="D827" s="15"/>
      <c r="E827" s="15"/>
      <c r="F827" s="52" t="s">
        <v>200</v>
      </c>
      <c r="G827" s="15">
        <v>620</v>
      </c>
      <c r="H827" s="15" t="s">
        <v>132</v>
      </c>
      <c r="I827" s="49">
        <v>18790</v>
      </c>
      <c r="J827" s="49">
        <v>100</v>
      </c>
      <c r="K827" s="49">
        <f t="shared" si="123"/>
        <v>18890</v>
      </c>
      <c r="L827" s="123"/>
      <c r="M827" s="49"/>
      <c r="N827" s="49"/>
      <c r="O827" s="49">
        <f t="shared" si="124"/>
        <v>0</v>
      </c>
      <c r="P827" s="123"/>
      <c r="Q827" s="49">
        <f t="shared" si="130"/>
        <v>18790</v>
      </c>
      <c r="R827" s="49">
        <f t="shared" si="132"/>
        <v>100</v>
      </c>
      <c r="S827" s="49">
        <f t="shared" si="132"/>
        <v>18890</v>
      </c>
    </row>
    <row r="828" spans="2:19" x14ac:dyDescent="0.2">
      <c r="B828" s="75">
        <f t="shared" si="125"/>
        <v>180</v>
      </c>
      <c r="C828" s="15"/>
      <c r="D828" s="15"/>
      <c r="E828" s="15"/>
      <c r="F828" s="52" t="s">
        <v>200</v>
      </c>
      <c r="G828" s="15">
        <v>630</v>
      </c>
      <c r="H828" s="15" t="s">
        <v>129</v>
      </c>
      <c r="I828" s="49">
        <f>I832+I831+I830+I829</f>
        <v>15304</v>
      </c>
      <c r="J828" s="49">
        <f>J832+J831+J830+J829</f>
        <v>0</v>
      </c>
      <c r="K828" s="49">
        <f t="shared" si="123"/>
        <v>15304</v>
      </c>
      <c r="L828" s="123"/>
      <c r="M828" s="49">
        <f>M832+M831+M830+M829</f>
        <v>0</v>
      </c>
      <c r="N828" s="49">
        <f>N832+N831+N830+N829</f>
        <v>0</v>
      </c>
      <c r="O828" s="49">
        <f t="shared" si="124"/>
        <v>0</v>
      </c>
      <c r="P828" s="123"/>
      <c r="Q828" s="49">
        <f t="shared" si="130"/>
        <v>15304</v>
      </c>
      <c r="R828" s="49">
        <f t="shared" si="132"/>
        <v>0</v>
      </c>
      <c r="S828" s="49">
        <f t="shared" si="132"/>
        <v>15304</v>
      </c>
    </row>
    <row r="829" spans="2:19" x14ac:dyDescent="0.2">
      <c r="B829" s="75">
        <f t="shared" si="125"/>
        <v>181</v>
      </c>
      <c r="C829" s="4"/>
      <c r="D829" s="4"/>
      <c r="E829" s="4"/>
      <c r="F829" s="53" t="s">
        <v>200</v>
      </c>
      <c r="G829" s="4">
        <v>632</v>
      </c>
      <c r="H829" s="4" t="s">
        <v>140</v>
      </c>
      <c r="I829" s="26">
        <v>320</v>
      </c>
      <c r="J829" s="26"/>
      <c r="K829" s="26">
        <f t="shared" si="123"/>
        <v>320</v>
      </c>
      <c r="L829" s="76"/>
      <c r="M829" s="26"/>
      <c r="N829" s="26"/>
      <c r="O829" s="26">
        <f t="shared" si="124"/>
        <v>0</v>
      </c>
      <c r="P829" s="76"/>
      <c r="Q829" s="26">
        <f t="shared" si="130"/>
        <v>320</v>
      </c>
      <c r="R829" s="26">
        <f t="shared" si="132"/>
        <v>0</v>
      </c>
      <c r="S829" s="26">
        <f t="shared" si="132"/>
        <v>320</v>
      </c>
    </row>
    <row r="830" spans="2:19" x14ac:dyDescent="0.2">
      <c r="B830" s="75">
        <f t="shared" si="125"/>
        <v>182</v>
      </c>
      <c r="C830" s="4"/>
      <c r="D830" s="4"/>
      <c r="E830" s="4"/>
      <c r="F830" s="53" t="s">
        <v>200</v>
      </c>
      <c r="G830" s="4">
        <v>633</v>
      </c>
      <c r="H830" s="4" t="s">
        <v>133</v>
      </c>
      <c r="I830" s="26">
        <f>2876+608</f>
        <v>3484</v>
      </c>
      <c r="J830" s="26"/>
      <c r="K830" s="26">
        <f t="shared" si="123"/>
        <v>3484</v>
      </c>
      <c r="L830" s="76"/>
      <c r="M830" s="26"/>
      <c r="N830" s="26"/>
      <c r="O830" s="26">
        <f t="shared" si="124"/>
        <v>0</v>
      </c>
      <c r="P830" s="76"/>
      <c r="Q830" s="26">
        <f t="shared" si="130"/>
        <v>3484</v>
      </c>
      <c r="R830" s="26">
        <f t="shared" si="132"/>
        <v>0</v>
      </c>
      <c r="S830" s="26">
        <f t="shared" si="132"/>
        <v>3484</v>
      </c>
    </row>
    <row r="831" spans="2:19" x14ac:dyDescent="0.2">
      <c r="B831" s="75">
        <f t="shared" si="125"/>
        <v>183</v>
      </c>
      <c r="C831" s="4"/>
      <c r="D831" s="4"/>
      <c r="E831" s="4"/>
      <c r="F831" s="53" t="s">
        <v>200</v>
      </c>
      <c r="G831" s="4">
        <v>636</v>
      </c>
      <c r="H831" s="4" t="s">
        <v>134</v>
      </c>
      <c r="I831" s="26">
        <v>10000</v>
      </c>
      <c r="J831" s="26"/>
      <c r="K831" s="26">
        <f t="shared" si="123"/>
        <v>10000</v>
      </c>
      <c r="L831" s="76"/>
      <c r="M831" s="26"/>
      <c r="N831" s="26"/>
      <c r="O831" s="26">
        <f t="shared" si="124"/>
        <v>0</v>
      </c>
      <c r="P831" s="76"/>
      <c r="Q831" s="26">
        <f t="shared" si="130"/>
        <v>10000</v>
      </c>
      <c r="R831" s="26">
        <f t="shared" si="132"/>
        <v>0</v>
      </c>
      <c r="S831" s="26">
        <f t="shared" si="132"/>
        <v>10000</v>
      </c>
    </row>
    <row r="832" spans="2:19" x14ac:dyDescent="0.2">
      <c r="B832" s="75">
        <f t="shared" si="125"/>
        <v>184</v>
      </c>
      <c r="C832" s="4"/>
      <c r="D832" s="4"/>
      <c r="E832" s="4"/>
      <c r="F832" s="53" t="s">
        <v>200</v>
      </c>
      <c r="G832" s="4">
        <v>637</v>
      </c>
      <c r="H832" s="4" t="s">
        <v>130</v>
      </c>
      <c r="I832" s="26">
        <v>1500</v>
      </c>
      <c r="J832" s="26"/>
      <c r="K832" s="26">
        <f t="shared" si="123"/>
        <v>1500</v>
      </c>
      <c r="L832" s="76"/>
      <c r="M832" s="26"/>
      <c r="N832" s="26"/>
      <c r="O832" s="26">
        <f t="shared" si="124"/>
        <v>0</v>
      </c>
      <c r="P832" s="76"/>
      <c r="Q832" s="26">
        <f t="shared" si="130"/>
        <v>1500</v>
      </c>
      <c r="R832" s="26">
        <f t="shared" si="132"/>
        <v>0</v>
      </c>
      <c r="S832" s="26">
        <f t="shared" si="132"/>
        <v>1500</v>
      </c>
    </row>
    <row r="833" spans="2:19" x14ac:dyDescent="0.2">
      <c r="B833" s="75">
        <f t="shared" si="125"/>
        <v>185</v>
      </c>
      <c r="C833" s="15"/>
      <c r="D833" s="15"/>
      <c r="E833" s="15"/>
      <c r="F833" s="52" t="s">
        <v>200</v>
      </c>
      <c r="G833" s="15">
        <v>640</v>
      </c>
      <c r="H833" s="15" t="s">
        <v>136</v>
      </c>
      <c r="I833" s="49">
        <v>1400</v>
      </c>
      <c r="J833" s="49"/>
      <c r="K833" s="49">
        <f t="shared" si="123"/>
        <v>1400</v>
      </c>
      <c r="L833" s="123"/>
      <c r="M833" s="49"/>
      <c r="N833" s="49"/>
      <c r="O833" s="49">
        <f t="shared" si="124"/>
        <v>0</v>
      </c>
      <c r="P833" s="123"/>
      <c r="Q833" s="49">
        <f t="shared" ref="Q833:Q864" si="133">M833+I833</f>
        <v>1400</v>
      </c>
      <c r="R833" s="49">
        <f t="shared" ref="R833:S848" si="134">N833+J833</f>
        <v>0</v>
      </c>
      <c r="S833" s="49">
        <f t="shared" si="134"/>
        <v>1400</v>
      </c>
    </row>
    <row r="834" spans="2:19" x14ac:dyDescent="0.2">
      <c r="B834" s="75">
        <f t="shared" si="125"/>
        <v>186</v>
      </c>
      <c r="C834" s="15"/>
      <c r="D834" s="15"/>
      <c r="E834" s="15"/>
      <c r="F834" s="52" t="s">
        <v>200</v>
      </c>
      <c r="G834" s="15">
        <v>710</v>
      </c>
      <c r="H834" s="15" t="s">
        <v>185</v>
      </c>
      <c r="I834" s="49">
        <f>I835</f>
        <v>0</v>
      </c>
      <c r="J834" s="49">
        <f>J835</f>
        <v>0</v>
      </c>
      <c r="K834" s="49">
        <f t="shared" si="123"/>
        <v>0</v>
      </c>
      <c r="L834" s="123"/>
      <c r="M834" s="49">
        <f>M835</f>
        <v>10000</v>
      </c>
      <c r="N834" s="49">
        <f>N835</f>
        <v>0</v>
      </c>
      <c r="O834" s="49">
        <f t="shared" si="124"/>
        <v>10000</v>
      </c>
      <c r="P834" s="123"/>
      <c r="Q834" s="49">
        <f t="shared" si="133"/>
        <v>10000</v>
      </c>
      <c r="R834" s="49">
        <f t="shared" si="134"/>
        <v>0</v>
      </c>
      <c r="S834" s="49">
        <f t="shared" si="134"/>
        <v>10000</v>
      </c>
    </row>
    <row r="835" spans="2:19" x14ac:dyDescent="0.2">
      <c r="B835" s="75">
        <f t="shared" si="125"/>
        <v>187</v>
      </c>
      <c r="C835" s="4"/>
      <c r="D835" s="4"/>
      <c r="E835" s="4"/>
      <c r="F835" s="86" t="s">
        <v>200</v>
      </c>
      <c r="G835" s="87">
        <v>717</v>
      </c>
      <c r="H835" s="87" t="s">
        <v>195</v>
      </c>
      <c r="I835" s="88"/>
      <c r="J835" s="88"/>
      <c r="K835" s="88">
        <f t="shared" si="123"/>
        <v>0</v>
      </c>
      <c r="L835" s="76"/>
      <c r="M835" s="88">
        <f>M836</f>
        <v>10000</v>
      </c>
      <c r="N835" s="88">
        <f>N836</f>
        <v>0</v>
      </c>
      <c r="O835" s="88">
        <f t="shared" si="124"/>
        <v>10000</v>
      </c>
      <c r="P835" s="76"/>
      <c r="Q835" s="88">
        <f t="shared" si="133"/>
        <v>10000</v>
      </c>
      <c r="R835" s="88">
        <f t="shared" si="134"/>
        <v>0</v>
      </c>
      <c r="S835" s="88">
        <f t="shared" si="134"/>
        <v>10000</v>
      </c>
    </row>
    <row r="836" spans="2:19" x14ac:dyDescent="0.2">
      <c r="B836" s="75">
        <f t="shared" si="125"/>
        <v>188</v>
      </c>
      <c r="C836" s="4"/>
      <c r="D836" s="4"/>
      <c r="E836" s="4"/>
      <c r="F836" s="53"/>
      <c r="G836" s="4"/>
      <c r="H836" s="4" t="s">
        <v>345</v>
      </c>
      <c r="I836" s="26"/>
      <c r="J836" s="26"/>
      <c r="K836" s="26">
        <f t="shared" si="123"/>
        <v>0</v>
      </c>
      <c r="L836" s="76"/>
      <c r="M836" s="26">
        <v>10000</v>
      </c>
      <c r="N836" s="26"/>
      <c r="O836" s="26">
        <f t="shared" si="124"/>
        <v>10000</v>
      </c>
      <c r="P836" s="76"/>
      <c r="Q836" s="26">
        <f t="shared" si="133"/>
        <v>10000</v>
      </c>
      <c r="R836" s="26">
        <f t="shared" si="134"/>
        <v>0</v>
      </c>
      <c r="S836" s="26">
        <f t="shared" si="134"/>
        <v>10000</v>
      </c>
    </row>
    <row r="837" spans="2:19" x14ac:dyDescent="0.2">
      <c r="B837" s="75">
        <f t="shared" si="125"/>
        <v>189</v>
      </c>
      <c r="C837" s="14"/>
      <c r="D837" s="14"/>
      <c r="E837" s="14" t="s">
        <v>109</v>
      </c>
      <c r="F837" s="51"/>
      <c r="G837" s="14"/>
      <c r="H837" s="14" t="s">
        <v>110</v>
      </c>
      <c r="I837" s="48">
        <f>I847+I846+I840+I839+I838</f>
        <v>237267</v>
      </c>
      <c r="J837" s="48">
        <f>J847+J846+J840+J839+J838</f>
        <v>1200</v>
      </c>
      <c r="K837" s="48">
        <f t="shared" si="123"/>
        <v>238467</v>
      </c>
      <c r="L837" s="123"/>
      <c r="M837" s="48">
        <f>M847+M846+M840+M839+M838</f>
        <v>30000</v>
      </c>
      <c r="N837" s="48">
        <f>N847+N846+N840+N839+N838</f>
        <v>0</v>
      </c>
      <c r="O837" s="48">
        <f t="shared" si="124"/>
        <v>30000</v>
      </c>
      <c r="P837" s="123"/>
      <c r="Q837" s="48">
        <f t="shared" si="133"/>
        <v>267267</v>
      </c>
      <c r="R837" s="48">
        <f t="shared" si="134"/>
        <v>1200</v>
      </c>
      <c r="S837" s="48">
        <f t="shared" si="134"/>
        <v>268467</v>
      </c>
    </row>
    <row r="838" spans="2:19" x14ac:dyDescent="0.2">
      <c r="B838" s="75">
        <f t="shared" si="125"/>
        <v>190</v>
      </c>
      <c r="C838" s="15"/>
      <c r="D838" s="15"/>
      <c r="E838" s="15"/>
      <c r="F838" s="52" t="s">
        <v>200</v>
      </c>
      <c r="G838" s="15">
        <v>610</v>
      </c>
      <c r="H838" s="15" t="s">
        <v>137</v>
      </c>
      <c r="I838" s="49">
        <v>148370</v>
      </c>
      <c r="J838" s="49">
        <v>900</v>
      </c>
      <c r="K838" s="49">
        <f t="shared" si="123"/>
        <v>149270</v>
      </c>
      <c r="L838" s="123"/>
      <c r="M838" s="49"/>
      <c r="N838" s="49"/>
      <c r="O838" s="49">
        <f t="shared" si="124"/>
        <v>0</v>
      </c>
      <c r="P838" s="123"/>
      <c r="Q838" s="49">
        <f t="shared" si="133"/>
        <v>148370</v>
      </c>
      <c r="R838" s="49">
        <f t="shared" si="134"/>
        <v>900</v>
      </c>
      <c r="S838" s="49">
        <f t="shared" si="134"/>
        <v>149270</v>
      </c>
    </row>
    <row r="839" spans="2:19" x14ac:dyDescent="0.2">
      <c r="B839" s="75">
        <f t="shared" si="125"/>
        <v>191</v>
      </c>
      <c r="C839" s="15"/>
      <c r="D839" s="15"/>
      <c r="E839" s="15"/>
      <c r="F839" s="52" t="s">
        <v>200</v>
      </c>
      <c r="G839" s="15">
        <v>620</v>
      </c>
      <c r="H839" s="15" t="s">
        <v>132</v>
      </c>
      <c r="I839" s="49">
        <v>55095</v>
      </c>
      <c r="J839" s="49">
        <v>300</v>
      </c>
      <c r="K839" s="49">
        <f t="shared" si="123"/>
        <v>55395</v>
      </c>
      <c r="L839" s="123"/>
      <c r="M839" s="49"/>
      <c r="N839" s="49"/>
      <c r="O839" s="49">
        <f t="shared" si="124"/>
        <v>0</v>
      </c>
      <c r="P839" s="123"/>
      <c r="Q839" s="49">
        <f t="shared" si="133"/>
        <v>55095</v>
      </c>
      <c r="R839" s="49">
        <f t="shared" si="134"/>
        <v>300</v>
      </c>
      <c r="S839" s="49">
        <f t="shared" si="134"/>
        <v>55395</v>
      </c>
    </row>
    <row r="840" spans="2:19" x14ac:dyDescent="0.2">
      <c r="B840" s="75">
        <f t="shared" si="125"/>
        <v>192</v>
      </c>
      <c r="C840" s="15"/>
      <c r="D840" s="15"/>
      <c r="E840" s="15"/>
      <c r="F840" s="52" t="s">
        <v>200</v>
      </c>
      <c r="G840" s="15">
        <v>630</v>
      </c>
      <c r="H840" s="15" t="s">
        <v>129</v>
      </c>
      <c r="I840" s="49">
        <f>I845+I844+I843+I842+I841</f>
        <v>30522</v>
      </c>
      <c r="J840" s="49">
        <f>J845+J844+J843+J842+J841</f>
        <v>0</v>
      </c>
      <c r="K840" s="49">
        <f t="shared" si="123"/>
        <v>30522</v>
      </c>
      <c r="L840" s="123"/>
      <c r="M840" s="49">
        <f>M845+M844+M843+M842+M841</f>
        <v>0</v>
      </c>
      <c r="N840" s="49">
        <f>N845+N844+N843+N842+N841</f>
        <v>0</v>
      </c>
      <c r="O840" s="49">
        <f t="shared" si="124"/>
        <v>0</v>
      </c>
      <c r="P840" s="123"/>
      <c r="Q840" s="49">
        <f t="shared" si="133"/>
        <v>30522</v>
      </c>
      <c r="R840" s="49">
        <f t="shared" si="134"/>
        <v>0</v>
      </c>
      <c r="S840" s="49">
        <f t="shared" si="134"/>
        <v>30522</v>
      </c>
    </row>
    <row r="841" spans="2:19" x14ac:dyDescent="0.2">
      <c r="B841" s="75">
        <f t="shared" si="125"/>
        <v>193</v>
      </c>
      <c r="C841" s="4"/>
      <c r="D841" s="4"/>
      <c r="E841" s="4"/>
      <c r="F841" s="53" t="s">
        <v>200</v>
      </c>
      <c r="G841" s="4">
        <v>632</v>
      </c>
      <c r="H841" s="4" t="s">
        <v>140</v>
      </c>
      <c r="I841" s="26">
        <v>7530</v>
      </c>
      <c r="J841" s="26"/>
      <c r="K841" s="26">
        <f t="shared" si="123"/>
        <v>7530</v>
      </c>
      <c r="L841" s="76"/>
      <c r="M841" s="26"/>
      <c r="N841" s="26"/>
      <c r="O841" s="26">
        <f t="shared" si="124"/>
        <v>0</v>
      </c>
      <c r="P841" s="76"/>
      <c r="Q841" s="26">
        <f t="shared" si="133"/>
        <v>7530</v>
      </c>
      <c r="R841" s="26">
        <f t="shared" si="134"/>
        <v>0</v>
      </c>
      <c r="S841" s="26">
        <f t="shared" si="134"/>
        <v>7530</v>
      </c>
    </row>
    <row r="842" spans="2:19" x14ac:dyDescent="0.2">
      <c r="B842" s="75">
        <f t="shared" si="125"/>
        <v>194</v>
      </c>
      <c r="C842" s="4"/>
      <c r="D842" s="4"/>
      <c r="E842" s="4"/>
      <c r="F842" s="53" t="s">
        <v>200</v>
      </c>
      <c r="G842" s="4">
        <v>633</v>
      </c>
      <c r="H842" s="4" t="s">
        <v>133</v>
      </c>
      <c r="I842" s="26">
        <f>8500+2192</f>
        <v>10692</v>
      </c>
      <c r="J842" s="26"/>
      <c r="K842" s="26">
        <f t="shared" si="123"/>
        <v>10692</v>
      </c>
      <c r="L842" s="76"/>
      <c r="M842" s="26"/>
      <c r="N842" s="26"/>
      <c r="O842" s="26">
        <f t="shared" si="124"/>
        <v>0</v>
      </c>
      <c r="P842" s="76"/>
      <c r="Q842" s="26">
        <f t="shared" si="133"/>
        <v>10692</v>
      </c>
      <c r="R842" s="26">
        <f t="shared" si="134"/>
        <v>0</v>
      </c>
      <c r="S842" s="26">
        <f t="shared" si="134"/>
        <v>10692</v>
      </c>
    </row>
    <row r="843" spans="2:19" x14ac:dyDescent="0.2">
      <c r="B843" s="75">
        <f t="shared" si="125"/>
        <v>195</v>
      </c>
      <c r="C843" s="4"/>
      <c r="D843" s="4"/>
      <c r="E843" s="4"/>
      <c r="F843" s="53" t="s">
        <v>200</v>
      </c>
      <c r="G843" s="4">
        <v>635</v>
      </c>
      <c r="H843" s="4" t="s">
        <v>139</v>
      </c>
      <c r="I843" s="26">
        <v>600</v>
      </c>
      <c r="J843" s="26"/>
      <c r="K843" s="26">
        <f t="shared" ref="K843:K908" si="135">I843+J843</f>
        <v>600</v>
      </c>
      <c r="L843" s="76"/>
      <c r="M843" s="26"/>
      <c r="N843" s="26"/>
      <c r="O843" s="26">
        <f t="shared" ref="O843:O908" si="136">M843+N843</f>
        <v>0</v>
      </c>
      <c r="P843" s="76"/>
      <c r="Q843" s="26">
        <f t="shared" si="133"/>
        <v>600</v>
      </c>
      <c r="R843" s="26">
        <f t="shared" si="134"/>
        <v>0</v>
      </c>
      <c r="S843" s="26">
        <f t="shared" si="134"/>
        <v>600</v>
      </c>
    </row>
    <row r="844" spans="2:19" x14ac:dyDescent="0.2">
      <c r="B844" s="75">
        <f t="shared" ref="B844:B909" si="137">B843+1</f>
        <v>196</v>
      </c>
      <c r="C844" s="4"/>
      <c r="D844" s="4"/>
      <c r="E844" s="4"/>
      <c r="F844" s="53" t="s">
        <v>200</v>
      </c>
      <c r="G844" s="4">
        <v>636</v>
      </c>
      <c r="H844" s="4" t="s">
        <v>134</v>
      </c>
      <c r="I844" s="26">
        <v>4700</v>
      </c>
      <c r="J844" s="26"/>
      <c r="K844" s="26">
        <f t="shared" si="135"/>
        <v>4700</v>
      </c>
      <c r="L844" s="76"/>
      <c r="M844" s="26"/>
      <c r="N844" s="26"/>
      <c r="O844" s="26">
        <f t="shared" si="136"/>
        <v>0</v>
      </c>
      <c r="P844" s="76"/>
      <c r="Q844" s="26">
        <f t="shared" si="133"/>
        <v>4700</v>
      </c>
      <c r="R844" s="26">
        <f t="shared" si="134"/>
        <v>0</v>
      </c>
      <c r="S844" s="26">
        <f t="shared" si="134"/>
        <v>4700</v>
      </c>
    </row>
    <row r="845" spans="2:19" x14ac:dyDescent="0.2">
      <c r="B845" s="75">
        <f t="shared" si="137"/>
        <v>197</v>
      </c>
      <c r="C845" s="4"/>
      <c r="D845" s="4"/>
      <c r="E845" s="4"/>
      <c r="F845" s="53" t="s">
        <v>200</v>
      </c>
      <c r="G845" s="4">
        <v>637</v>
      </c>
      <c r="H845" s="4" t="s">
        <v>130</v>
      </c>
      <c r="I845" s="26">
        <v>7000</v>
      </c>
      <c r="J845" s="26"/>
      <c r="K845" s="26">
        <f t="shared" si="135"/>
        <v>7000</v>
      </c>
      <c r="L845" s="76"/>
      <c r="M845" s="26"/>
      <c r="N845" s="26"/>
      <c r="O845" s="26">
        <f t="shared" si="136"/>
        <v>0</v>
      </c>
      <c r="P845" s="76"/>
      <c r="Q845" s="26">
        <f t="shared" si="133"/>
        <v>7000</v>
      </c>
      <c r="R845" s="26">
        <f t="shared" si="134"/>
        <v>0</v>
      </c>
      <c r="S845" s="26">
        <f t="shared" si="134"/>
        <v>7000</v>
      </c>
    </row>
    <row r="846" spans="2:19" x14ac:dyDescent="0.2">
      <c r="B846" s="75">
        <f t="shared" si="137"/>
        <v>198</v>
      </c>
      <c r="C846" s="15"/>
      <c r="D846" s="15"/>
      <c r="E846" s="15"/>
      <c r="F846" s="52" t="s">
        <v>200</v>
      </c>
      <c r="G846" s="15">
        <v>640</v>
      </c>
      <c r="H846" s="15" t="s">
        <v>136</v>
      </c>
      <c r="I846" s="49">
        <v>3280</v>
      </c>
      <c r="J846" s="49"/>
      <c r="K846" s="49">
        <f t="shared" si="135"/>
        <v>3280</v>
      </c>
      <c r="L846" s="123"/>
      <c r="M846" s="49"/>
      <c r="N846" s="49"/>
      <c r="O846" s="49">
        <f t="shared" si="136"/>
        <v>0</v>
      </c>
      <c r="P846" s="123"/>
      <c r="Q846" s="49">
        <f t="shared" si="133"/>
        <v>3280</v>
      </c>
      <c r="R846" s="49">
        <f t="shared" si="134"/>
        <v>0</v>
      </c>
      <c r="S846" s="49">
        <f t="shared" si="134"/>
        <v>3280</v>
      </c>
    </row>
    <row r="847" spans="2:19" x14ac:dyDescent="0.2">
      <c r="B847" s="75">
        <f t="shared" si="137"/>
        <v>199</v>
      </c>
      <c r="C847" s="15"/>
      <c r="D847" s="15"/>
      <c r="E847" s="15"/>
      <c r="F847" s="52" t="s">
        <v>200</v>
      </c>
      <c r="G847" s="15">
        <v>710</v>
      </c>
      <c r="H847" s="15" t="s">
        <v>185</v>
      </c>
      <c r="I847" s="49">
        <f>I848</f>
        <v>0</v>
      </c>
      <c r="J847" s="49"/>
      <c r="K847" s="49">
        <f t="shared" si="135"/>
        <v>0</v>
      </c>
      <c r="L847" s="123"/>
      <c r="M847" s="49">
        <f>M848</f>
        <v>30000</v>
      </c>
      <c r="N847" s="49">
        <f>N848</f>
        <v>0</v>
      </c>
      <c r="O847" s="49">
        <f t="shared" si="136"/>
        <v>30000</v>
      </c>
      <c r="P847" s="123"/>
      <c r="Q847" s="49">
        <f t="shared" si="133"/>
        <v>30000</v>
      </c>
      <c r="R847" s="49">
        <f t="shared" si="134"/>
        <v>0</v>
      </c>
      <c r="S847" s="49">
        <f t="shared" si="134"/>
        <v>30000</v>
      </c>
    </row>
    <row r="848" spans="2:19" x14ac:dyDescent="0.2">
      <c r="B848" s="75">
        <f t="shared" si="137"/>
        <v>200</v>
      </c>
      <c r="C848" s="4"/>
      <c r="D848" s="4"/>
      <c r="E848" s="4"/>
      <c r="F848" s="86" t="s">
        <v>200</v>
      </c>
      <c r="G848" s="87">
        <v>717</v>
      </c>
      <c r="H848" s="87" t="s">
        <v>195</v>
      </c>
      <c r="I848" s="88"/>
      <c r="J848" s="88"/>
      <c r="K848" s="88">
        <f t="shared" si="135"/>
        <v>0</v>
      </c>
      <c r="L848" s="76"/>
      <c r="M848" s="88">
        <f>M849</f>
        <v>30000</v>
      </c>
      <c r="N848" s="88">
        <f>N849</f>
        <v>0</v>
      </c>
      <c r="O848" s="88">
        <f t="shared" si="136"/>
        <v>30000</v>
      </c>
      <c r="P848" s="76"/>
      <c r="Q848" s="88">
        <f t="shared" si="133"/>
        <v>30000</v>
      </c>
      <c r="R848" s="88">
        <f t="shared" si="134"/>
        <v>0</v>
      </c>
      <c r="S848" s="88">
        <f t="shared" si="134"/>
        <v>30000</v>
      </c>
    </row>
    <row r="849" spans="2:19" x14ac:dyDescent="0.2">
      <c r="B849" s="75">
        <f t="shared" si="137"/>
        <v>201</v>
      </c>
      <c r="C849" s="4"/>
      <c r="D849" s="4"/>
      <c r="E849" s="4"/>
      <c r="F849" s="53"/>
      <c r="G849" s="4"/>
      <c r="H849" s="38" t="s">
        <v>428</v>
      </c>
      <c r="I849" s="26"/>
      <c r="J849" s="26"/>
      <c r="K849" s="26">
        <f t="shared" si="135"/>
        <v>0</v>
      </c>
      <c r="L849" s="76"/>
      <c r="M849" s="26">
        <v>30000</v>
      </c>
      <c r="N849" s="26"/>
      <c r="O849" s="26">
        <f t="shared" si="136"/>
        <v>30000</v>
      </c>
      <c r="P849" s="76"/>
      <c r="Q849" s="26">
        <f t="shared" si="133"/>
        <v>30000</v>
      </c>
      <c r="R849" s="26">
        <f t="shared" ref="R849:S864" si="138">N849+J849</f>
        <v>0</v>
      </c>
      <c r="S849" s="26">
        <f t="shared" si="138"/>
        <v>30000</v>
      </c>
    </row>
    <row r="850" spans="2:19" ht="15" x14ac:dyDescent="0.2">
      <c r="B850" s="75">
        <f t="shared" si="137"/>
        <v>202</v>
      </c>
      <c r="C850" s="164">
        <v>2</v>
      </c>
      <c r="D850" s="230" t="s">
        <v>194</v>
      </c>
      <c r="E850" s="228"/>
      <c r="F850" s="228"/>
      <c r="G850" s="228"/>
      <c r="H850" s="229"/>
      <c r="I850" s="45">
        <f>I855+I868+I891+I920+I943+I970+I1001+I1025+I1051+I854+I851</f>
        <v>6849644</v>
      </c>
      <c r="J850" s="45">
        <f>J855+J868+J891+J920+J943+J970+J1001+J1025+J1051+J854+J851</f>
        <v>64770</v>
      </c>
      <c r="K850" s="45">
        <f t="shared" si="135"/>
        <v>6914414</v>
      </c>
      <c r="L850" s="172"/>
      <c r="M850" s="45">
        <f>M855+M868+M891+M920+M943+M970+M1001+M1025+M1051</f>
        <v>213000</v>
      </c>
      <c r="N850" s="45">
        <f>N855+N868+N891+N920+N943+N970+N1001+N1025+N1051</f>
        <v>0</v>
      </c>
      <c r="O850" s="45">
        <f t="shared" si="136"/>
        <v>213000</v>
      </c>
      <c r="P850" s="172"/>
      <c r="Q850" s="45">
        <f t="shared" si="133"/>
        <v>7062644</v>
      </c>
      <c r="R850" s="45">
        <f t="shared" si="138"/>
        <v>64770</v>
      </c>
      <c r="S850" s="45">
        <f t="shared" si="138"/>
        <v>7127414</v>
      </c>
    </row>
    <row r="851" spans="2:19" x14ac:dyDescent="0.2">
      <c r="B851" s="75">
        <f t="shared" si="137"/>
        <v>203</v>
      </c>
      <c r="C851" s="15"/>
      <c r="D851" s="15"/>
      <c r="E851" s="15"/>
      <c r="F851" s="52" t="s">
        <v>272</v>
      </c>
      <c r="G851" s="15">
        <v>630</v>
      </c>
      <c r="H851" s="15" t="s">
        <v>129</v>
      </c>
      <c r="I851" s="49">
        <f>I852</f>
        <v>793</v>
      </c>
      <c r="J851" s="49">
        <f>J852</f>
        <v>0</v>
      </c>
      <c r="K851" s="49">
        <f t="shared" si="135"/>
        <v>793</v>
      </c>
      <c r="L851" s="123"/>
      <c r="M851" s="49"/>
      <c r="N851" s="49"/>
      <c r="O851" s="49">
        <f t="shared" si="136"/>
        <v>0</v>
      </c>
      <c r="P851" s="123"/>
      <c r="Q851" s="49">
        <f t="shared" si="133"/>
        <v>793</v>
      </c>
      <c r="R851" s="49">
        <f t="shared" si="138"/>
        <v>0</v>
      </c>
      <c r="S851" s="49">
        <f t="shared" si="138"/>
        <v>793</v>
      </c>
    </row>
    <row r="852" spans="2:19" x14ac:dyDescent="0.2">
      <c r="B852" s="75">
        <f t="shared" si="137"/>
        <v>204</v>
      </c>
      <c r="C852" s="79"/>
      <c r="D852" s="79"/>
      <c r="E852" s="79"/>
      <c r="F852" s="80"/>
      <c r="G852" s="79"/>
      <c r="H852" s="81" t="s">
        <v>610</v>
      </c>
      <c r="I852" s="62">
        <v>793</v>
      </c>
      <c r="J852" s="62"/>
      <c r="K852" s="62">
        <f t="shared" si="135"/>
        <v>793</v>
      </c>
      <c r="L852" s="161"/>
      <c r="M852" s="62"/>
      <c r="N852" s="62"/>
      <c r="O852" s="62">
        <f t="shared" si="136"/>
        <v>0</v>
      </c>
      <c r="P852" s="161"/>
      <c r="Q852" s="62">
        <f t="shared" si="133"/>
        <v>793</v>
      </c>
      <c r="R852" s="62">
        <f t="shared" si="138"/>
        <v>0</v>
      </c>
      <c r="S852" s="62">
        <f t="shared" si="138"/>
        <v>793</v>
      </c>
    </row>
    <row r="853" spans="2:19" x14ac:dyDescent="0.2">
      <c r="B853" s="75">
        <f t="shared" si="137"/>
        <v>205</v>
      </c>
      <c r="C853" s="15"/>
      <c r="D853" s="15"/>
      <c r="E853" s="15"/>
      <c r="F853" s="52" t="s">
        <v>272</v>
      </c>
      <c r="G853" s="15">
        <v>640</v>
      </c>
      <c r="H853" s="15" t="s">
        <v>136</v>
      </c>
      <c r="I853" s="49"/>
      <c r="J853" s="49"/>
      <c r="K853" s="49">
        <f t="shared" si="135"/>
        <v>0</v>
      </c>
      <c r="L853" s="123"/>
      <c r="M853" s="49"/>
      <c r="N853" s="49"/>
      <c r="O853" s="49">
        <f t="shared" si="136"/>
        <v>0</v>
      </c>
      <c r="P853" s="123"/>
      <c r="Q853" s="49">
        <f t="shared" si="133"/>
        <v>0</v>
      </c>
      <c r="R853" s="49">
        <f t="shared" si="138"/>
        <v>0</v>
      </c>
      <c r="S853" s="49">
        <f t="shared" si="138"/>
        <v>0</v>
      </c>
    </row>
    <row r="854" spans="2:19" ht="24" x14ac:dyDescent="0.2">
      <c r="B854" s="75">
        <f t="shared" si="137"/>
        <v>206</v>
      </c>
      <c r="C854" s="79"/>
      <c r="D854" s="79"/>
      <c r="E854" s="79"/>
      <c r="F854" s="80" t="s">
        <v>272</v>
      </c>
      <c r="G854" s="79">
        <v>641</v>
      </c>
      <c r="H854" s="81" t="s">
        <v>603</v>
      </c>
      <c r="I854" s="62">
        <v>3300</v>
      </c>
      <c r="J854" s="62"/>
      <c r="K854" s="62">
        <f t="shared" si="135"/>
        <v>3300</v>
      </c>
      <c r="L854" s="161"/>
      <c r="M854" s="62"/>
      <c r="N854" s="62"/>
      <c r="O854" s="62">
        <f t="shared" si="136"/>
        <v>0</v>
      </c>
      <c r="P854" s="161"/>
      <c r="Q854" s="62">
        <f t="shared" si="133"/>
        <v>3300</v>
      </c>
      <c r="R854" s="62">
        <f t="shared" si="138"/>
        <v>0</v>
      </c>
      <c r="S854" s="62">
        <f t="shared" si="138"/>
        <v>3300</v>
      </c>
    </row>
    <row r="855" spans="2:19" ht="15" x14ac:dyDescent="0.25">
      <c r="B855" s="75">
        <f t="shared" si="137"/>
        <v>207</v>
      </c>
      <c r="C855" s="18"/>
      <c r="D855" s="18"/>
      <c r="E855" s="18">
        <v>4</v>
      </c>
      <c r="F855" s="50"/>
      <c r="G855" s="18"/>
      <c r="H855" s="18" t="s">
        <v>86</v>
      </c>
      <c r="I855" s="47">
        <f>I856</f>
        <v>89578</v>
      </c>
      <c r="J855" s="47">
        <f>J856</f>
        <v>510</v>
      </c>
      <c r="K855" s="47">
        <f t="shared" si="135"/>
        <v>90088</v>
      </c>
      <c r="L855" s="174"/>
      <c r="M855" s="47">
        <f>M856</f>
        <v>50000</v>
      </c>
      <c r="N855" s="47">
        <f>N856</f>
        <v>0</v>
      </c>
      <c r="O855" s="47">
        <f t="shared" si="136"/>
        <v>50000</v>
      </c>
      <c r="P855" s="174"/>
      <c r="Q855" s="47">
        <f t="shared" si="133"/>
        <v>139578</v>
      </c>
      <c r="R855" s="47">
        <f t="shared" si="138"/>
        <v>510</v>
      </c>
      <c r="S855" s="47">
        <f t="shared" si="138"/>
        <v>140088</v>
      </c>
    </row>
    <row r="856" spans="2:19" x14ac:dyDescent="0.2">
      <c r="B856" s="75">
        <f t="shared" si="137"/>
        <v>208</v>
      </c>
      <c r="C856" s="14"/>
      <c r="D856" s="14"/>
      <c r="E856" s="14" t="s">
        <v>93</v>
      </c>
      <c r="F856" s="51"/>
      <c r="G856" s="14"/>
      <c r="H856" s="14" t="s">
        <v>94</v>
      </c>
      <c r="I856" s="48">
        <f>I859+I858+I857+I863</f>
        <v>89578</v>
      </c>
      <c r="J856" s="48">
        <f>J859+J858+J857+J863</f>
        <v>510</v>
      </c>
      <c r="K856" s="48">
        <f t="shared" si="135"/>
        <v>90088</v>
      </c>
      <c r="L856" s="123"/>
      <c r="M856" s="48">
        <f>M859+M858+M857+M863</f>
        <v>50000</v>
      </c>
      <c r="N856" s="48">
        <f>N859+N858+N857+N863</f>
        <v>0</v>
      </c>
      <c r="O856" s="48">
        <f t="shared" si="136"/>
        <v>50000</v>
      </c>
      <c r="P856" s="123"/>
      <c r="Q856" s="48">
        <f t="shared" si="133"/>
        <v>139578</v>
      </c>
      <c r="R856" s="48">
        <f t="shared" si="138"/>
        <v>510</v>
      </c>
      <c r="S856" s="48">
        <f t="shared" si="138"/>
        <v>140088</v>
      </c>
    </row>
    <row r="857" spans="2:19" x14ac:dyDescent="0.2">
      <c r="B857" s="75">
        <f t="shared" si="137"/>
        <v>209</v>
      </c>
      <c r="C857" s="15"/>
      <c r="D857" s="15"/>
      <c r="E857" s="15"/>
      <c r="F857" s="52" t="s">
        <v>127</v>
      </c>
      <c r="G857" s="15">
        <v>610</v>
      </c>
      <c r="H857" s="15" t="s">
        <v>137</v>
      </c>
      <c r="I857" s="49">
        <v>58195</v>
      </c>
      <c r="J857" s="49">
        <f>7410-6095</f>
        <v>1315</v>
      </c>
      <c r="K857" s="49">
        <f t="shared" si="135"/>
        <v>59510</v>
      </c>
      <c r="L857" s="123"/>
      <c r="M857" s="49"/>
      <c r="N857" s="49"/>
      <c r="O857" s="49">
        <f t="shared" si="136"/>
        <v>0</v>
      </c>
      <c r="P857" s="123"/>
      <c r="Q857" s="49">
        <f t="shared" si="133"/>
        <v>58195</v>
      </c>
      <c r="R857" s="49">
        <f t="shared" si="138"/>
        <v>1315</v>
      </c>
      <c r="S857" s="49">
        <f t="shared" si="138"/>
        <v>59510</v>
      </c>
    </row>
    <row r="858" spans="2:19" x14ac:dyDescent="0.2">
      <c r="B858" s="75">
        <f t="shared" si="137"/>
        <v>210</v>
      </c>
      <c r="C858" s="15"/>
      <c r="D858" s="15"/>
      <c r="E858" s="15"/>
      <c r="F858" s="52" t="s">
        <v>127</v>
      </c>
      <c r="G858" s="15">
        <v>620</v>
      </c>
      <c r="H858" s="15" t="s">
        <v>132</v>
      </c>
      <c r="I858" s="49">
        <v>21605</v>
      </c>
      <c r="J858" s="49">
        <f>2590-3395</f>
        <v>-805</v>
      </c>
      <c r="K858" s="49">
        <f t="shared" si="135"/>
        <v>20800</v>
      </c>
      <c r="L858" s="123"/>
      <c r="M858" s="49"/>
      <c r="N858" s="49"/>
      <c r="O858" s="49">
        <f t="shared" si="136"/>
        <v>0</v>
      </c>
      <c r="P858" s="123"/>
      <c r="Q858" s="49">
        <f t="shared" si="133"/>
        <v>21605</v>
      </c>
      <c r="R858" s="49">
        <f t="shared" si="138"/>
        <v>-805</v>
      </c>
      <c r="S858" s="49">
        <f t="shared" si="138"/>
        <v>20800</v>
      </c>
    </row>
    <row r="859" spans="2:19" x14ac:dyDescent="0.2">
      <c r="B859" s="75">
        <f t="shared" si="137"/>
        <v>211</v>
      </c>
      <c r="C859" s="15"/>
      <c r="D859" s="15"/>
      <c r="E859" s="15"/>
      <c r="F859" s="52" t="s">
        <v>127</v>
      </c>
      <c r="G859" s="15">
        <v>630</v>
      </c>
      <c r="H859" s="15" t="s">
        <v>129</v>
      </c>
      <c r="I859" s="49">
        <f>I860+I861+I862</f>
        <v>9778</v>
      </c>
      <c r="J859" s="49">
        <f>J860+J861+J862</f>
        <v>0</v>
      </c>
      <c r="K859" s="49">
        <f t="shared" si="135"/>
        <v>9778</v>
      </c>
      <c r="L859" s="123"/>
      <c r="M859" s="49">
        <v>0</v>
      </c>
      <c r="N859" s="49"/>
      <c r="O859" s="49">
        <f t="shared" si="136"/>
        <v>0</v>
      </c>
      <c r="P859" s="123"/>
      <c r="Q859" s="49">
        <f t="shared" si="133"/>
        <v>9778</v>
      </c>
      <c r="R859" s="49">
        <f t="shared" si="138"/>
        <v>0</v>
      </c>
      <c r="S859" s="49">
        <f t="shared" si="138"/>
        <v>9778</v>
      </c>
    </row>
    <row r="860" spans="2:19" x14ac:dyDescent="0.2">
      <c r="B860" s="75">
        <f t="shared" si="137"/>
        <v>212</v>
      </c>
      <c r="C860" s="4"/>
      <c r="D860" s="4"/>
      <c r="E860" s="4"/>
      <c r="F860" s="53" t="s">
        <v>127</v>
      </c>
      <c r="G860" s="4">
        <v>632</v>
      </c>
      <c r="H860" s="4" t="s">
        <v>140</v>
      </c>
      <c r="I860" s="26">
        <v>5690</v>
      </c>
      <c r="J860" s="26"/>
      <c r="K860" s="26">
        <f t="shared" si="135"/>
        <v>5690</v>
      </c>
      <c r="L860" s="76"/>
      <c r="M860" s="26"/>
      <c r="N860" s="26"/>
      <c r="O860" s="26">
        <f t="shared" si="136"/>
        <v>0</v>
      </c>
      <c r="P860" s="76"/>
      <c r="Q860" s="26">
        <f t="shared" si="133"/>
        <v>5690</v>
      </c>
      <c r="R860" s="26">
        <f t="shared" si="138"/>
        <v>0</v>
      </c>
      <c r="S860" s="26">
        <f t="shared" si="138"/>
        <v>5690</v>
      </c>
    </row>
    <row r="861" spans="2:19" x14ac:dyDescent="0.2">
      <c r="B861" s="75">
        <f t="shared" si="137"/>
        <v>213</v>
      </c>
      <c r="C861" s="4"/>
      <c r="D861" s="4"/>
      <c r="E861" s="4"/>
      <c r="F861" s="53" t="s">
        <v>127</v>
      </c>
      <c r="G861" s="4">
        <v>633</v>
      </c>
      <c r="H861" s="4" t="s">
        <v>133</v>
      </c>
      <c r="I861" s="26">
        <f>800+1088</f>
        <v>1888</v>
      </c>
      <c r="J861" s="26"/>
      <c r="K861" s="26">
        <f t="shared" si="135"/>
        <v>1888</v>
      </c>
      <c r="L861" s="76"/>
      <c r="M861" s="26"/>
      <c r="N861" s="26"/>
      <c r="O861" s="26">
        <f t="shared" si="136"/>
        <v>0</v>
      </c>
      <c r="P861" s="76"/>
      <c r="Q861" s="26">
        <f t="shared" si="133"/>
        <v>1888</v>
      </c>
      <c r="R861" s="26">
        <f t="shared" si="138"/>
        <v>0</v>
      </c>
      <c r="S861" s="26">
        <f t="shared" si="138"/>
        <v>1888</v>
      </c>
    </row>
    <row r="862" spans="2:19" x14ac:dyDescent="0.2">
      <c r="B862" s="75">
        <f t="shared" si="137"/>
        <v>214</v>
      </c>
      <c r="C862" s="4"/>
      <c r="D862" s="4"/>
      <c r="E862" s="4"/>
      <c r="F862" s="53" t="s">
        <v>127</v>
      </c>
      <c r="G862" s="4">
        <v>637</v>
      </c>
      <c r="H862" s="4" t="s">
        <v>130</v>
      </c>
      <c r="I862" s="26">
        <v>2200</v>
      </c>
      <c r="J862" s="26"/>
      <c r="K862" s="26">
        <f t="shared" si="135"/>
        <v>2200</v>
      </c>
      <c r="L862" s="76"/>
      <c r="M862" s="26"/>
      <c r="N862" s="26"/>
      <c r="O862" s="26">
        <f t="shared" si="136"/>
        <v>0</v>
      </c>
      <c r="P862" s="76"/>
      <c r="Q862" s="26">
        <f t="shared" si="133"/>
        <v>2200</v>
      </c>
      <c r="R862" s="26">
        <f t="shared" si="138"/>
        <v>0</v>
      </c>
      <c r="S862" s="26">
        <f t="shared" si="138"/>
        <v>2200</v>
      </c>
    </row>
    <row r="863" spans="2:19" x14ac:dyDescent="0.2">
      <c r="B863" s="75">
        <f t="shared" si="137"/>
        <v>215</v>
      </c>
      <c r="C863" s="15"/>
      <c r="D863" s="15"/>
      <c r="E863" s="15"/>
      <c r="F863" s="52" t="s">
        <v>127</v>
      </c>
      <c r="G863" s="15">
        <v>710</v>
      </c>
      <c r="H863" s="15" t="s">
        <v>185</v>
      </c>
      <c r="I863" s="49">
        <f>I864+I866</f>
        <v>0</v>
      </c>
      <c r="J863" s="49"/>
      <c r="K863" s="49">
        <f t="shared" si="135"/>
        <v>0</v>
      </c>
      <c r="L863" s="123"/>
      <c r="M863" s="49">
        <f>M864+M866</f>
        <v>50000</v>
      </c>
      <c r="N863" s="49">
        <f>N864+N866</f>
        <v>0</v>
      </c>
      <c r="O863" s="49">
        <f t="shared" si="136"/>
        <v>50000</v>
      </c>
      <c r="P863" s="123"/>
      <c r="Q863" s="49">
        <f t="shared" si="133"/>
        <v>50000</v>
      </c>
      <c r="R863" s="49">
        <f t="shared" si="138"/>
        <v>0</v>
      </c>
      <c r="S863" s="49">
        <f t="shared" si="138"/>
        <v>50000</v>
      </c>
    </row>
    <row r="864" spans="2:19" x14ac:dyDescent="0.2">
      <c r="B864" s="75">
        <f t="shared" si="137"/>
        <v>216</v>
      </c>
      <c r="C864" s="15"/>
      <c r="D864" s="15"/>
      <c r="E864" s="15"/>
      <c r="F864" s="86" t="s">
        <v>200</v>
      </c>
      <c r="G864" s="87">
        <v>716</v>
      </c>
      <c r="H864" s="87" t="s">
        <v>0</v>
      </c>
      <c r="I864" s="88">
        <v>0</v>
      </c>
      <c r="J864" s="88">
        <v>0</v>
      </c>
      <c r="K864" s="88">
        <f t="shared" si="135"/>
        <v>0</v>
      </c>
      <c r="L864" s="76"/>
      <c r="M864" s="88">
        <f>SUM(M865:M865)</f>
        <v>3000</v>
      </c>
      <c r="N864" s="88">
        <f>SUM(N865:N865)</f>
        <v>0</v>
      </c>
      <c r="O864" s="88">
        <f t="shared" si="136"/>
        <v>3000</v>
      </c>
      <c r="P864" s="76"/>
      <c r="Q864" s="88">
        <f t="shared" si="133"/>
        <v>3000</v>
      </c>
      <c r="R864" s="88">
        <f t="shared" si="138"/>
        <v>0</v>
      </c>
      <c r="S864" s="88">
        <f t="shared" si="138"/>
        <v>3000</v>
      </c>
    </row>
    <row r="865" spans="2:19" x14ac:dyDescent="0.2">
      <c r="B865" s="75">
        <f t="shared" si="137"/>
        <v>217</v>
      </c>
      <c r="C865" s="15"/>
      <c r="D865" s="15"/>
      <c r="E865" s="15"/>
      <c r="F865" s="64"/>
      <c r="G865" s="60"/>
      <c r="H865" s="60" t="s">
        <v>515</v>
      </c>
      <c r="I865" s="58"/>
      <c r="J865" s="58"/>
      <c r="K865" s="58">
        <f t="shared" si="135"/>
        <v>0</v>
      </c>
      <c r="L865" s="76"/>
      <c r="M865" s="58">
        <v>3000</v>
      </c>
      <c r="N865" s="58"/>
      <c r="O865" s="58">
        <f t="shared" si="136"/>
        <v>3000</v>
      </c>
      <c r="P865" s="76"/>
      <c r="Q865" s="26">
        <f t="shared" ref="Q865:Q887" si="139">M865+I865</f>
        <v>3000</v>
      </c>
      <c r="R865" s="26">
        <f t="shared" ref="R865:S880" si="140">N865+J865</f>
        <v>0</v>
      </c>
      <c r="S865" s="26">
        <f t="shared" si="140"/>
        <v>3000</v>
      </c>
    </row>
    <row r="866" spans="2:19" x14ac:dyDescent="0.2">
      <c r="B866" s="75">
        <f t="shared" si="137"/>
        <v>218</v>
      </c>
      <c r="C866" s="15"/>
      <c r="D866" s="15"/>
      <c r="E866" s="15"/>
      <c r="F866" s="86" t="s">
        <v>200</v>
      </c>
      <c r="G866" s="87">
        <v>717</v>
      </c>
      <c r="H866" s="87" t="s">
        <v>195</v>
      </c>
      <c r="I866" s="88">
        <v>0</v>
      </c>
      <c r="J866" s="88">
        <v>0</v>
      </c>
      <c r="K866" s="88">
        <f t="shared" si="135"/>
        <v>0</v>
      </c>
      <c r="L866" s="76"/>
      <c r="M866" s="88">
        <f>SUM(M867:M867)</f>
        <v>47000</v>
      </c>
      <c r="N866" s="88">
        <f>SUM(N867:N867)</f>
        <v>0</v>
      </c>
      <c r="O866" s="88">
        <f t="shared" si="136"/>
        <v>47000</v>
      </c>
      <c r="P866" s="76"/>
      <c r="Q866" s="88">
        <f t="shared" si="139"/>
        <v>47000</v>
      </c>
      <c r="R866" s="88">
        <f t="shared" si="140"/>
        <v>0</v>
      </c>
      <c r="S866" s="88">
        <f t="shared" si="140"/>
        <v>47000</v>
      </c>
    </row>
    <row r="867" spans="2:19" x14ac:dyDescent="0.2">
      <c r="B867" s="75">
        <f t="shared" si="137"/>
        <v>219</v>
      </c>
      <c r="C867" s="15"/>
      <c r="D867" s="15"/>
      <c r="E867" s="15"/>
      <c r="F867" s="64"/>
      <c r="G867" s="60"/>
      <c r="H867" s="59" t="s">
        <v>516</v>
      </c>
      <c r="I867" s="58"/>
      <c r="J867" s="58"/>
      <c r="K867" s="58">
        <f t="shared" si="135"/>
        <v>0</v>
      </c>
      <c r="L867" s="76"/>
      <c r="M867" s="58">
        <v>47000</v>
      </c>
      <c r="N867" s="58"/>
      <c r="O867" s="58">
        <f t="shared" si="136"/>
        <v>47000</v>
      </c>
      <c r="P867" s="76"/>
      <c r="Q867" s="26">
        <f t="shared" si="139"/>
        <v>47000</v>
      </c>
      <c r="R867" s="26">
        <f t="shared" si="140"/>
        <v>0</v>
      </c>
      <c r="S867" s="26">
        <f t="shared" si="140"/>
        <v>47000</v>
      </c>
    </row>
    <row r="868" spans="2:19" ht="15" x14ac:dyDescent="0.25">
      <c r="B868" s="75">
        <f t="shared" si="137"/>
        <v>220</v>
      </c>
      <c r="C868" s="18"/>
      <c r="D868" s="18"/>
      <c r="E868" s="18">
        <v>6</v>
      </c>
      <c r="F868" s="50"/>
      <c r="G868" s="18"/>
      <c r="H868" s="18" t="s">
        <v>83</v>
      </c>
      <c r="I868" s="47">
        <f>I869+I870+I871+I877+I878+I879+I880+I887+I890</f>
        <v>736291</v>
      </c>
      <c r="J868" s="47">
        <f>J869+J870+J871+J877+J878+J879+J880+J887+J890+J888</f>
        <v>6019</v>
      </c>
      <c r="K868" s="47">
        <f t="shared" si="135"/>
        <v>742310</v>
      </c>
      <c r="L868" s="174"/>
      <c r="M868" s="47">
        <f>M869+M870+M871+M877+M878+M879+M880+M887</f>
        <v>0</v>
      </c>
      <c r="N868" s="47">
        <f>N869+N870+N871+N877+N878+N879+N880+N887</f>
        <v>0</v>
      </c>
      <c r="O868" s="47">
        <f t="shared" si="136"/>
        <v>0</v>
      </c>
      <c r="P868" s="174"/>
      <c r="Q868" s="47">
        <f t="shared" si="139"/>
        <v>736291</v>
      </c>
      <c r="R868" s="47">
        <f t="shared" si="140"/>
        <v>6019</v>
      </c>
      <c r="S868" s="47">
        <f t="shared" si="140"/>
        <v>742310</v>
      </c>
    </row>
    <row r="869" spans="2:19" x14ac:dyDescent="0.2">
      <c r="B869" s="75">
        <f t="shared" si="137"/>
        <v>221</v>
      </c>
      <c r="C869" s="15"/>
      <c r="D869" s="15"/>
      <c r="E869" s="15"/>
      <c r="F869" s="52" t="s">
        <v>127</v>
      </c>
      <c r="G869" s="15">
        <v>610</v>
      </c>
      <c r="H869" s="15" t="s">
        <v>137</v>
      </c>
      <c r="I869" s="49">
        <v>201972</v>
      </c>
      <c r="J869" s="49"/>
      <c r="K869" s="49">
        <f t="shared" si="135"/>
        <v>201972</v>
      </c>
      <c r="L869" s="123"/>
      <c r="M869" s="49"/>
      <c r="N869" s="49"/>
      <c r="O869" s="49">
        <f t="shared" si="136"/>
        <v>0</v>
      </c>
      <c r="P869" s="123"/>
      <c r="Q869" s="49">
        <f t="shared" si="139"/>
        <v>201972</v>
      </c>
      <c r="R869" s="49">
        <f t="shared" si="140"/>
        <v>0</v>
      </c>
      <c r="S869" s="49">
        <f t="shared" si="140"/>
        <v>201972</v>
      </c>
    </row>
    <row r="870" spans="2:19" x14ac:dyDescent="0.2">
      <c r="B870" s="75">
        <f t="shared" si="137"/>
        <v>222</v>
      </c>
      <c r="C870" s="15"/>
      <c r="D870" s="15"/>
      <c r="E870" s="15"/>
      <c r="F870" s="52" t="s">
        <v>127</v>
      </c>
      <c r="G870" s="15">
        <v>620</v>
      </c>
      <c r="H870" s="15" t="s">
        <v>132</v>
      </c>
      <c r="I870" s="49">
        <v>67964</v>
      </c>
      <c r="J870" s="49"/>
      <c r="K870" s="49">
        <f t="shared" si="135"/>
        <v>67964</v>
      </c>
      <c r="L870" s="123"/>
      <c r="M870" s="49"/>
      <c r="N870" s="49"/>
      <c r="O870" s="49">
        <f t="shared" si="136"/>
        <v>0</v>
      </c>
      <c r="P870" s="123"/>
      <c r="Q870" s="49">
        <f t="shared" si="139"/>
        <v>67964</v>
      </c>
      <c r="R870" s="49">
        <f t="shared" si="140"/>
        <v>0</v>
      </c>
      <c r="S870" s="49">
        <f t="shared" si="140"/>
        <v>67964</v>
      </c>
    </row>
    <row r="871" spans="2:19" x14ac:dyDescent="0.2">
      <c r="B871" s="75">
        <f t="shared" si="137"/>
        <v>223</v>
      </c>
      <c r="C871" s="15"/>
      <c r="D871" s="15"/>
      <c r="E871" s="15"/>
      <c r="F871" s="52" t="s">
        <v>127</v>
      </c>
      <c r="G871" s="15">
        <v>630</v>
      </c>
      <c r="H871" s="15" t="s">
        <v>129</v>
      </c>
      <c r="I871" s="49">
        <f>I876+I875+I874+I873+I872</f>
        <v>62088</v>
      </c>
      <c r="J871" s="49">
        <f>J876+J875+J874+J873+J872</f>
        <v>0</v>
      </c>
      <c r="K871" s="49">
        <f t="shared" si="135"/>
        <v>62088</v>
      </c>
      <c r="L871" s="123"/>
      <c r="M871" s="49">
        <v>0</v>
      </c>
      <c r="N871" s="49"/>
      <c r="O871" s="49">
        <f t="shared" si="136"/>
        <v>0</v>
      </c>
      <c r="P871" s="123"/>
      <c r="Q871" s="49">
        <f t="shared" si="139"/>
        <v>62088</v>
      </c>
      <c r="R871" s="49">
        <f t="shared" si="140"/>
        <v>0</v>
      </c>
      <c r="S871" s="49">
        <f t="shared" si="140"/>
        <v>62088</v>
      </c>
    </row>
    <row r="872" spans="2:19" x14ac:dyDescent="0.2">
      <c r="B872" s="75">
        <f t="shared" si="137"/>
        <v>224</v>
      </c>
      <c r="C872" s="4"/>
      <c r="D872" s="4"/>
      <c r="E872" s="4"/>
      <c r="F872" s="53" t="s">
        <v>127</v>
      </c>
      <c r="G872" s="4">
        <v>631</v>
      </c>
      <c r="H872" s="4" t="s">
        <v>135</v>
      </c>
      <c r="I872" s="26">
        <v>224</v>
      </c>
      <c r="J872" s="26"/>
      <c r="K872" s="26">
        <f t="shared" si="135"/>
        <v>224</v>
      </c>
      <c r="L872" s="76"/>
      <c r="M872" s="26"/>
      <c r="N872" s="26"/>
      <c r="O872" s="26">
        <f t="shared" si="136"/>
        <v>0</v>
      </c>
      <c r="P872" s="76"/>
      <c r="Q872" s="26">
        <f t="shared" si="139"/>
        <v>224</v>
      </c>
      <c r="R872" s="26">
        <f t="shared" si="140"/>
        <v>0</v>
      </c>
      <c r="S872" s="26">
        <f t="shared" si="140"/>
        <v>224</v>
      </c>
    </row>
    <row r="873" spans="2:19" x14ac:dyDescent="0.2">
      <c r="B873" s="75">
        <f t="shared" si="137"/>
        <v>225</v>
      </c>
      <c r="C873" s="4"/>
      <c r="D873" s="4"/>
      <c r="E873" s="4"/>
      <c r="F873" s="53" t="s">
        <v>127</v>
      </c>
      <c r="G873" s="4">
        <v>632</v>
      </c>
      <c r="H873" s="4" t="s">
        <v>140</v>
      </c>
      <c r="I873" s="26">
        <v>36587</v>
      </c>
      <c r="J873" s="26"/>
      <c r="K873" s="26">
        <f t="shared" si="135"/>
        <v>36587</v>
      </c>
      <c r="L873" s="76"/>
      <c r="M873" s="26"/>
      <c r="N873" s="26"/>
      <c r="O873" s="26">
        <f t="shared" si="136"/>
        <v>0</v>
      </c>
      <c r="P873" s="76"/>
      <c r="Q873" s="26">
        <f t="shared" si="139"/>
        <v>36587</v>
      </c>
      <c r="R873" s="26">
        <f t="shared" si="140"/>
        <v>0</v>
      </c>
      <c r="S873" s="26">
        <f t="shared" si="140"/>
        <v>36587</v>
      </c>
    </row>
    <row r="874" spans="2:19" x14ac:dyDescent="0.2">
      <c r="B874" s="75">
        <f t="shared" si="137"/>
        <v>226</v>
      </c>
      <c r="C874" s="4"/>
      <c r="D874" s="4"/>
      <c r="E874" s="4"/>
      <c r="F874" s="53" t="s">
        <v>127</v>
      </c>
      <c r="G874" s="4">
        <v>633</v>
      </c>
      <c r="H874" s="4" t="s">
        <v>133</v>
      </c>
      <c r="I874" s="26">
        <v>9552</v>
      </c>
      <c r="J874" s="26"/>
      <c r="K874" s="26">
        <f t="shared" si="135"/>
        <v>9552</v>
      </c>
      <c r="L874" s="76"/>
      <c r="M874" s="26"/>
      <c r="N874" s="26"/>
      <c r="O874" s="26">
        <f t="shared" si="136"/>
        <v>0</v>
      </c>
      <c r="P874" s="76"/>
      <c r="Q874" s="26">
        <f t="shared" si="139"/>
        <v>9552</v>
      </c>
      <c r="R874" s="26">
        <f t="shared" si="140"/>
        <v>0</v>
      </c>
      <c r="S874" s="26">
        <f t="shared" si="140"/>
        <v>9552</v>
      </c>
    </row>
    <row r="875" spans="2:19" x14ac:dyDescent="0.2">
      <c r="B875" s="75">
        <f t="shared" si="137"/>
        <v>227</v>
      </c>
      <c r="C875" s="4"/>
      <c r="D875" s="4"/>
      <c r="E875" s="4"/>
      <c r="F875" s="53" t="s">
        <v>127</v>
      </c>
      <c r="G875" s="4">
        <v>635</v>
      </c>
      <c r="H875" s="4" t="s">
        <v>139</v>
      </c>
      <c r="I875" s="26">
        <v>5598</v>
      </c>
      <c r="J875" s="26"/>
      <c r="K875" s="26">
        <f t="shared" si="135"/>
        <v>5598</v>
      </c>
      <c r="L875" s="76"/>
      <c r="M875" s="26"/>
      <c r="N875" s="26"/>
      <c r="O875" s="26">
        <f t="shared" si="136"/>
        <v>0</v>
      </c>
      <c r="P875" s="76"/>
      <c r="Q875" s="26">
        <f t="shared" si="139"/>
        <v>5598</v>
      </c>
      <c r="R875" s="26">
        <f t="shared" si="140"/>
        <v>0</v>
      </c>
      <c r="S875" s="26">
        <f t="shared" si="140"/>
        <v>5598</v>
      </c>
    </row>
    <row r="876" spans="2:19" x14ac:dyDescent="0.2">
      <c r="B876" s="75">
        <f t="shared" si="137"/>
        <v>228</v>
      </c>
      <c r="C876" s="4"/>
      <c r="D876" s="4"/>
      <c r="E876" s="4"/>
      <c r="F876" s="53" t="s">
        <v>127</v>
      </c>
      <c r="G876" s="4">
        <v>637</v>
      </c>
      <c r="H876" s="4" t="s">
        <v>130</v>
      </c>
      <c r="I876" s="26">
        <v>10127</v>
      </c>
      <c r="J876" s="26"/>
      <c r="K876" s="26">
        <f t="shared" si="135"/>
        <v>10127</v>
      </c>
      <c r="L876" s="76"/>
      <c r="M876" s="26"/>
      <c r="N876" s="26"/>
      <c r="O876" s="26">
        <f t="shared" si="136"/>
        <v>0</v>
      </c>
      <c r="P876" s="76"/>
      <c r="Q876" s="26">
        <f t="shared" si="139"/>
        <v>10127</v>
      </c>
      <c r="R876" s="26">
        <f t="shared" si="140"/>
        <v>0</v>
      </c>
      <c r="S876" s="26">
        <f t="shared" si="140"/>
        <v>10127</v>
      </c>
    </row>
    <row r="877" spans="2:19" x14ac:dyDescent="0.2">
      <c r="B877" s="75">
        <f t="shared" si="137"/>
        <v>229</v>
      </c>
      <c r="C877" s="15"/>
      <c r="D877" s="15"/>
      <c r="E877" s="15"/>
      <c r="F877" s="52" t="s">
        <v>127</v>
      </c>
      <c r="G877" s="15">
        <v>640</v>
      </c>
      <c r="H877" s="15" t="s">
        <v>136</v>
      </c>
      <c r="I877" s="49">
        <v>121</v>
      </c>
      <c r="J877" s="49"/>
      <c r="K877" s="49">
        <f t="shared" si="135"/>
        <v>121</v>
      </c>
      <c r="L877" s="123"/>
      <c r="M877" s="49"/>
      <c r="N877" s="49"/>
      <c r="O877" s="49">
        <f t="shared" si="136"/>
        <v>0</v>
      </c>
      <c r="P877" s="123"/>
      <c r="Q877" s="49">
        <f t="shared" si="139"/>
        <v>121</v>
      </c>
      <c r="R877" s="49">
        <f t="shared" si="140"/>
        <v>0</v>
      </c>
      <c r="S877" s="49">
        <f t="shared" si="140"/>
        <v>121</v>
      </c>
    </row>
    <row r="878" spans="2:19" x14ac:dyDescent="0.2">
      <c r="B878" s="75">
        <f t="shared" si="137"/>
        <v>230</v>
      </c>
      <c r="C878" s="15"/>
      <c r="D878" s="15"/>
      <c r="E878" s="15"/>
      <c r="F878" s="52" t="s">
        <v>272</v>
      </c>
      <c r="G878" s="15">
        <v>610</v>
      </c>
      <c r="H878" s="15" t="s">
        <v>137</v>
      </c>
      <c r="I878" s="49">
        <v>250723</v>
      </c>
      <c r="J878" s="49"/>
      <c r="K878" s="49">
        <f t="shared" si="135"/>
        <v>250723</v>
      </c>
      <c r="L878" s="123"/>
      <c r="M878" s="49"/>
      <c r="N878" s="49"/>
      <c r="O878" s="49">
        <f t="shared" si="136"/>
        <v>0</v>
      </c>
      <c r="P878" s="123"/>
      <c r="Q878" s="49">
        <f t="shared" si="139"/>
        <v>250723</v>
      </c>
      <c r="R878" s="49">
        <f t="shared" si="140"/>
        <v>0</v>
      </c>
      <c r="S878" s="49">
        <f t="shared" si="140"/>
        <v>250723</v>
      </c>
    </row>
    <row r="879" spans="2:19" x14ac:dyDescent="0.2">
      <c r="B879" s="75">
        <f t="shared" si="137"/>
        <v>231</v>
      </c>
      <c r="C879" s="15"/>
      <c r="D879" s="15"/>
      <c r="E879" s="15"/>
      <c r="F879" s="52" t="s">
        <v>272</v>
      </c>
      <c r="G879" s="15">
        <v>620</v>
      </c>
      <c r="H879" s="15" t="s">
        <v>132</v>
      </c>
      <c r="I879" s="49">
        <v>84423</v>
      </c>
      <c r="J879" s="49"/>
      <c r="K879" s="49">
        <f t="shared" si="135"/>
        <v>84423</v>
      </c>
      <c r="L879" s="123"/>
      <c r="M879" s="49"/>
      <c r="N879" s="49"/>
      <c r="O879" s="49">
        <f t="shared" si="136"/>
        <v>0</v>
      </c>
      <c r="P879" s="123"/>
      <c r="Q879" s="49">
        <f t="shared" si="139"/>
        <v>84423</v>
      </c>
      <c r="R879" s="49">
        <f t="shared" si="140"/>
        <v>0</v>
      </c>
      <c r="S879" s="49">
        <f t="shared" si="140"/>
        <v>84423</v>
      </c>
    </row>
    <row r="880" spans="2:19" x14ac:dyDescent="0.2">
      <c r="B880" s="75">
        <f t="shared" si="137"/>
        <v>232</v>
      </c>
      <c r="C880" s="15"/>
      <c r="D880" s="15"/>
      <c r="E880" s="15"/>
      <c r="F880" s="52" t="s">
        <v>272</v>
      </c>
      <c r="G880" s="15">
        <v>630</v>
      </c>
      <c r="H880" s="15" t="s">
        <v>129</v>
      </c>
      <c r="I880" s="49">
        <f>I886+I885+I883+I882+I881</f>
        <v>60277</v>
      </c>
      <c r="J880" s="49">
        <f>SUM(J881:J886)</f>
        <v>6000</v>
      </c>
      <c r="K880" s="49">
        <f t="shared" si="135"/>
        <v>66277</v>
      </c>
      <c r="L880" s="123"/>
      <c r="M880" s="49">
        <f>M886+M885+M883+M882+M881</f>
        <v>0</v>
      </c>
      <c r="N880" s="49">
        <f>N886+N885+N883+N882+N881</f>
        <v>0</v>
      </c>
      <c r="O880" s="49">
        <f t="shared" si="136"/>
        <v>0</v>
      </c>
      <c r="P880" s="123"/>
      <c r="Q880" s="49">
        <f t="shared" si="139"/>
        <v>60277</v>
      </c>
      <c r="R880" s="49">
        <f t="shared" si="140"/>
        <v>6000</v>
      </c>
      <c r="S880" s="49">
        <f t="shared" si="140"/>
        <v>66277</v>
      </c>
    </row>
    <row r="881" spans="2:19" x14ac:dyDescent="0.2">
      <c r="B881" s="75">
        <f t="shared" si="137"/>
        <v>233</v>
      </c>
      <c r="C881" s="4"/>
      <c r="D881" s="4"/>
      <c r="E881" s="4"/>
      <c r="F881" s="53" t="s">
        <v>272</v>
      </c>
      <c r="G881" s="4">
        <v>631</v>
      </c>
      <c r="H881" s="4" t="s">
        <v>135</v>
      </c>
      <c r="I881" s="26">
        <v>184</v>
      </c>
      <c r="J881" s="26"/>
      <c r="K881" s="26">
        <f t="shared" si="135"/>
        <v>184</v>
      </c>
      <c r="L881" s="76"/>
      <c r="M881" s="26"/>
      <c r="N881" s="26"/>
      <c r="O881" s="26">
        <f t="shared" si="136"/>
        <v>0</v>
      </c>
      <c r="P881" s="76"/>
      <c r="Q881" s="26">
        <f t="shared" si="139"/>
        <v>184</v>
      </c>
      <c r="R881" s="26">
        <f t="shared" ref="R881:S887" si="141">N881+J881</f>
        <v>0</v>
      </c>
      <c r="S881" s="26">
        <f t="shared" si="141"/>
        <v>184</v>
      </c>
    </row>
    <row r="882" spans="2:19" x14ac:dyDescent="0.2">
      <c r="B882" s="75">
        <f t="shared" si="137"/>
        <v>234</v>
      </c>
      <c r="C882" s="4"/>
      <c r="D882" s="4"/>
      <c r="E882" s="4"/>
      <c r="F882" s="53" t="s">
        <v>272</v>
      </c>
      <c r="G882" s="4">
        <v>632</v>
      </c>
      <c r="H882" s="4" t="s">
        <v>140</v>
      </c>
      <c r="I882" s="26">
        <v>30862</v>
      </c>
      <c r="J882" s="26"/>
      <c r="K882" s="26">
        <f t="shared" si="135"/>
        <v>30862</v>
      </c>
      <c r="L882" s="76"/>
      <c r="M882" s="26"/>
      <c r="N882" s="26"/>
      <c r="O882" s="26">
        <f t="shared" si="136"/>
        <v>0</v>
      </c>
      <c r="P882" s="76"/>
      <c r="Q882" s="26">
        <f t="shared" si="139"/>
        <v>30862</v>
      </c>
      <c r="R882" s="26">
        <f t="shared" si="141"/>
        <v>0</v>
      </c>
      <c r="S882" s="26">
        <f t="shared" si="141"/>
        <v>30862</v>
      </c>
    </row>
    <row r="883" spans="2:19" x14ac:dyDescent="0.2">
      <c r="B883" s="75">
        <f t="shared" si="137"/>
        <v>235</v>
      </c>
      <c r="C883" s="4"/>
      <c r="D883" s="4"/>
      <c r="E883" s="4"/>
      <c r="F883" s="53" t="s">
        <v>272</v>
      </c>
      <c r="G883" s="4">
        <v>633</v>
      </c>
      <c r="H883" s="4" t="s">
        <v>133</v>
      </c>
      <c r="I883" s="26">
        <v>15241</v>
      </c>
      <c r="J883" s="26"/>
      <c r="K883" s="26">
        <f t="shared" si="135"/>
        <v>15241</v>
      </c>
      <c r="L883" s="76"/>
      <c r="M883" s="26"/>
      <c r="N883" s="26"/>
      <c r="O883" s="26">
        <f t="shared" si="136"/>
        <v>0</v>
      </c>
      <c r="P883" s="76"/>
      <c r="Q883" s="26">
        <f t="shared" si="139"/>
        <v>15241</v>
      </c>
      <c r="R883" s="26">
        <f t="shared" si="141"/>
        <v>0</v>
      </c>
      <c r="S883" s="26">
        <f t="shared" si="141"/>
        <v>15241</v>
      </c>
    </row>
    <row r="884" spans="2:19" x14ac:dyDescent="0.2">
      <c r="B884" s="75">
        <f t="shared" si="137"/>
        <v>236</v>
      </c>
      <c r="C884" s="4"/>
      <c r="D884" s="4"/>
      <c r="E884" s="4"/>
      <c r="F884" s="53" t="s">
        <v>272</v>
      </c>
      <c r="G884" s="4">
        <v>634</v>
      </c>
      <c r="H884" s="4" t="s">
        <v>138</v>
      </c>
      <c r="I884" s="26">
        <v>0</v>
      </c>
      <c r="J884" s="26">
        <v>2337</v>
      </c>
      <c r="K884" s="26">
        <f t="shared" si="135"/>
        <v>2337</v>
      </c>
      <c r="L884" s="76"/>
      <c r="M884" s="26"/>
      <c r="N884" s="26"/>
      <c r="O884" s="26"/>
      <c r="P884" s="76"/>
      <c r="Q884" s="26">
        <f t="shared" ref="Q884" si="142">M884+I884</f>
        <v>0</v>
      </c>
      <c r="R884" s="26">
        <f t="shared" ref="R884" si="143">N884+J884</f>
        <v>2337</v>
      </c>
      <c r="S884" s="26">
        <f t="shared" ref="S884" si="144">O884+K884</f>
        <v>2337</v>
      </c>
    </row>
    <row r="885" spans="2:19" x14ac:dyDescent="0.2">
      <c r="B885" s="75">
        <f t="shared" si="137"/>
        <v>237</v>
      </c>
      <c r="C885" s="4"/>
      <c r="D885" s="4"/>
      <c r="E885" s="4"/>
      <c r="F885" s="53" t="s">
        <v>272</v>
      </c>
      <c r="G885" s="4">
        <v>635</v>
      </c>
      <c r="H885" s="4" t="s">
        <v>139</v>
      </c>
      <c r="I885" s="26">
        <v>4386</v>
      </c>
      <c r="J885" s="26"/>
      <c r="K885" s="26">
        <f t="shared" si="135"/>
        <v>4386</v>
      </c>
      <c r="L885" s="76"/>
      <c r="M885" s="26"/>
      <c r="N885" s="26"/>
      <c r="O885" s="26">
        <f t="shared" si="136"/>
        <v>0</v>
      </c>
      <c r="P885" s="76"/>
      <c r="Q885" s="26">
        <f t="shared" si="139"/>
        <v>4386</v>
      </c>
      <c r="R885" s="26">
        <f t="shared" si="141"/>
        <v>0</v>
      </c>
      <c r="S885" s="26">
        <f t="shared" si="141"/>
        <v>4386</v>
      </c>
    </row>
    <row r="886" spans="2:19" x14ac:dyDescent="0.2">
      <c r="B886" s="75">
        <f t="shared" si="137"/>
        <v>238</v>
      </c>
      <c r="C886" s="4"/>
      <c r="D886" s="4"/>
      <c r="E886" s="4"/>
      <c r="F886" s="53" t="s">
        <v>272</v>
      </c>
      <c r="G886" s="4">
        <v>637</v>
      </c>
      <c r="H886" s="4" t="s">
        <v>130</v>
      </c>
      <c r="I886" s="26">
        <v>9604</v>
      </c>
      <c r="J886" s="26">
        <v>3663</v>
      </c>
      <c r="K886" s="26">
        <f t="shared" si="135"/>
        <v>13267</v>
      </c>
      <c r="L886" s="76"/>
      <c r="M886" s="26"/>
      <c r="N886" s="26"/>
      <c r="O886" s="26">
        <f t="shared" si="136"/>
        <v>0</v>
      </c>
      <c r="P886" s="76"/>
      <c r="Q886" s="26">
        <f t="shared" si="139"/>
        <v>9604</v>
      </c>
      <c r="R886" s="26">
        <f t="shared" si="141"/>
        <v>3663</v>
      </c>
      <c r="S886" s="26">
        <f t="shared" si="141"/>
        <v>13267</v>
      </c>
    </row>
    <row r="887" spans="2:19" x14ac:dyDescent="0.2">
      <c r="B887" s="75">
        <f t="shared" si="137"/>
        <v>239</v>
      </c>
      <c r="C887" s="15"/>
      <c r="D887" s="15"/>
      <c r="E887" s="15"/>
      <c r="F887" s="52" t="s">
        <v>272</v>
      </c>
      <c r="G887" s="15">
        <v>640</v>
      </c>
      <c r="H887" s="15" t="s">
        <v>136</v>
      </c>
      <c r="I887" s="49">
        <v>147</v>
      </c>
      <c r="J887" s="49"/>
      <c r="K887" s="49">
        <f t="shared" si="135"/>
        <v>147</v>
      </c>
      <c r="L887" s="123"/>
      <c r="M887" s="49"/>
      <c r="N887" s="49"/>
      <c r="O887" s="49">
        <f t="shared" si="136"/>
        <v>0</v>
      </c>
      <c r="P887" s="123"/>
      <c r="Q887" s="49">
        <f t="shared" si="139"/>
        <v>147</v>
      </c>
      <c r="R887" s="49">
        <f t="shared" si="141"/>
        <v>0</v>
      </c>
      <c r="S887" s="49">
        <f t="shared" si="141"/>
        <v>147</v>
      </c>
    </row>
    <row r="888" spans="2:19" x14ac:dyDescent="0.2">
      <c r="B888" s="75">
        <f t="shared" si="137"/>
        <v>240</v>
      </c>
      <c r="C888" s="15"/>
      <c r="D888" s="15"/>
      <c r="E888" s="15"/>
      <c r="F888" s="52" t="s">
        <v>77</v>
      </c>
      <c r="G888" s="15">
        <v>630</v>
      </c>
      <c r="H888" s="15" t="s">
        <v>672</v>
      </c>
      <c r="I888" s="49"/>
      <c r="J888" s="49">
        <v>19</v>
      </c>
      <c r="K888" s="49">
        <f t="shared" si="135"/>
        <v>19</v>
      </c>
      <c r="L888" s="123"/>
      <c r="M888" s="49"/>
      <c r="N888" s="49"/>
      <c r="O888" s="49"/>
      <c r="P888" s="123"/>
      <c r="Q888" s="49">
        <f t="shared" ref="Q888" si="145">M888+I888</f>
        <v>0</v>
      </c>
      <c r="R888" s="49">
        <f t="shared" ref="R888" si="146">N888+J888</f>
        <v>19</v>
      </c>
      <c r="S888" s="49">
        <f t="shared" ref="S888" si="147">O888+K888</f>
        <v>19</v>
      </c>
    </row>
    <row r="889" spans="2:19" x14ac:dyDescent="0.2">
      <c r="B889" s="75">
        <f t="shared" si="137"/>
        <v>241</v>
      </c>
      <c r="C889" s="15"/>
      <c r="D889" s="15"/>
      <c r="E889" s="15"/>
      <c r="F889" s="52"/>
      <c r="G889" s="15"/>
      <c r="H889" s="15"/>
      <c r="I889" s="49"/>
      <c r="J889" s="49"/>
      <c r="K889" s="49">
        <f t="shared" si="135"/>
        <v>0</v>
      </c>
      <c r="L889" s="123"/>
      <c r="M889" s="49"/>
      <c r="N889" s="49"/>
      <c r="O889" s="49">
        <f t="shared" si="136"/>
        <v>0</v>
      </c>
      <c r="P889" s="123"/>
      <c r="Q889" s="49"/>
      <c r="R889" s="49"/>
      <c r="S889" s="49"/>
    </row>
    <row r="890" spans="2:19" x14ac:dyDescent="0.2">
      <c r="B890" s="75">
        <f t="shared" si="137"/>
        <v>242</v>
      </c>
      <c r="C890" s="15"/>
      <c r="D890" s="15"/>
      <c r="E890" s="15"/>
      <c r="F890" s="52"/>
      <c r="G890" s="15">
        <v>630</v>
      </c>
      <c r="H890" s="15" t="s">
        <v>624</v>
      </c>
      <c r="I890" s="49">
        <v>8576</v>
      </c>
      <c r="J890" s="49"/>
      <c r="K890" s="49">
        <f t="shared" si="135"/>
        <v>8576</v>
      </c>
      <c r="L890" s="123"/>
      <c r="M890" s="49"/>
      <c r="N890" s="49"/>
      <c r="O890" s="49">
        <f t="shared" si="136"/>
        <v>0</v>
      </c>
      <c r="P890" s="123"/>
      <c r="Q890" s="49">
        <f t="shared" ref="Q890:Q910" si="148">M890+I890</f>
        <v>8576</v>
      </c>
      <c r="R890" s="49">
        <f t="shared" ref="R890:S905" si="149">N890+J890</f>
        <v>0</v>
      </c>
      <c r="S890" s="49">
        <f t="shared" si="149"/>
        <v>8576</v>
      </c>
    </row>
    <row r="891" spans="2:19" ht="15" x14ac:dyDescent="0.25">
      <c r="B891" s="75">
        <f t="shared" si="137"/>
        <v>243</v>
      </c>
      <c r="C891" s="18"/>
      <c r="D891" s="18"/>
      <c r="E891" s="18">
        <v>7</v>
      </c>
      <c r="F891" s="50"/>
      <c r="G891" s="18"/>
      <c r="H891" s="18" t="s">
        <v>324</v>
      </c>
      <c r="I891" s="47">
        <f>I892+I893+I894+I900+I901+I902+I903+I909+I914+I912</f>
        <v>1022813</v>
      </c>
      <c r="J891" s="47">
        <f>J892+J893+J894+J900+J901+J902+J903+J909+J914+J912+J910</f>
        <v>10746</v>
      </c>
      <c r="K891" s="47">
        <f t="shared" si="135"/>
        <v>1033559</v>
      </c>
      <c r="L891" s="174"/>
      <c r="M891" s="47">
        <f>M892+M893+M894+M900+M901+M902+M903+M909+M914+M917</f>
        <v>6000</v>
      </c>
      <c r="N891" s="47">
        <f>N892+N893+N894+N900+N901+N902+N903+N909+N914+N917</f>
        <v>0</v>
      </c>
      <c r="O891" s="47">
        <f t="shared" si="136"/>
        <v>6000</v>
      </c>
      <c r="P891" s="174"/>
      <c r="Q891" s="47">
        <f t="shared" si="148"/>
        <v>1028813</v>
      </c>
      <c r="R891" s="47">
        <f t="shared" si="149"/>
        <v>10746</v>
      </c>
      <c r="S891" s="47">
        <f t="shared" si="149"/>
        <v>1039559</v>
      </c>
    </row>
    <row r="892" spans="2:19" x14ac:dyDescent="0.2">
      <c r="B892" s="75">
        <f t="shared" si="137"/>
        <v>244</v>
      </c>
      <c r="C892" s="15"/>
      <c r="D892" s="15"/>
      <c r="E892" s="15"/>
      <c r="F892" s="52" t="s">
        <v>127</v>
      </c>
      <c r="G892" s="15">
        <v>610</v>
      </c>
      <c r="H892" s="15" t="s">
        <v>137</v>
      </c>
      <c r="I892" s="49">
        <v>240508</v>
      </c>
      <c r="J892" s="49"/>
      <c r="K892" s="49">
        <f t="shared" si="135"/>
        <v>240508</v>
      </c>
      <c r="L892" s="123"/>
      <c r="M892" s="49"/>
      <c r="N892" s="49"/>
      <c r="O892" s="49">
        <f t="shared" si="136"/>
        <v>0</v>
      </c>
      <c r="P892" s="123"/>
      <c r="Q892" s="49">
        <f t="shared" si="148"/>
        <v>240508</v>
      </c>
      <c r="R892" s="49">
        <f t="shared" si="149"/>
        <v>0</v>
      </c>
      <c r="S892" s="49">
        <f t="shared" si="149"/>
        <v>240508</v>
      </c>
    </row>
    <row r="893" spans="2:19" x14ac:dyDescent="0.2">
      <c r="B893" s="75">
        <f t="shared" si="137"/>
        <v>245</v>
      </c>
      <c r="C893" s="15"/>
      <c r="D893" s="15"/>
      <c r="E893" s="15"/>
      <c r="F893" s="52" t="s">
        <v>127</v>
      </c>
      <c r="G893" s="15">
        <v>620</v>
      </c>
      <c r="H893" s="15" t="s">
        <v>132</v>
      </c>
      <c r="I893" s="49">
        <v>84658</v>
      </c>
      <c r="J893" s="49"/>
      <c r="K893" s="49">
        <f t="shared" si="135"/>
        <v>84658</v>
      </c>
      <c r="L893" s="123"/>
      <c r="M893" s="49"/>
      <c r="N893" s="49"/>
      <c r="O893" s="49">
        <f t="shared" si="136"/>
        <v>0</v>
      </c>
      <c r="P893" s="123"/>
      <c r="Q893" s="49">
        <f t="shared" si="148"/>
        <v>84658</v>
      </c>
      <c r="R893" s="49">
        <f t="shared" si="149"/>
        <v>0</v>
      </c>
      <c r="S893" s="49">
        <f t="shared" si="149"/>
        <v>84658</v>
      </c>
    </row>
    <row r="894" spans="2:19" x14ac:dyDescent="0.2">
      <c r="B894" s="75">
        <f t="shared" si="137"/>
        <v>246</v>
      </c>
      <c r="C894" s="15"/>
      <c r="D894" s="15"/>
      <c r="E894" s="15"/>
      <c r="F894" s="52" t="s">
        <v>127</v>
      </c>
      <c r="G894" s="15">
        <v>630</v>
      </c>
      <c r="H894" s="15" t="s">
        <v>129</v>
      </c>
      <c r="I894" s="49">
        <f>I899+I898+I897+I896+I895</f>
        <v>72307</v>
      </c>
      <c r="J894" s="49">
        <f>J899+J898+J897+J896+J895</f>
        <v>0</v>
      </c>
      <c r="K894" s="49">
        <f t="shared" si="135"/>
        <v>72307</v>
      </c>
      <c r="L894" s="123"/>
      <c r="M894" s="49">
        <v>0</v>
      </c>
      <c r="N894" s="49"/>
      <c r="O894" s="49">
        <f t="shared" si="136"/>
        <v>0</v>
      </c>
      <c r="P894" s="123"/>
      <c r="Q894" s="49">
        <f t="shared" si="148"/>
        <v>72307</v>
      </c>
      <c r="R894" s="49">
        <f t="shared" si="149"/>
        <v>0</v>
      </c>
      <c r="S894" s="49">
        <f t="shared" si="149"/>
        <v>72307</v>
      </c>
    </row>
    <row r="895" spans="2:19" x14ac:dyDescent="0.2">
      <c r="B895" s="75">
        <f t="shared" si="137"/>
        <v>247</v>
      </c>
      <c r="C895" s="4"/>
      <c r="D895" s="4"/>
      <c r="E895" s="4"/>
      <c r="F895" s="53" t="s">
        <v>127</v>
      </c>
      <c r="G895" s="4">
        <v>631</v>
      </c>
      <c r="H895" s="4" t="s">
        <v>135</v>
      </c>
      <c r="I895" s="26">
        <v>113</v>
      </c>
      <c r="J895" s="26"/>
      <c r="K895" s="26">
        <f t="shared" si="135"/>
        <v>113</v>
      </c>
      <c r="L895" s="76"/>
      <c r="M895" s="26"/>
      <c r="N895" s="26"/>
      <c r="O895" s="26">
        <f t="shared" si="136"/>
        <v>0</v>
      </c>
      <c r="P895" s="76"/>
      <c r="Q895" s="26">
        <f t="shared" si="148"/>
        <v>113</v>
      </c>
      <c r="R895" s="26">
        <f t="shared" si="149"/>
        <v>0</v>
      </c>
      <c r="S895" s="26">
        <f t="shared" si="149"/>
        <v>113</v>
      </c>
    </row>
    <row r="896" spans="2:19" x14ac:dyDescent="0.2">
      <c r="B896" s="75">
        <f t="shared" si="137"/>
        <v>248</v>
      </c>
      <c r="C896" s="4"/>
      <c r="D896" s="4"/>
      <c r="E896" s="4"/>
      <c r="F896" s="53" t="s">
        <v>127</v>
      </c>
      <c r="G896" s="4">
        <v>632</v>
      </c>
      <c r="H896" s="4" t="s">
        <v>140</v>
      </c>
      <c r="I896" s="26">
        <v>24300</v>
      </c>
      <c r="J896" s="26"/>
      <c r="K896" s="26">
        <f t="shared" si="135"/>
        <v>24300</v>
      </c>
      <c r="L896" s="76"/>
      <c r="M896" s="26"/>
      <c r="N896" s="26"/>
      <c r="O896" s="26">
        <f t="shared" si="136"/>
        <v>0</v>
      </c>
      <c r="P896" s="76"/>
      <c r="Q896" s="26">
        <f t="shared" si="148"/>
        <v>24300</v>
      </c>
      <c r="R896" s="26">
        <f t="shared" si="149"/>
        <v>0</v>
      </c>
      <c r="S896" s="26">
        <f t="shared" si="149"/>
        <v>24300</v>
      </c>
    </row>
    <row r="897" spans="2:19" x14ac:dyDescent="0.2">
      <c r="B897" s="75">
        <f t="shared" si="137"/>
        <v>249</v>
      </c>
      <c r="C897" s="4"/>
      <c r="D897" s="4"/>
      <c r="E897" s="4"/>
      <c r="F897" s="53" t="s">
        <v>127</v>
      </c>
      <c r="G897" s="4">
        <v>633</v>
      </c>
      <c r="H897" s="4" t="s">
        <v>133</v>
      </c>
      <c r="I897" s="26">
        <v>23414</v>
      </c>
      <c r="J897" s="26"/>
      <c r="K897" s="26">
        <f t="shared" si="135"/>
        <v>23414</v>
      </c>
      <c r="L897" s="76"/>
      <c r="M897" s="26"/>
      <c r="N897" s="26"/>
      <c r="O897" s="26">
        <f t="shared" si="136"/>
        <v>0</v>
      </c>
      <c r="P897" s="76"/>
      <c r="Q897" s="26">
        <f t="shared" si="148"/>
        <v>23414</v>
      </c>
      <c r="R897" s="26">
        <f t="shared" si="149"/>
        <v>0</v>
      </c>
      <c r="S897" s="26">
        <f t="shared" si="149"/>
        <v>23414</v>
      </c>
    </row>
    <row r="898" spans="2:19" x14ac:dyDescent="0.2">
      <c r="B898" s="75">
        <f t="shared" si="137"/>
        <v>250</v>
      </c>
      <c r="C898" s="4"/>
      <c r="D898" s="4"/>
      <c r="E898" s="4"/>
      <c r="F898" s="53" t="s">
        <v>127</v>
      </c>
      <c r="G898" s="4">
        <v>635</v>
      </c>
      <c r="H898" s="4" t="s">
        <v>139</v>
      </c>
      <c r="I898" s="26">
        <v>10350</v>
      </c>
      <c r="J898" s="26"/>
      <c r="K898" s="26">
        <f t="shared" si="135"/>
        <v>10350</v>
      </c>
      <c r="L898" s="76"/>
      <c r="M898" s="26"/>
      <c r="N898" s="26"/>
      <c r="O898" s="26">
        <f t="shared" si="136"/>
        <v>0</v>
      </c>
      <c r="P898" s="76"/>
      <c r="Q898" s="26">
        <f t="shared" si="148"/>
        <v>10350</v>
      </c>
      <c r="R898" s="26">
        <f t="shared" si="149"/>
        <v>0</v>
      </c>
      <c r="S898" s="26">
        <f t="shared" si="149"/>
        <v>10350</v>
      </c>
    </row>
    <row r="899" spans="2:19" x14ac:dyDescent="0.2">
      <c r="B899" s="75">
        <f t="shared" si="137"/>
        <v>251</v>
      </c>
      <c r="C899" s="4"/>
      <c r="D899" s="4"/>
      <c r="E899" s="4"/>
      <c r="F899" s="53" t="s">
        <v>127</v>
      </c>
      <c r="G899" s="4">
        <v>637</v>
      </c>
      <c r="H899" s="4" t="s">
        <v>130</v>
      </c>
      <c r="I899" s="26">
        <v>14130</v>
      </c>
      <c r="J899" s="26"/>
      <c r="K899" s="26">
        <f t="shared" si="135"/>
        <v>14130</v>
      </c>
      <c r="L899" s="76"/>
      <c r="M899" s="26"/>
      <c r="N899" s="26"/>
      <c r="O899" s="26">
        <f t="shared" si="136"/>
        <v>0</v>
      </c>
      <c r="P899" s="76"/>
      <c r="Q899" s="26">
        <f t="shared" si="148"/>
        <v>14130</v>
      </c>
      <c r="R899" s="26">
        <f t="shared" si="149"/>
        <v>0</v>
      </c>
      <c r="S899" s="26">
        <f t="shared" si="149"/>
        <v>14130</v>
      </c>
    </row>
    <row r="900" spans="2:19" x14ac:dyDescent="0.2">
      <c r="B900" s="75">
        <f t="shared" si="137"/>
        <v>252</v>
      </c>
      <c r="C900" s="15"/>
      <c r="D900" s="15"/>
      <c r="E900" s="15"/>
      <c r="F900" s="52" t="s">
        <v>127</v>
      </c>
      <c r="G900" s="15">
        <v>640</v>
      </c>
      <c r="H900" s="15" t="s">
        <v>136</v>
      </c>
      <c r="I900" s="49">
        <v>653</v>
      </c>
      <c r="J900" s="49"/>
      <c r="K900" s="49">
        <f t="shared" si="135"/>
        <v>653</v>
      </c>
      <c r="L900" s="123"/>
      <c r="M900" s="49"/>
      <c r="N900" s="49"/>
      <c r="O900" s="49">
        <f t="shared" si="136"/>
        <v>0</v>
      </c>
      <c r="P900" s="123"/>
      <c r="Q900" s="49">
        <f t="shared" si="148"/>
        <v>653</v>
      </c>
      <c r="R900" s="49">
        <f t="shared" si="149"/>
        <v>0</v>
      </c>
      <c r="S900" s="49">
        <f t="shared" si="149"/>
        <v>653</v>
      </c>
    </row>
    <row r="901" spans="2:19" x14ac:dyDescent="0.2">
      <c r="B901" s="75">
        <f t="shared" si="137"/>
        <v>253</v>
      </c>
      <c r="C901" s="15"/>
      <c r="D901" s="15"/>
      <c r="E901" s="15"/>
      <c r="F901" s="52" t="s">
        <v>251</v>
      </c>
      <c r="G901" s="15">
        <v>610</v>
      </c>
      <c r="H901" s="15" t="s">
        <v>137</v>
      </c>
      <c r="I901" s="49">
        <v>384940</v>
      </c>
      <c r="J901" s="49"/>
      <c r="K901" s="49">
        <f t="shared" si="135"/>
        <v>384940</v>
      </c>
      <c r="L901" s="123"/>
      <c r="M901" s="49"/>
      <c r="N901" s="49"/>
      <c r="O901" s="49">
        <f t="shared" si="136"/>
        <v>0</v>
      </c>
      <c r="P901" s="123"/>
      <c r="Q901" s="49">
        <f t="shared" si="148"/>
        <v>384940</v>
      </c>
      <c r="R901" s="49">
        <f t="shared" si="149"/>
        <v>0</v>
      </c>
      <c r="S901" s="49">
        <f t="shared" si="149"/>
        <v>384940</v>
      </c>
    </row>
    <row r="902" spans="2:19" x14ac:dyDescent="0.2">
      <c r="B902" s="75">
        <f t="shared" si="137"/>
        <v>254</v>
      </c>
      <c r="C902" s="15"/>
      <c r="D902" s="15"/>
      <c r="E902" s="15"/>
      <c r="F902" s="52" t="s">
        <v>272</v>
      </c>
      <c r="G902" s="15">
        <v>620</v>
      </c>
      <c r="H902" s="15" t="s">
        <v>132</v>
      </c>
      <c r="I902" s="49">
        <v>135501</v>
      </c>
      <c r="J902" s="49"/>
      <c r="K902" s="49">
        <f t="shared" si="135"/>
        <v>135501</v>
      </c>
      <c r="L902" s="123"/>
      <c r="M902" s="49"/>
      <c r="N902" s="49"/>
      <c r="O902" s="49">
        <f t="shared" si="136"/>
        <v>0</v>
      </c>
      <c r="P902" s="123"/>
      <c r="Q902" s="49">
        <f t="shared" si="148"/>
        <v>135501</v>
      </c>
      <c r="R902" s="49">
        <f t="shared" si="149"/>
        <v>0</v>
      </c>
      <c r="S902" s="49">
        <f t="shared" si="149"/>
        <v>135501</v>
      </c>
    </row>
    <row r="903" spans="2:19" x14ac:dyDescent="0.2">
      <c r="B903" s="75">
        <f t="shared" si="137"/>
        <v>255</v>
      </c>
      <c r="C903" s="15"/>
      <c r="D903" s="15"/>
      <c r="E903" s="15"/>
      <c r="F903" s="52" t="s">
        <v>272</v>
      </c>
      <c r="G903" s="15">
        <v>630</v>
      </c>
      <c r="H903" s="15" t="s">
        <v>129</v>
      </c>
      <c r="I903" s="49">
        <f>I908+I907+I906+I905+I904</f>
        <v>100309</v>
      </c>
      <c r="J903" s="49">
        <f>J908+J907+J906+J905+J904</f>
        <v>9800</v>
      </c>
      <c r="K903" s="49">
        <f t="shared" si="135"/>
        <v>110109</v>
      </c>
      <c r="L903" s="123"/>
      <c r="M903" s="49">
        <f>M908+M907+M906+M905+M904</f>
        <v>0</v>
      </c>
      <c r="N903" s="49">
        <f>N908+N907+N906+N905+N904</f>
        <v>0</v>
      </c>
      <c r="O903" s="49">
        <f t="shared" si="136"/>
        <v>0</v>
      </c>
      <c r="P903" s="123"/>
      <c r="Q903" s="49">
        <f t="shared" si="148"/>
        <v>100309</v>
      </c>
      <c r="R903" s="49">
        <f t="shared" si="149"/>
        <v>9800</v>
      </c>
      <c r="S903" s="49">
        <f t="shared" si="149"/>
        <v>110109</v>
      </c>
    </row>
    <row r="904" spans="2:19" x14ac:dyDescent="0.2">
      <c r="B904" s="75">
        <f t="shared" si="137"/>
        <v>256</v>
      </c>
      <c r="C904" s="4"/>
      <c r="D904" s="4"/>
      <c r="E904" s="4"/>
      <c r="F904" s="53" t="s">
        <v>272</v>
      </c>
      <c r="G904" s="4">
        <v>631</v>
      </c>
      <c r="H904" s="4" t="s">
        <v>135</v>
      </c>
      <c r="I904" s="26">
        <v>137</v>
      </c>
      <c r="J904" s="26"/>
      <c r="K904" s="26">
        <f t="shared" si="135"/>
        <v>137</v>
      </c>
      <c r="L904" s="76"/>
      <c r="M904" s="26"/>
      <c r="N904" s="26"/>
      <c r="O904" s="26">
        <f t="shared" si="136"/>
        <v>0</v>
      </c>
      <c r="P904" s="76"/>
      <c r="Q904" s="26">
        <f t="shared" si="148"/>
        <v>137</v>
      </c>
      <c r="R904" s="26">
        <f t="shared" si="149"/>
        <v>0</v>
      </c>
      <c r="S904" s="26">
        <f t="shared" si="149"/>
        <v>137</v>
      </c>
    </row>
    <row r="905" spans="2:19" x14ac:dyDescent="0.2">
      <c r="B905" s="75">
        <f t="shared" si="137"/>
        <v>257</v>
      </c>
      <c r="C905" s="4"/>
      <c r="D905" s="4"/>
      <c r="E905" s="4"/>
      <c r="F905" s="53" t="s">
        <v>272</v>
      </c>
      <c r="G905" s="4">
        <v>632</v>
      </c>
      <c r="H905" s="4" t="s">
        <v>140</v>
      </c>
      <c r="I905" s="26">
        <v>31700</v>
      </c>
      <c r="J905" s="26"/>
      <c r="K905" s="26">
        <f t="shared" si="135"/>
        <v>31700</v>
      </c>
      <c r="L905" s="76"/>
      <c r="M905" s="26"/>
      <c r="N905" s="26"/>
      <c r="O905" s="26">
        <f t="shared" si="136"/>
        <v>0</v>
      </c>
      <c r="P905" s="76"/>
      <c r="Q905" s="26">
        <f t="shared" si="148"/>
        <v>31700</v>
      </c>
      <c r="R905" s="26">
        <f t="shared" si="149"/>
        <v>0</v>
      </c>
      <c r="S905" s="26">
        <f t="shared" si="149"/>
        <v>31700</v>
      </c>
    </row>
    <row r="906" spans="2:19" x14ac:dyDescent="0.2">
      <c r="B906" s="75">
        <f t="shared" si="137"/>
        <v>258</v>
      </c>
      <c r="C906" s="4"/>
      <c r="D906" s="4"/>
      <c r="E906" s="4"/>
      <c r="F906" s="53" t="s">
        <v>272</v>
      </c>
      <c r="G906" s="4">
        <v>633</v>
      </c>
      <c r="H906" s="4" t="s">
        <v>133</v>
      </c>
      <c r="I906" s="26">
        <v>38552</v>
      </c>
      <c r="J906" s="26">
        <v>200</v>
      </c>
      <c r="K906" s="26">
        <f t="shared" si="135"/>
        <v>38752</v>
      </c>
      <c r="L906" s="76"/>
      <c r="M906" s="26"/>
      <c r="N906" s="26"/>
      <c r="O906" s="26">
        <f t="shared" si="136"/>
        <v>0</v>
      </c>
      <c r="P906" s="76"/>
      <c r="Q906" s="26">
        <f t="shared" si="148"/>
        <v>38552</v>
      </c>
      <c r="R906" s="26">
        <f t="shared" ref="R906:S909" si="150">N906+J906</f>
        <v>200</v>
      </c>
      <c r="S906" s="26">
        <f t="shared" si="150"/>
        <v>38752</v>
      </c>
    </row>
    <row r="907" spans="2:19" x14ac:dyDescent="0.2">
      <c r="B907" s="75">
        <f t="shared" si="137"/>
        <v>259</v>
      </c>
      <c r="C907" s="4"/>
      <c r="D907" s="4"/>
      <c r="E907" s="4"/>
      <c r="F907" s="53" t="s">
        <v>272</v>
      </c>
      <c r="G907" s="4">
        <v>635</v>
      </c>
      <c r="H907" s="4" t="s">
        <v>139</v>
      </c>
      <c r="I907" s="26">
        <v>12650</v>
      </c>
      <c r="J907" s="26"/>
      <c r="K907" s="26">
        <f t="shared" si="135"/>
        <v>12650</v>
      </c>
      <c r="L907" s="76"/>
      <c r="M907" s="26"/>
      <c r="N907" s="26"/>
      <c r="O907" s="26">
        <f t="shared" si="136"/>
        <v>0</v>
      </c>
      <c r="P907" s="76"/>
      <c r="Q907" s="26">
        <f t="shared" si="148"/>
        <v>12650</v>
      </c>
      <c r="R907" s="26">
        <f t="shared" si="150"/>
        <v>0</v>
      </c>
      <c r="S907" s="26">
        <f t="shared" si="150"/>
        <v>12650</v>
      </c>
    </row>
    <row r="908" spans="2:19" x14ac:dyDescent="0.2">
      <c r="B908" s="75">
        <f t="shared" si="137"/>
        <v>260</v>
      </c>
      <c r="C908" s="4"/>
      <c r="D908" s="4"/>
      <c r="E908" s="4"/>
      <c r="F908" s="53" t="s">
        <v>272</v>
      </c>
      <c r="G908" s="4">
        <v>637</v>
      </c>
      <c r="H908" s="4" t="s">
        <v>130</v>
      </c>
      <c r="I908" s="26">
        <v>17270</v>
      </c>
      <c r="J908" s="26">
        <v>9600</v>
      </c>
      <c r="K908" s="26">
        <f t="shared" si="135"/>
        <v>26870</v>
      </c>
      <c r="L908" s="76"/>
      <c r="M908" s="26"/>
      <c r="N908" s="26"/>
      <c r="O908" s="26">
        <f t="shared" si="136"/>
        <v>0</v>
      </c>
      <c r="P908" s="76"/>
      <c r="Q908" s="26">
        <f t="shared" si="148"/>
        <v>17270</v>
      </c>
      <c r="R908" s="26">
        <f t="shared" si="150"/>
        <v>9600</v>
      </c>
      <c r="S908" s="26">
        <f t="shared" si="150"/>
        <v>26870</v>
      </c>
    </row>
    <row r="909" spans="2:19" x14ac:dyDescent="0.2">
      <c r="B909" s="75">
        <f t="shared" si="137"/>
        <v>261</v>
      </c>
      <c r="C909" s="15"/>
      <c r="D909" s="15"/>
      <c r="E909" s="15"/>
      <c r="F909" s="52" t="s">
        <v>272</v>
      </c>
      <c r="G909" s="15">
        <v>640</v>
      </c>
      <c r="H909" s="15" t="s">
        <v>136</v>
      </c>
      <c r="I909" s="49">
        <v>797</v>
      </c>
      <c r="J909" s="49"/>
      <c r="K909" s="49">
        <f t="shared" ref="K909:K975" si="151">I909+J909</f>
        <v>797</v>
      </c>
      <c r="L909" s="123"/>
      <c r="M909" s="49"/>
      <c r="N909" s="49"/>
      <c r="O909" s="49">
        <f t="shared" ref="O909:O975" si="152">M909+N909</f>
        <v>0</v>
      </c>
      <c r="P909" s="123"/>
      <c r="Q909" s="49">
        <f t="shared" si="148"/>
        <v>797</v>
      </c>
      <c r="R909" s="49">
        <f t="shared" si="150"/>
        <v>0</v>
      </c>
      <c r="S909" s="49">
        <f t="shared" si="150"/>
        <v>797</v>
      </c>
    </row>
    <row r="910" spans="2:19" x14ac:dyDescent="0.2">
      <c r="B910" s="75">
        <f t="shared" ref="B910:B917" si="153">B909+1</f>
        <v>262</v>
      </c>
      <c r="C910" s="15"/>
      <c r="D910" s="15"/>
      <c r="E910" s="15"/>
      <c r="F910" s="52" t="s">
        <v>77</v>
      </c>
      <c r="G910" s="15">
        <v>630</v>
      </c>
      <c r="H910" s="15" t="s">
        <v>672</v>
      </c>
      <c r="I910" s="49">
        <v>0</v>
      </c>
      <c r="J910" s="49">
        <v>946</v>
      </c>
      <c r="K910" s="49">
        <f t="shared" si="151"/>
        <v>946</v>
      </c>
      <c r="L910" s="123"/>
      <c r="M910" s="49"/>
      <c r="N910" s="49"/>
      <c r="O910" s="49"/>
      <c r="P910" s="123"/>
      <c r="Q910" s="49">
        <f t="shared" si="148"/>
        <v>0</v>
      </c>
      <c r="R910" s="49">
        <f t="shared" ref="R910" si="154">N910+J910</f>
        <v>946</v>
      </c>
      <c r="S910" s="49">
        <f t="shared" ref="S910" si="155">O910+K910</f>
        <v>946</v>
      </c>
    </row>
    <row r="911" spans="2:19" x14ac:dyDescent="0.2">
      <c r="B911" s="75">
        <f t="shared" si="153"/>
        <v>263</v>
      </c>
      <c r="C911" s="15"/>
      <c r="D911" s="15"/>
      <c r="E911" s="15"/>
      <c r="F911" s="52"/>
      <c r="G911" s="15"/>
      <c r="H911" s="15"/>
      <c r="I911" s="49"/>
      <c r="J911" s="49"/>
      <c r="K911" s="49">
        <f t="shared" si="151"/>
        <v>0</v>
      </c>
      <c r="L911" s="123"/>
      <c r="M911" s="49"/>
      <c r="N911" s="49"/>
      <c r="O911" s="49">
        <f t="shared" si="152"/>
        <v>0</v>
      </c>
      <c r="P911" s="123"/>
      <c r="Q911" s="49"/>
      <c r="R911" s="49"/>
      <c r="S911" s="49"/>
    </row>
    <row r="912" spans="2:19" x14ac:dyDescent="0.2">
      <c r="B912" s="75">
        <f t="shared" si="153"/>
        <v>264</v>
      </c>
      <c r="C912" s="15"/>
      <c r="D912" s="15"/>
      <c r="E912" s="15"/>
      <c r="F912" s="52"/>
      <c r="G912" s="15">
        <v>630</v>
      </c>
      <c r="H912" s="15" t="s">
        <v>624</v>
      </c>
      <c r="I912" s="49">
        <v>3140</v>
      </c>
      <c r="J912" s="49"/>
      <c r="K912" s="49">
        <f t="shared" si="151"/>
        <v>3140</v>
      </c>
      <c r="L912" s="123"/>
      <c r="M912" s="49"/>
      <c r="N912" s="49"/>
      <c r="O912" s="49">
        <f t="shared" si="152"/>
        <v>0</v>
      </c>
      <c r="P912" s="123"/>
      <c r="Q912" s="49">
        <f>M912+I912</f>
        <v>3140</v>
      </c>
      <c r="R912" s="49">
        <f t="shared" ref="R912:S912" si="156">N912+J912</f>
        <v>0</v>
      </c>
      <c r="S912" s="49">
        <f t="shared" si="156"/>
        <v>3140</v>
      </c>
    </row>
    <row r="913" spans="2:19" x14ac:dyDescent="0.2">
      <c r="B913" s="75">
        <f t="shared" si="153"/>
        <v>265</v>
      </c>
      <c r="C913" s="15"/>
      <c r="D913" s="15"/>
      <c r="E913" s="15"/>
      <c r="F913" s="52"/>
      <c r="G913" s="15"/>
      <c r="H913" s="15"/>
      <c r="I913" s="49"/>
      <c r="J913" s="49"/>
      <c r="K913" s="49">
        <f t="shared" si="151"/>
        <v>0</v>
      </c>
      <c r="L913" s="123"/>
      <c r="M913" s="49"/>
      <c r="N913" s="49"/>
      <c r="O913" s="49">
        <f t="shared" si="152"/>
        <v>0</v>
      </c>
      <c r="P913" s="123"/>
      <c r="Q913" s="49"/>
      <c r="R913" s="49"/>
      <c r="S913" s="49"/>
    </row>
    <row r="914" spans="2:19" x14ac:dyDescent="0.2">
      <c r="B914" s="75">
        <f t="shared" si="153"/>
        <v>266</v>
      </c>
      <c r="C914" s="15"/>
      <c r="D914" s="15"/>
      <c r="E914" s="15"/>
      <c r="F914" s="52" t="s">
        <v>127</v>
      </c>
      <c r="G914" s="15">
        <v>710</v>
      </c>
      <c r="H914" s="15" t="s">
        <v>185</v>
      </c>
      <c r="I914" s="49">
        <v>0</v>
      </c>
      <c r="J914" s="49">
        <v>0</v>
      </c>
      <c r="K914" s="49">
        <f t="shared" si="151"/>
        <v>0</v>
      </c>
      <c r="L914" s="123"/>
      <c r="M914" s="49">
        <f>M915</f>
        <v>5000</v>
      </c>
      <c r="N914" s="49">
        <f>N915</f>
        <v>0</v>
      </c>
      <c r="O914" s="49">
        <f t="shared" si="152"/>
        <v>5000</v>
      </c>
      <c r="P914" s="123"/>
      <c r="Q914" s="49">
        <f>M914+I914</f>
        <v>5000</v>
      </c>
      <c r="R914" s="49">
        <f t="shared" ref="R914:S917" si="157">N914+J914</f>
        <v>0</v>
      </c>
      <c r="S914" s="49">
        <f t="shared" si="157"/>
        <v>5000</v>
      </c>
    </row>
    <row r="915" spans="2:19" x14ac:dyDescent="0.2">
      <c r="B915" s="75">
        <f t="shared" si="153"/>
        <v>267</v>
      </c>
      <c r="C915" s="4"/>
      <c r="D915" s="4"/>
      <c r="E915" s="4"/>
      <c r="F915" s="86" t="s">
        <v>127</v>
      </c>
      <c r="G915" s="87">
        <v>716</v>
      </c>
      <c r="H915" s="87" t="s">
        <v>0</v>
      </c>
      <c r="I915" s="88"/>
      <c r="J915" s="88"/>
      <c r="K915" s="88">
        <f t="shared" si="151"/>
        <v>0</v>
      </c>
      <c r="L915" s="76"/>
      <c r="M915" s="88">
        <f>SUM(M916:M916)</f>
        <v>5000</v>
      </c>
      <c r="N915" s="88">
        <f>SUM(N916:N916)</f>
        <v>0</v>
      </c>
      <c r="O915" s="88">
        <f t="shared" si="152"/>
        <v>5000</v>
      </c>
      <c r="P915" s="76"/>
      <c r="Q915" s="88">
        <f>M915+I915</f>
        <v>5000</v>
      </c>
      <c r="R915" s="88">
        <f t="shared" si="157"/>
        <v>0</v>
      </c>
      <c r="S915" s="88">
        <f t="shared" si="157"/>
        <v>5000</v>
      </c>
    </row>
    <row r="916" spans="2:19" x14ac:dyDescent="0.2">
      <c r="B916" s="75">
        <f t="shared" si="153"/>
        <v>268</v>
      </c>
      <c r="C916" s="4"/>
      <c r="D916" s="4"/>
      <c r="E916" s="4"/>
      <c r="F916" s="64"/>
      <c r="G916" s="60"/>
      <c r="H916" s="60" t="s">
        <v>519</v>
      </c>
      <c r="I916" s="58"/>
      <c r="J916" s="58"/>
      <c r="K916" s="58">
        <f t="shared" si="151"/>
        <v>0</v>
      </c>
      <c r="L916" s="76"/>
      <c r="M916" s="58">
        <v>5000</v>
      </c>
      <c r="N916" s="58"/>
      <c r="O916" s="58">
        <f t="shared" si="152"/>
        <v>5000</v>
      </c>
      <c r="P916" s="76"/>
      <c r="Q916" s="26">
        <f>M916+I916</f>
        <v>5000</v>
      </c>
      <c r="R916" s="26">
        <f t="shared" si="157"/>
        <v>0</v>
      </c>
      <c r="S916" s="26">
        <f t="shared" si="157"/>
        <v>5000</v>
      </c>
    </row>
    <row r="917" spans="2:19" x14ac:dyDescent="0.2">
      <c r="B917" s="75">
        <f t="shared" si="153"/>
        <v>269</v>
      </c>
      <c r="C917" s="4"/>
      <c r="D917" s="4"/>
      <c r="E917" s="4"/>
      <c r="F917" s="52" t="s">
        <v>272</v>
      </c>
      <c r="G917" s="15">
        <v>710</v>
      </c>
      <c r="H917" s="15" t="s">
        <v>185</v>
      </c>
      <c r="I917" s="49">
        <v>0</v>
      </c>
      <c r="J917" s="49">
        <v>0</v>
      </c>
      <c r="K917" s="49">
        <f t="shared" si="151"/>
        <v>0</v>
      </c>
      <c r="L917" s="123"/>
      <c r="M917" s="49">
        <f>M918</f>
        <v>1000</v>
      </c>
      <c r="N917" s="49">
        <f>N918</f>
        <v>0</v>
      </c>
      <c r="O917" s="49">
        <f t="shared" si="152"/>
        <v>1000</v>
      </c>
      <c r="P917" s="123"/>
      <c r="Q917" s="49">
        <f>M917+I917</f>
        <v>1000</v>
      </c>
      <c r="R917" s="49">
        <f t="shared" si="157"/>
        <v>0</v>
      </c>
      <c r="S917" s="49">
        <f t="shared" si="157"/>
        <v>1000</v>
      </c>
    </row>
    <row r="918" spans="2:19" x14ac:dyDescent="0.2">
      <c r="B918" s="75">
        <f t="shared" ref="B918:B976" si="158">B917+1</f>
        <v>270</v>
      </c>
      <c r="C918" s="4"/>
      <c r="D918" s="4"/>
      <c r="E918" s="4"/>
      <c r="F918" s="86" t="s">
        <v>272</v>
      </c>
      <c r="G918" s="87">
        <v>717</v>
      </c>
      <c r="H918" s="87" t="s">
        <v>195</v>
      </c>
      <c r="I918" s="88"/>
      <c r="J918" s="88"/>
      <c r="K918" s="88">
        <f t="shared" si="151"/>
        <v>0</v>
      </c>
      <c r="L918" s="76"/>
      <c r="M918" s="88">
        <f>SUM(M919:M939)</f>
        <v>1000</v>
      </c>
      <c r="N918" s="88">
        <f>SUM(N919:N939)</f>
        <v>0</v>
      </c>
      <c r="O918" s="88">
        <f t="shared" si="152"/>
        <v>1000</v>
      </c>
      <c r="P918" s="76"/>
      <c r="Q918" s="88">
        <f>I918+M918</f>
        <v>1000</v>
      </c>
      <c r="R918" s="88">
        <f t="shared" ref="R918:S919" si="159">J918+N918</f>
        <v>0</v>
      </c>
      <c r="S918" s="88">
        <f t="shared" si="159"/>
        <v>1000</v>
      </c>
    </row>
    <row r="919" spans="2:19" x14ac:dyDescent="0.2">
      <c r="B919" s="75">
        <f t="shared" si="158"/>
        <v>271</v>
      </c>
      <c r="C919" s="4"/>
      <c r="D919" s="4"/>
      <c r="E919" s="4"/>
      <c r="F919" s="64"/>
      <c r="G919" s="60"/>
      <c r="H919" s="60" t="s">
        <v>525</v>
      </c>
      <c r="I919" s="58"/>
      <c r="J919" s="58"/>
      <c r="K919" s="58">
        <f t="shared" si="151"/>
        <v>0</v>
      </c>
      <c r="L919" s="76"/>
      <c r="M919" s="58">
        <v>1000</v>
      </c>
      <c r="N919" s="58"/>
      <c r="O919" s="58">
        <f t="shared" si="152"/>
        <v>1000</v>
      </c>
      <c r="P919" s="76"/>
      <c r="Q919" s="26">
        <f>I919+M919</f>
        <v>1000</v>
      </c>
      <c r="R919" s="26">
        <f t="shared" si="159"/>
        <v>0</v>
      </c>
      <c r="S919" s="26">
        <f t="shared" si="159"/>
        <v>1000</v>
      </c>
    </row>
    <row r="920" spans="2:19" ht="15" x14ac:dyDescent="0.25">
      <c r="B920" s="75">
        <f t="shared" si="158"/>
        <v>272</v>
      </c>
      <c r="C920" s="18"/>
      <c r="D920" s="18"/>
      <c r="E920" s="18">
        <v>8</v>
      </c>
      <c r="F920" s="50"/>
      <c r="G920" s="18"/>
      <c r="H920" s="18" t="s">
        <v>322</v>
      </c>
      <c r="I920" s="47">
        <f>I921+I922+I923+I929+I930+I931+I932+I939+I942</f>
        <v>1434502</v>
      </c>
      <c r="J920" s="47">
        <f>J921+J922+J923+J929+J930+J931+J932+J939+J942+J940</f>
        <v>12806</v>
      </c>
      <c r="K920" s="47">
        <f t="shared" si="151"/>
        <v>1447308</v>
      </c>
      <c r="L920" s="174"/>
      <c r="M920" s="47">
        <v>0</v>
      </c>
      <c r="N920" s="47">
        <v>0</v>
      </c>
      <c r="O920" s="47">
        <f t="shared" si="152"/>
        <v>0</v>
      </c>
      <c r="P920" s="174"/>
      <c r="Q920" s="47">
        <f t="shared" ref="Q920:Q940" si="160">M920+I920</f>
        <v>1434502</v>
      </c>
      <c r="R920" s="47">
        <f t="shared" ref="R920:S935" si="161">N920+J920</f>
        <v>12806</v>
      </c>
      <c r="S920" s="47">
        <f t="shared" si="161"/>
        <v>1447308</v>
      </c>
    </row>
    <row r="921" spans="2:19" x14ac:dyDescent="0.2">
      <c r="B921" s="75">
        <f t="shared" si="158"/>
        <v>273</v>
      </c>
      <c r="C921" s="15"/>
      <c r="D921" s="15"/>
      <c r="E921" s="15"/>
      <c r="F921" s="52" t="s">
        <v>127</v>
      </c>
      <c r="G921" s="15">
        <v>610</v>
      </c>
      <c r="H921" s="15" t="s">
        <v>137</v>
      </c>
      <c r="I921" s="49">
        <v>334950</v>
      </c>
      <c r="J921" s="49"/>
      <c r="K921" s="49">
        <f t="shared" si="151"/>
        <v>334950</v>
      </c>
      <c r="L921" s="123"/>
      <c r="M921" s="49"/>
      <c r="N921" s="49"/>
      <c r="O921" s="49">
        <f t="shared" si="152"/>
        <v>0</v>
      </c>
      <c r="P921" s="123"/>
      <c r="Q921" s="49">
        <f t="shared" si="160"/>
        <v>334950</v>
      </c>
      <c r="R921" s="49">
        <f t="shared" si="161"/>
        <v>0</v>
      </c>
      <c r="S921" s="49">
        <f t="shared" si="161"/>
        <v>334950</v>
      </c>
    </row>
    <row r="922" spans="2:19" x14ac:dyDescent="0.2">
      <c r="B922" s="75">
        <f t="shared" si="158"/>
        <v>274</v>
      </c>
      <c r="C922" s="15"/>
      <c r="D922" s="15"/>
      <c r="E922" s="15"/>
      <c r="F922" s="52" t="s">
        <v>127</v>
      </c>
      <c r="G922" s="15">
        <v>620</v>
      </c>
      <c r="H922" s="15" t="s">
        <v>132</v>
      </c>
      <c r="I922" s="49">
        <v>117190</v>
      </c>
      <c r="J922" s="49"/>
      <c r="K922" s="49">
        <f t="shared" si="151"/>
        <v>117190</v>
      </c>
      <c r="L922" s="123"/>
      <c r="M922" s="49"/>
      <c r="N922" s="49"/>
      <c r="O922" s="49">
        <f t="shared" si="152"/>
        <v>0</v>
      </c>
      <c r="P922" s="123"/>
      <c r="Q922" s="49">
        <f t="shared" si="160"/>
        <v>117190</v>
      </c>
      <c r="R922" s="49">
        <f t="shared" si="161"/>
        <v>0</v>
      </c>
      <c r="S922" s="49">
        <f t="shared" si="161"/>
        <v>117190</v>
      </c>
    </row>
    <row r="923" spans="2:19" x14ac:dyDescent="0.2">
      <c r="B923" s="75">
        <f t="shared" si="158"/>
        <v>275</v>
      </c>
      <c r="C923" s="15"/>
      <c r="D923" s="15"/>
      <c r="E923" s="15"/>
      <c r="F923" s="52" t="s">
        <v>127</v>
      </c>
      <c r="G923" s="15">
        <v>630</v>
      </c>
      <c r="H923" s="15" t="s">
        <v>129</v>
      </c>
      <c r="I923" s="49">
        <f>I928+I927+I926+I925+I924</f>
        <v>90387</v>
      </c>
      <c r="J923" s="49">
        <f>J928+J927+J926+J925+J924</f>
        <v>0</v>
      </c>
      <c r="K923" s="49">
        <f t="shared" si="151"/>
        <v>90387</v>
      </c>
      <c r="L923" s="123"/>
      <c r="M923" s="49">
        <v>0</v>
      </c>
      <c r="N923" s="49">
        <v>0</v>
      </c>
      <c r="O923" s="49">
        <f t="shared" si="152"/>
        <v>0</v>
      </c>
      <c r="P923" s="123"/>
      <c r="Q923" s="49">
        <f t="shared" si="160"/>
        <v>90387</v>
      </c>
      <c r="R923" s="49">
        <f t="shared" si="161"/>
        <v>0</v>
      </c>
      <c r="S923" s="49">
        <f t="shared" si="161"/>
        <v>90387</v>
      </c>
    </row>
    <row r="924" spans="2:19" x14ac:dyDescent="0.2">
      <c r="B924" s="75">
        <f t="shared" si="158"/>
        <v>276</v>
      </c>
      <c r="C924" s="4"/>
      <c r="D924" s="4"/>
      <c r="E924" s="4"/>
      <c r="F924" s="53" t="s">
        <v>127</v>
      </c>
      <c r="G924" s="4">
        <v>631</v>
      </c>
      <c r="H924" s="4" t="s">
        <v>135</v>
      </c>
      <c r="I924" s="26">
        <v>20</v>
      </c>
      <c r="J924" s="26"/>
      <c r="K924" s="26">
        <f t="shared" si="151"/>
        <v>20</v>
      </c>
      <c r="L924" s="76"/>
      <c r="M924" s="26"/>
      <c r="N924" s="26"/>
      <c r="O924" s="26">
        <f t="shared" si="152"/>
        <v>0</v>
      </c>
      <c r="P924" s="76"/>
      <c r="Q924" s="26">
        <f t="shared" si="160"/>
        <v>20</v>
      </c>
      <c r="R924" s="26">
        <f t="shared" si="161"/>
        <v>0</v>
      </c>
      <c r="S924" s="26">
        <f t="shared" si="161"/>
        <v>20</v>
      </c>
    </row>
    <row r="925" spans="2:19" x14ac:dyDescent="0.2">
      <c r="B925" s="75">
        <f t="shared" si="158"/>
        <v>277</v>
      </c>
      <c r="C925" s="4"/>
      <c r="D925" s="4"/>
      <c r="E925" s="4"/>
      <c r="F925" s="53" t="s">
        <v>127</v>
      </c>
      <c r="G925" s="4">
        <v>632</v>
      </c>
      <c r="H925" s="4" t="s">
        <v>140</v>
      </c>
      <c r="I925" s="26">
        <v>60069</v>
      </c>
      <c r="J925" s="26"/>
      <c r="K925" s="26">
        <f t="shared" si="151"/>
        <v>60069</v>
      </c>
      <c r="L925" s="76"/>
      <c r="M925" s="26"/>
      <c r="N925" s="26"/>
      <c r="O925" s="26">
        <f t="shared" si="152"/>
        <v>0</v>
      </c>
      <c r="P925" s="76"/>
      <c r="Q925" s="26">
        <f t="shared" si="160"/>
        <v>60069</v>
      </c>
      <c r="R925" s="26">
        <f t="shared" si="161"/>
        <v>0</v>
      </c>
      <c r="S925" s="26">
        <f t="shared" si="161"/>
        <v>60069</v>
      </c>
    </row>
    <row r="926" spans="2:19" x14ac:dyDescent="0.2">
      <c r="B926" s="75">
        <f t="shared" si="158"/>
        <v>278</v>
      </c>
      <c r="C926" s="4"/>
      <c r="D926" s="4"/>
      <c r="E926" s="4"/>
      <c r="F926" s="53" t="s">
        <v>127</v>
      </c>
      <c r="G926" s="4">
        <v>633</v>
      </c>
      <c r="H926" s="4" t="s">
        <v>133</v>
      </c>
      <c r="I926" s="26">
        <v>12260</v>
      </c>
      <c r="J926" s="26"/>
      <c r="K926" s="26">
        <f t="shared" si="151"/>
        <v>12260</v>
      </c>
      <c r="L926" s="76"/>
      <c r="M926" s="26"/>
      <c r="N926" s="26"/>
      <c r="O926" s="26">
        <f t="shared" si="152"/>
        <v>0</v>
      </c>
      <c r="P926" s="76"/>
      <c r="Q926" s="26">
        <f t="shared" si="160"/>
        <v>12260</v>
      </c>
      <c r="R926" s="26">
        <f t="shared" si="161"/>
        <v>0</v>
      </c>
      <c r="S926" s="26">
        <f t="shared" si="161"/>
        <v>12260</v>
      </c>
    </row>
    <row r="927" spans="2:19" x14ac:dyDescent="0.2">
      <c r="B927" s="75">
        <f t="shared" si="158"/>
        <v>279</v>
      </c>
      <c r="C927" s="4"/>
      <c r="D927" s="4"/>
      <c r="E927" s="4"/>
      <c r="F927" s="53" t="s">
        <v>127</v>
      </c>
      <c r="G927" s="4">
        <v>635</v>
      </c>
      <c r="H927" s="4" t="s">
        <v>139</v>
      </c>
      <c r="I927" s="26">
        <v>4549</v>
      </c>
      <c r="J927" s="26"/>
      <c r="K927" s="26">
        <f t="shared" si="151"/>
        <v>4549</v>
      </c>
      <c r="L927" s="76"/>
      <c r="M927" s="26"/>
      <c r="N927" s="26"/>
      <c r="O927" s="26">
        <f t="shared" si="152"/>
        <v>0</v>
      </c>
      <c r="P927" s="76"/>
      <c r="Q927" s="26">
        <f t="shared" si="160"/>
        <v>4549</v>
      </c>
      <c r="R927" s="26">
        <f t="shared" si="161"/>
        <v>0</v>
      </c>
      <c r="S927" s="26">
        <f t="shared" si="161"/>
        <v>4549</v>
      </c>
    </row>
    <row r="928" spans="2:19" x14ac:dyDescent="0.2">
      <c r="B928" s="75">
        <f t="shared" si="158"/>
        <v>280</v>
      </c>
      <c r="C928" s="4"/>
      <c r="D928" s="4"/>
      <c r="E928" s="4"/>
      <c r="F928" s="53" t="s">
        <v>127</v>
      </c>
      <c r="G928" s="4">
        <v>637</v>
      </c>
      <c r="H928" s="4" t="s">
        <v>130</v>
      </c>
      <c r="I928" s="26">
        <v>13489</v>
      </c>
      <c r="J928" s="26"/>
      <c r="K928" s="26">
        <f t="shared" si="151"/>
        <v>13489</v>
      </c>
      <c r="L928" s="76"/>
      <c r="M928" s="26"/>
      <c r="N928" s="26"/>
      <c r="O928" s="26">
        <f t="shared" si="152"/>
        <v>0</v>
      </c>
      <c r="P928" s="76"/>
      <c r="Q928" s="26">
        <f t="shared" si="160"/>
        <v>13489</v>
      </c>
      <c r="R928" s="26">
        <f t="shared" si="161"/>
        <v>0</v>
      </c>
      <c r="S928" s="26">
        <f t="shared" si="161"/>
        <v>13489</v>
      </c>
    </row>
    <row r="929" spans="2:19" x14ac:dyDescent="0.2">
      <c r="B929" s="75">
        <f t="shared" si="158"/>
        <v>281</v>
      </c>
      <c r="C929" s="15"/>
      <c r="D929" s="15"/>
      <c r="E929" s="15"/>
      <c r="F929" s="52" t="s">
        <v>127</v>
      </c>
      <c r="G929" s="15">
        <v>640</v>
      </c>
      <c r="H929" s="15" t="s">
        <v>136</v>
      </c>
      <c r="I929" s="49">
        <v>3569</v>
      </c>
      <c r="J929" s="49"/>
      <c r="K929" s="49">
        <f t="shared" si="151"/>
        <v>3569</v>
      </c>
      <c r="L929" s="123"/>
      <c r="M929" s="49"/>
      <c r="N929" s="49"/>
      <c r="O929" s="49">
        <f t="shared" si="152"/>
        <v>0</v>
      </c>
      <c r="P929" s="123"/>
      <c r="Q929" s="49">
        <f t="shared" si="160"/>
        <v>3569</v>
      </c>
      <c r="R929" s="49">
        <f t="shared" si="161"/>
        <v>0</v>
      </c>
      <c r="S929" s="49">
        <f t="shared" si="161"/>
        <v>3569</v>
      </c>
    </row>
    <row r="930" spans="2:19" x14ac:dyDescent="0.2">
      <c r="B930" s="75">
        <f t="shared" si="158"/>
        <v>282</v>
      </c>
      <c r="C930" s="15"/>
      <c r="D930" s="15"/>
      <c r="E930" s="15"/>
      <c r="F930" s="52" t="s">
        <v>272</v>
      </c>
      <c r="G930" s="15">
        <v>610</v>
      </c>
      <c r="H930" s="15" t="s">
        <v>137</v>
      </c>
      <c r="I930" s="49">
        <v>513638</v>
      </c>
      <c r="J930" s="49"/>
      <c r="K930" s="49">
        <f t="shared" si="151"/>
        <v>513638</v>
      </c>
      <c r="L930" s="123"/>
      <c r="M930" s="49"/>
      <c r="N930" s="49"/>
      <c r="O930" s="49">
        <f t="shared" si="152"/>
        <v>0</v>
      </c>
      <c r="P930" s="123"/>
      <c r="Q930" s="49">
        <f t="shared" si="160"/>
        <v>513638</v>
      </c>
      <c r="R930" s="49">
        <f t="shared" si="161"/>
        <v>0</v>
      </c>
      <c r="S930" s="49">
        <f t="shared" si="161"/>
        <v>513638</v>
      </c>
    </row>
    <row r="931" spans="2:19" x14ac:dyDescent="0.2">
      <c r="B931" s="75">
        <f t="shared" si="158"/>
        <v>283</v>
      </c>
      <c r="C931" s="15"/>
      <c r="D931" s="15"/>
      <c r="E931" s="15"/>
      <c r="F931" s="52" t="s">
        <v>272</v>
      </c>
      <c r="G931" s="15">
        <v>620</v>
      </c>
      <c r="H931" s="15" t="s">
        <v>132</v>
      </c>
      <c r="I931" s="49">
        <v>179525</v>
      </c>
      <c r="J931" s="49"/>
      <c r="K931" s="49">
        <f t="shared" si="151"/>
        <v>179525</v>
      </c>
      <c r="L931" s="123"/>
      <c r="M931" s="49"/>
      <c r="N931" s="49"/>
      <c r="O931" s="49">
        <f t="shared" si="152"/>
        <v>0</v>
      </c>
      <c r="P931" s="123"/>
      <c r="Q931" s="49">
        <f t="shared" si="160"/>
        <v>179525</v>
      </c>
      <c r="R931" s="49">
        <f t="shared" si="161"/>
        <v>0</v>
      </c>
      <c r="S931" s="49">
        <f t="shared" si="161"/>
        <v>179525</v>
      </c>
    </row>
    <row r="932" spans="2:19" x14ac:dyDescent="0.2">
      <c r="B932" s="75">
        <f t="shared" si="158"/>
        <v>284</v>
      </c>
      <c r="C932" s="15"/>
      <c r="D932" s="15"/>
      <c r="E932" s="15"/>
      <c r="F932" s="52" t="s">
        <v>272</v>
      </c>
      <c r="G932" s="15">
        <v>630</v>
      </c>
      <c r="H932" s="15" t="s">
        <v>129</v>
      </c>
      <c r="I932" s="49">
        <f>I938+I937+I936+I935+I934+I933</f>
        <v>190849</v>
      </c>
      <c r="J932" s="49">
        <f>J938+J937+J936+J935+J934+J933</f>
        <v>12450</v>
      </c>
      <c r="K932" s="49">
        <f t="shared" si="151"/>
        <v>203299</v>
      </c>
      <c r="L932" s="123"/>
      <c r="M932" s="49">
        <f>M938+M937+M936+M935+M934+M933</f>
        <v>0</v>
      </c>
      <c r="N932" s="49">
        <f>N938+N937+N936+N935+N934+N933</f>
        <v>0</v>
      </c>
      <c r="O932" s="49">
        <f t="shared" si="152"/>
        <v>0</v>
      </c>
      <c r="P932" s="123"/>
      <c r="Q932" s="49">
        <f t="shared" si="160"/>
        <v>190849</v>
      </c>
      <c r="R932" s="49">
        <f t="shared" si="161"/>
        <v>12450</v>
      </c>
      <c r="S932" s="49">
        <f t="shared" si="161"/>
        <v>203299</v>
      </c>
    </row>
    <row r="933" spans="2:19" x14ac:dyDescent="0.2">
      <c r="B933" s="75">
        <f t="shared" si="158"/>
        <v>285</v>
      </c>
      <c r="C933" s="4"/>
      <c r="D933" s="4"/>
      <c r="E933" s="4"/>
      <c r="F933" s="53" t="s">
        <v>272</v>
      </c>
      <c r="G933" s="4">
        <v>631</v>
      </c>
      <c r="H933" s="4" t="s">
        <v>135</v>
      </c>
      <c r="I933" s="26">
        <v>31</v>
      </c>
      <c r="J933" s="26"/>
      <c r="K933" s="26">
        <f t="shared" si="151"/>
        <v>31</v>
      </c>
      <c r="L933" s="76"/>
      <c r="M933" s="26"/>
      <c r="N933" s="26"/>
      <c r="O933" s="26">
        <f t="shared" si="152"/>
        <v>0</v>
      </c>
      <c r="P933" s="76"/>
      <c r="Q933" s="26">
        <f t="shared" si="160"/>
        <v>31</v>
      </c>
      <c r="R933" s="26">
        <f t="shared" si="161"/>
        <v>0</v>
      </c>
      <c r="S933" s="26">
        <f t="shared" si="161"/>
        <v>31</v>
      </c>
    </row>
    <row r="934" spans="2:19" x14ac:dyDescent="0.2">
      <c r="B934" s="75">
        <f t="shared" si="158"/>
        <v>286</v>
      </c>
      <c r="C934" s="4"/>
      <c r="D934" s="4"/>
      <c r="E934" s="4"/>
      <c r="F934" s="53" t="s">
        <v>272</v>
      </c>
      <c r="G934" s="4">
        <v>632</v>
      </c>
      <c r="H934" s="4" t="s">
        <v>140</v>
      </c>
      <c r="I934" s="26">
        <v>100105</v>
      </c>
      <c r="J934" s="26"/>
      <c r="K934" s="26">
        <f t="shared" si="151"/>
        <v>100105</v>
      </c>
      <c r="L934" s="76"/>
      <c r="M934" s="26"/>
      <c r="N934" s="26"/>
      <c r="O934" s="26">
        <f t="shared" si="152"/>
        <v>0</v>
      </c>
      <c r="P934" s="76"/>
      <c r="Q934" s="26">
        <f t="shared" si="160"/>
        <v>100105</v>
      </c>
      <c r="R934" s="26">
        <f t="shared" si="161"/>
        <v>0</v>
      </c>
      <c r="S934" s="26">
        <f t="shared" si="161"/>
        <v>100105</v>
      </c>
    </row>
    <row r="935" spans="2:19" x14ac:dyDescent="0.2">
      <c r="B935" s="75">
        <f t="shared" si="158"/>
        <v>287</v>
      </c>
      <c r="C935" s="4"/>
      <c r="D935" s="4"/>
      <c r="E935" s="4"/>
      <c r="F935" s="53" t="s">
        <v>272</v>
      </c>
      <c r="G935" s="4">
        <v>633</v>
      </c>
      <c r="H935" s="4" t="s">
        <v>133</v>
      </c>
      <c r="I935" s="26">
        <v>37655</v>
      </c>
      <c r="J935" s="26"/>
      <c r="K935" s="26">
        <f t="shared" si="151"/>
        <v>37655</v>
      </c>
      <c r="L935" s="76"/>
      <c r="M935" s="26"/>
      <c r="N935" s="26"/>
      <c r="O935" s="26">
        <f t="shared" si="152"/>
        <v>0</v>
      </c>
      <c r="P935" s="76"/>
      <c r="Q935" s="26">
        <f t="shared" si="160"/>
        <v>37655</v>
      </c>
      <c r="R935" s="26">
        <f t="shared" si="161"/>
        <v>0</v>
      </c>
      <c r="S935" s="26">
        <f t="shared" si="161"/>
        <v>37655</v>
      </c>
    </row>
    <row r="936" spans="2:19" x14ac:dyDescent="0.2">
      <c r="B936" s="75">
        <f t="shared" si="158"/>
        <v>288</v>
      </c>
      <c r="C936" s="4"/>
      <c r="D936" s="4"/>
      <c r="E936" s="4"/>
      <c r="F936" s="53" t="s">
        <v>272</v>
      </c>
      <c r="G936" s="4">
        <v>635</v>
      </c>
      <c r="H936" s="4" t="s">
        <v>139</v>
      </c>
      <c r="I936" s="26">
        <v>12824</v>
      </c>
      <c r="J936" s="26"/>
      <c r="K936" s="26">
        <f t="shared" si="151"/>
        <v>12824</v>
      </c>
      <c r="L936" s="76"/>
      <c r="M936" s="26"/>
      <c r="N936" s="26"/>
      <c r="O936" s="26">
        <f t="shared" si="152"/>
        <v>0</v>
      </c>
      <c r="P936" s="76"/>
      <c r="Q936" s="26">
        <f t="shared" si="160"/>
        <v>12824</v>
      </c>
      <c r="R936" s="26">
        <f t="shared" ref="R936:S939" si="162">N936+J936</f>
        <v>0</v>
      </c>
      <c r="S936" s="26">
        <f t="shared" si="162"/>
        <v>12824</v>
      </c>
    </row>
    <row r="937" spans="2:19" x14ac:dyDescent="0.2">
      <c r="B937" s="75">
        <f t="shared" si="158"/>
        <v>289</v>
      </c>
      <c r="C937" s="4"/>
      <c r="D937" s="4"/>
      <c r="E937" s="4"/>
      <c r="F937" s="53" t="s">
        <v>272</v>
      </c>
      <c r="G937" s="4">
        <v>636</v>
      </c>
      <c r="H937" s="4" t="s">
        <v>134</v>
      </c>
      <c r="I937" s="26">
        <v>20000</v>
      </c>
      <c r="J937" s="26"/>
      <c r="K937" s="26">
        <f t="shared" si="151"/>
        <v>20000</v>
      </c>
      <c r="L937" s="76"/>
      <c r="M937" s="26"/>
      <c r="N937" s="26"/>
      <c r="O937" s="26">
        <f t="shared" si="152"/>
        <v>0</v>
      </c>
      <c r="P937" s="76"/>
      <c r="Q937" s="26">
        <f t="shared" si="160"/>
        <v>20000</v>
      </c>
      <c r="R937" s="26">
        <f t="shared" si="162"/>
        <v>0</v>
      </c>
      <c r="S937" s="26">
        <f t="shared" si="162"/>
        <v>20000</v>
      </c>
    </row>
    <row r="938" spans="2:19" x14ac:dyDescent="0.2">
      <c r="B938" s="75">
        <f t="shared" si="158"/>
        <v>290</v>
      </c>
      <c r="C938" s="4"/>
      <c r="D938" s="4"/>
      <c r="E938" s="4"/>
      <c r="F938" s="53" t="s">
        <v>272</v>
      </c>
      <c r="G938" s="4">
        <v>637</v>
      </c>
      <c r="H938" s="4" t="s">
        <v>130</v>
      </c>
      <c r="I938" s="26">
        <v>20234</v>
      </c>
      <c r="J938" s="26">
        <v>12450</v>
      </c>
      <c r="K938" s="26">
        <f t="shared" si="151"/>
        <v>32684</v>
      </c>
      <c r="L938" s="76"/>
      <c r="M938" s="26"/>
      <c r="N938" s="26"/>
      <c r="O938" s="26">
        <f t="shared" si="152"/>
        <v>0</v>
      </c>
      <c r="P938" s="76"/>
      <c r="Q938" s="26">
        <f t="shared" si="160"/>
        <v>20234</v>
      </c>
      <c r="R938" s="26">
        <f t="shared" si="162"/>
        <v>12450</v>
      </c>
      <c r="S938" s="26">
        <f t="shared" si="162"/>
        <v>32684</v>
      </c>
    </row>
    <row r="939" spans="2:19" x14ac:dyDescent="0.2">
      <c r="B939" s="75">
        <f t="shared" si="158"/>
        <v>291</v>
      </c>
      <c r="C939" s="15"/>
      <c r="D939" s="15"/>
      <c r="E939" s="15"/>
      <c r="F939" s="52" t="s">
        <v>272</v>
      </c>
      <c r="G939" s="15">
        <v>640</v>
      </c>
      <c r="H939" s="15" t="s">
        <v>136</v>
      </c>
      <c r="I939" s="49">
        <v>4310</v>
      </c>
      <c r="J939" s="49"/>
      <c r="K939" s="49">
        <f t="shared" si="151"/>
        <v>4310</v>
      </c>
      <c r="L939" s="123"/>
      <c r="M939" s="49"/>
      <c r="N939" s="49"/>
      <c r="O939" s="49">
        <f t="shared" si="152"/>
        <v>0</v>
      </c>
      <c r="P939" s="123"/>
      <c r="Q939" s="49">
        <f t="shared" si="160"/>
        <v>4310</v>
      </c>
      <c r="R939" s="49">
        <f t="shared" si="162"/>
        <v>0</v>
      </c>
      <c r="S939" s="49">
        <f t="shared" si="162"/>
        <v>4310</v>
      </c>
    </row>
    <row r="940" spans="2:19" x14ac:dyDescent="0.2">
      <c r="B940" s="75">
        <f t="shared" si="158"/>
        <v>292</v>
      </c>
      <c r="C940" s="15"/>
      <c r="D940" s="15"/>
      <c r="E940" s="15"/>
      <c r="F940" s="52" t="s">
        <v>77</v>
      </c>
      <c r="G940" s="15">
        <v>630</v>
      </c>
      <c r="H940" s="15" t="s">
        <v>672</v>
      </c>
      <c r="I940" s="49">
        <v>0</v>
      </c>
      <c r="J940" s="49">
        <v>356</v>
      </c>
      <c r="K940" s="49">
        <f t="shared" si="151"/>
        <v>356</v>
      </c>
      <c r="L940" s="123"/>
      <c r="M940" s="49"/>
      <c r="N940" s="49"/>
      <c r="O940" s="49"/>
      <c r="P940" s="123"/>
      <c r="Q940" s="49">
        <f t="shared" si="160"/>
        <v>0</v>
      </c>
      <c r="R940" s="49">
        <f t="shared" ref="R940" si="163">N940+J940</f>
        <v>356</v>
      </c>
      <c r="S940" s="49">
        <f t="shared" ref="S940" si="164">O940+K940</f>
        <v>356</v>
      </c>
    </row>
    <row r="941" spans="2:19" x14ac:dyDescent="0.2">
      <c r="B941" s="75">
        <f t="shared" si="158"/>
        <v>293</v>
      </c>
      <c r="C941" s="15"/>
      <c r="D941" s="15"/>
      <c r="E941" s="15"/>
      <c r="F941" s="52"/>
      <c r="G941" s="15"/>
      <c r="H941" s="15"/>
      <c r="I941" s="49"/>
      <c r="J941" s="49"/>
      <c r="K941" s="49">
        <f t="shared" si="151"/>
        <v>0</v>
      </c>
      <c r="L941" s="123"/>
      <c r="M941" s="49"/>
      <c r="N941" s="49"/>
      <c r="O941" s="49">
        <f t="shared" si="152"/>
        <v>0</v>
      </c>
      <c r="P941" s="123"/>
      <c r="Q941" s="49"/>
      <c r="R941" s="49"/>
      <c r="S941" s="49"/>
    </row>
    <row r="942" spans="2:19" x14ac:dyDescent="0.2">
      <c r="B942" s="75">
        <f t="shared" si="158"/>
        <v>294</v>
      </c>
      <c r="C942" s="15"/>
      <c r="D942" s="15"/>
      <c r="E942" s="15"/>
      <c r="F942" s="52"/>
      <c r="G942" s="15">
        <v>630</v>
      </c>
      <c r="H942" s="15" t="s">
        <v>624</v>
      </c>
      <c r="I942" s="49">
        <v>84</v>
      </c>
      <c r="J942" s="49"/>
      <c r="K942" s="49">
        <f t="shared" si="151"/>
        <v>84</v>
      </c>
      <c r="L942" s="123"/>
      <c r="M942" s="49"/>
      <c r="N942" s="49"/>
      <c r="O942" s="49">
        <f t="shared" si="152"/>
        <v>0</v>
      </c>
      <c r="P942" s="123"/>
      <c r="Q942" s="49">
        <f t="shared" ref="Q942:Q963" si="165">M942+I942</f>
        <v>84</v>
      </c>
      <c r="R942" s="49">
        <f t="shared" ref="R942:S957" si="166">N942+J942</f>
        <v>0</v>
      </c>
      <c r="S942" s="49">
        <f t="shared" si="166"/>
        <v>84</v>
      </c>
    </row>
    <row r="943" spans="2:19" ht="15" x14ac:dyDescent="0.25">
      <c r="B943" s="75">
        <f t="shared" si="158"/>
        <v>295</v>
      </c>
      <c r="C943" s="18"/>
      <c r="D943" s="18"/>
      <c r="E943" s="18">
        <v>9</v>
      </c>
      <c r="F943" s="50"/>
      <c r="G943" s="18"/>
      <c r="H943" s="18" t="s">
        <v>278</v>
      </c>
      <c r="I943" s="47">
        <f>I944+I945+I946+I952+I953+I954+I955+I962+I967+I965</f>
        <v>542506</v>
      </c>
      <c r="J943" s="47">
        <f>J944+J945+J946+J952+J953+J954+J955+J962+J967+J965+J963</f>
        <v>5873</v>
      </c>
      <c r="K943" s="47">
        <f t="shared" si="151"/>
        <v>548379</v>
      </c>
      <c r="L943" s="174"/>
      <c r="M943" s="47">
        <f>M944+M945+M946+M952+M953+M954+M955+M962+M967</f>
        <v>64000</v>
      </c>
      <c r="N943" s="47">
        <f>N944+N945+N946+N952+N953+N954+N955+N962+N967</f>
        <v>0</v>
      </c>
      <c r="O943" s="47">
        <f t="shared" si="152"/>
        <v>64000</v>
      </c>
      <c r="P943" s="174"/>
      <c r="Q943" s="47">
        <f t="shared" si="165"/>
        <v>606506</v>
      </c>
      <c r="R943" s="47">
        <f t="shared" si="166"/>
        <v>5873</v>
      </c>
      <c r="S943" s="47">
        <f t="shared" si="166"/>
        <v>612379</v>
      </c>
    </row>
    <row r="944" spans="2:19" x14ac:dyDescent="0.2">
      <c r="B944" s="75">
        <f t="shared" si="158"/>
        <v>296</v>
      </c>
      <c r="C944" s="15"/>
      <c r="D944" s="15"/>
      <c r="E944" s="15"/>
      <c r="F944" s="52" t="s">
        <v>127</v>
      </c>
      <c r="G944" s="15">
        <v>610</v>
      </c>
      <c r="H944" s="15" t="s">
        <v>137</v>
      </c>
      <c r="I944" s="49">
        <v>158605</v>
      </c>
      <c r="J944" s="49"/>
      <c r="K944" s="49">
        <f t="shared" si="151"/>
        <v>158605</v>
      </c>
      <c r="L944" s="123"/>
      <c r="M944" s="49"/>
      <c r="N944" s="49"/>
      <c r="O944" s="49">
        <f t="shared" si="152"/>
        <v>0</v>
      </c>
      <c r="P944" s="123"/>
      <c r="Q944" s="49">
        <f t="shared" si="165"/>
        <v>158605</v>
      </c>
      <c r="R944" s="49">
        <f t="shared" si="166"/>
        <v>0</v>
      </c>
      <c r="S944" s="49">
        <f t="shared" si="166"/>
        <v>158605</v>
      </c>
    </row>
    <row r="945" spans="2:19" x14ac:dyDescent="0.2">
      <c r="B945" s="75">
        <f t="shared" si="158"/>
        <v>297</v>
      </c>
      <c r="C945" s="15"/>
      <c r="D945" s="15"/>
      <c r="E945" s="15"/>
      <c r="F945" s="52" t="s">
        <v>127</v>
      </c>
      <c r="G945" s="15">
        <v>620</v>
      </c>
      <c r="H945" s="15" t="s">
        <v>132</v>
      </c>
      <c r="I945" s="49">
        <v>56233</v>
      </c>
      <c r="J945" s="49"/>
      <c r="K945" s="49">
        <f t="shared" si="151"/>
        <v>56233</v>
      </c>
      <c r="L945" s="123"/>
      <c r="M945" s="49"/>
      <c r="N945" s="49"/>
      <c r="O945" s="49">
        <f t="shared" si="152"/>
        <v>0</v>
      </c>
      <c r="P945" s="123"/>
      <c r="Q945" s="49">
        <f t="shared" si="165"/>
        <v>56233</v>
      </c>
      <c r="R945" s="49">
        <f t="shared" si="166"/>
        <v>0</v>
      </c>
      <c r="S945" s="49">
        <f t="shared" si="166"/>
        <v>56233</v>
      </c>
    </row>
    <row r="946" spans="2:19" x14ac:dyDescent="0.2">
      <c r="B946" s="75">
        <f t="shared" si="158"/>
        <v>298</v>
      </c>
      <c r="C946" s="15"/>
      <c r="D946" s="15"/>
      <c r="E946" s="15"/>
      <c r="F946" s="52" t="s">
        <v>127</v>
      </c>
      <c r="G946" s="15">
        <v>630</v>
      </c>
      <c r="H946" s="15" t="s">
        <v>129</v>
      </c>
      <c r="I946" s="49">
        <f>I951+I950+I949+I948+I947</f>
        <v>41285</v>
      </c>
      <c r="J946" s="49">
        <f>J951+J950+J949+J948+J947</f>
        <v>0</v>
      </c>
      <c r="K946" s="49">
        <f t="shared" si="151"/>
        <v>41285</v>
      </c>
      <c r="L946" s="123"/>
      <c r="M946" s="49">
        <v>0</v>
      </c>
      <c r="N946" s="49"/>
      <c r="O946" s="49">
        <f t="shared" si="152"/>
        <v>0</v>
      </c>
      <c r="P946" s="123"/>
      <c r="Q946" s="49">
        <f t="shared" si="165"/>
        <v>41285</v>
      </c>
      <c r="R946" s="49">
        <f t="shared" si="166"/>
        <v>0</v>
      </c>
      <c r="S946" s="49">
        <f t="shared" si="166"/>
        <v>41285</v>
      </c>
    </row>
    <row r="947" spans="2:19" x14ac:dyDescent="0.2">
      <c r="B947" s="75">
        <f t="shared" si="158"/>
        <v>299</v>
      </c>
      <c r="C947" s="4"/>
      <c r="D947" s="4"/>
      <c r="E947" s="4"/>
      <c r="F947" s="53" t="s">
        <v>127</v>
      </c>
      <c r="G947" s="4">
        <v>631</v>
      </c>
      <c r="H947" s="4" t="s">
        <v>135</v>
      </c>
      <c r="I947" s="26">
        <v>25</v>
      </c>
      <c r="J947" s="26">
        <v>40</v>
      </c>
      <c r="K947" s="26">
        <f t="shared" si="151"/>
        <v>65</v>
      </c>
      <c r="L947" s="76"/>
      <c r="M947" s="26"/>
      <c r="N947" s="26"/>
      <c r="O947" s="26">
        <f t="shared" si="152"/>
        <v>0</v>
      </c>
      <c r="P947" s="76"/>
      <c r="Q947" s="26">
        <f t="shared" si="165"/>
        <v>25</v>
      </c>
      <c r="R947" s="26">
        <f t="shared" si="166"/>
        <v>40</v>
      </c>
      <c r="S947" s="26">
        <f t="shared" si="166"/>
        <v>65</v>
      </c>
    </row>
    <row r="948" spans="2:19" x14ac:dyDescent="0.2">
      <c r="B948" s="75">
        <f t="shared" si="158"/>
        <v>300</v>
      </c>
      <c r="C948" s="4"/>
      <c r="D948" s="4"/>
      <c r="E948" s="4"/>
      <c r="F948" s="53" t="s">
        <v>127</v>
      </c>
      <c r="G948" s="4">
        <v>632</v>
      </c>
      <c r="H948" s="4" t="s">
        <v>140</v>
      </c>
      <c r="I948" s="26">
        <v>20700</v>
      </c>
      <c r="J948" s="26">
        <v>-40</v>
      </c>
      <c r="K948" s="26">
        <f t="shared" si="151"/>
        <v>20660</v>
      </c>
      <c r="L948" s="76"/>
      <c r="M948" s="26"/>
      <c r="N948" s="26"/>
      <c r="O948" s="26">
        <f t="shared" si="152"/>
        <v>0</v>
      </c>
      <c r="P948" s="76"/>
      <c r="Q948" s="26">
        <f t="shared" si="165"/>
        <v>20700</v>
      </c>
      <c r="R948" s="26">
        <f t="shared" si="166"/>
        <v>-40</v>
      </c>
      <c r="S948" s="26">
        <f t="shared" si="166"/>
        <v>20660</v>
      </c>
    </row>
    <row r="949" spans="2:19" x14ac:dyDescent="0.2">
      <c r="B949" s="75">
        <f t="shared" si="158"/>
        <v>301</v>
      </c>
      <c r="C949" s="4"/>
      <c r="D949" s="4"/>
      <c r="E949" s="4"/>
      <c r="F949" s="53" t="s">
        <v>127</v>
      </c>
      <c r="G949" s="4">
        <v>633</v>
      </c>
      <c r="H949" s="4" t="s">
        <v>133</v>
      </c>
      <c r="I949" s="26">
        <v>6768</v>
      </c>
      <c r="J949" s="26"/>
      <c r="K949" s="26">
        <f t="shared" si="151"/>
        <v>6768</v>
      </c>
      <c r="L949" s="76"/>
      <c r="M949" s="26"/>
      <c r="N949" s="26"/>
      <c r="O949" s="26">
        <f t="shared" si="152"/>
        <v>0</v>
      </c>
      <c r="P949" s="76"/>
      <c r="Q949" s="26">
        <f t="shared" si="165"/>
        <v>6768</v>
      </c>
      <c r="R949" s="26">
        <f t="shared" si="166"/>
        <v>0</v>
      </c>
      <c r="S949" s="26">
        <f t="shared" si="166"/>
        <v>6768</v>
      </c>
    </row>
    <row r="950" spans="2:19" x14ac:dyDescent="0.2">
      <c r="B950" s="75">
        <f t="shared" si="158"/>
        <v>302</v>
      </c>
      <c r="C950" s="4"/>
      <c r="D950" s="4"/>
      <c r="E950" s="4"/>
      <c r="F950" s="53" t="s">
        <v>127</v>
      </c>
      <c r="G950" s="4">
        <v>635</v>
      </c>
      <c r="H950" s="4" t="s">
        <v>139</v>
      </c>
      <c r="I950" s="26">
        <f>1480+2000</f>
        <v>3480</v>
      </c>
      <c r="J950" s="26"/>
      <c r="K950" s="26">
        <f t="shared" si="151"/>
        <v>3480</v>
      </c>
      <c r="L950" s="76"/>
      <c r="M950" s="26"/>
      <c r="N950" s="26"/>
      <c r="O950" s="26">
        <f t="shared" si="152"/>
        <v>0</v>
      </c>
      <c r="P950" s="76"/>
      <c r="Q950" s="26">
        <f t="shared" si="165"/>
        <v>3480</v>
      </c>
      <c r="R950" s="26">
        <f t="shared" si="166"/>
        <v>0</v>
      </c>
      <c r="S950" s="26">
        <f t="shared" si="166"/>
        <v>3480</v>
      </c>
    </row>
    <row r="951" spans="2:19" x14ac:dyDescent="0.2">
      <c r="B951" s="75">
        <f t="shared" si="158"/>
        <v>303</v>
      </c>
      <c r="C951" s="4"/>
      <c r="D951" s="4"/>
      <c r="E951" s="4"/>
      <c r="F951" s="53" t="s">
        <v>127</v>
      </c>
      <c r="G951" s="4">
        <v>637</v>
      </c>
      <c r="H951" s="4" t="s">
        <v>130</v>
      </c>
      <c r="I951" s="26">
        <v>10312</v>
      </c>
      <c r="J951" s="26"/>
      <c r="K951" s="26">
        <f t="shared" si="151"/>
        <v>10312</v>
      </c>
      <c r="L951" s="76"/>
      <c r="M951" s="26"/>
      <c r="N951" s="26"/>
      <c r="O951" s="26">
        <f t="shared" si="152"/>
        <v>0</v>
      </c>
      <c r="P951" s="76"/>
      <c r="Q951" s="26">
        <f t="shared" si="165"/>
        <v>10312</v>
      </c>
      <c r="R951" s="26">
        <f t="shared" si="166"/>
        <v>0</v>
      </c>
      <c r="S951" s="26">
        <f t="shared" si="166"/>
        <v>10312</v>
      </c>
    </row>
    <row r="952" spans="2:19" x14ac:dyDescent="0.2">
      <c r="B952" s="75">
        <f t="shared" si="158"/>
        <v>304</v>
      </c>
      <c r="C952" s="15"/>
      <c r="D952" s="15"/>
      <c r="E952" s="15"/>
      <c r="F952" s="52" t="s">
        <v>127</v>
      </c>
      <c r="G952" s="15">
        <v>640</v>
      </c>
      <c r="H952" s="15" t="s">
        <v>136</v>
      </c>
      <c r="I952" s="49">
        <v>1550</v>
      </c>
      <c r="J952" s="49"/>
      <c r="K952" s="49">
        <f t="shared" si="151"/>
        <v>1550</v>
      </c>
      <c r="L952" s="123"/>
      <c r="M952" s="49"/>
      <c r="N952" s="49"/>
      <c r="O952" s="49">
        <f t="shared" si="152"/>
        <v>0</v>
      </c>
      <c r="P952" s="123"/>
      <c r="Q952" s="49">
        <f t="shared" si="165"/>
        <v>1550</v>
      </c>
      <c r="R952" s="49">
        <f t="shared" si="166"/>
        <v>0</v>
      </c>
      <c r="S952" s="49">
        <f t="shared" si="166"/>
        <v>1550</v>
      </c>
    </row>
    <row r="953" spans="2:19" x14ac:dyDescent="0.2">
      <c r="B953" s="75">
        <f t="shared" si="158"/>
        <v>305</v>
      </c>
      <c r="C953" s="15"/>
      <c r="D953" s="15"/>
      <c r="E953" s="15"/>
      <c r="F953" s="52" t="s">
        <v>272</v>
      </c>
      <c r="G953" s="15">
        <v>610</v>
      </c>
      <c r="H953" s="15" t="s">
        <v>137</v>
      </c>
      <c r="I953" s="49">
        <v>172879</v>
      </c>
      <c r="J953" s="49"/>
      <c r="K953" s="49">
        <f t="shared" si="151"/>
        <v>172879</v>
      </c>
      <c r="L953" s="123"/>
      <c r="M953" s="49"/>
      <c r="N953" s="49"/>
      <c r="O953" s="49">
        <f t="shared" si="152"/>
        <v>0</v>
      </c>
      <c r="P953" s="123"/>
      <c r="Q953" s="49">
        <f t="shared" si="165"/>
        <v>172879</v>
      </c>
      <c r="R953" s="49">
        <f t="shared" si="166"/>
        <v>0</v>
      </c>
      <c r="S953" s="49">
        <f t="shared" si="166"/>
        <v>172879</v>
      </c>
    </row>
    <row r="954" spans="2:19" x14ac:dyDescent="0.2">
      <c r="B954" s="75">
        <f t="shared" si="158"/>
        <v>306</v>
      </c>
      <c r="C954" s="15"/>
      <c r="D954" s="15"/>
      <c r="E954" s="15"/>
      <c r="F954" s="52" t="s">
        <v>272</v>
      </c>
      <c r="G954" s="15">
        <v>620</v>
      </c>
      <c r="H954" s="15" t="s">
        <v>132</v>
      </c>
      <c r="I954" s="49">
        <v>61222</v>
      </c>
      <c r="J954" s="49"/>
      <c r="K954" s="49">
        <f t="shared" si="151"/>
        <v>61222</v>
      </c>
      <c r="L954" s="123"/>
      <c r="M954" s="49"/>
      <c r="N954" s="49"/>
      <c r="O954" s="49">
        <f t="shared" si="152"/>
        <v>0</v>
      </c>
      <c r="P954" s="123"/>
      <c r="Q954" s="49">
        <f t="shared" si="165"/>
        <v>61222</v>
      </c>
      <c r="R954" s="49">
        <f t="shared" si="166"/>
        <v>0</v>
      </c>
      <c r="S954" s="49">
        <f t="shared" si="166"/>
        <v>61222</v>
      </c>
    </row>
    <row r="955" spans="2:19" x14ac:dyDescent="0.2">
      <c r="B955" s="75">
        <f t="shared" si="158"/>
        <v>307</v>
      </c>
      <c r="C955" s="15"/>
      <c r="D955" s="15"/>
      <c r="E955" s="15"/>
      <c r="F955" s="52" t="s">
        <v>272</v>
      </c>
      <c r="G955" s="15">
        <v>630</v>
      </c>
      <c r="H955" s="15" t="s">
        <v>129</v>
      </c>
      <c r="I955" s="49">
        <f>I961+I959+I958+I957+I956+I960</f>
        <v>49026</v>
      </c>
      <c r="J955" s="49">
        <f>J961+J959+J958+J957+J956+J960</f>
        <v>5700</v>
      </c>
      <c r="K955" s="49">
        <f t="shared" si="151"/>
        <v>54726</v>
      </c>
      <c r="L955" s="123"/>
      <c r="M955" s="49">
        <f>M961+M959+M958+M957+M956</f>
        <v>0</v>
      </c>
      <c r="N955" s="49">
        <f>N961+N959+N958+N957+N956</f>
        <v>0</v>
      </c>
      <c r="O955" s="49">
        <f t="shared" si="152"/>
        <v>0</v>
      </c>
      <c r="P955" s="123"/>
      <c r="Q955" s="49">
        <f t="shared" si="165"/>
        <v>49026</v>
      </c>
      <c r="R955" s="49">
        <f t="shared" si="166"/>
        <v>5700</v>
      </c>
      <c r="S955" s="49">
        <f t="shared" si="166"/>
        <v>54726</v>
      </c>
    </row>
    <row r="956" spans="2:19" x14ac:dyDescent="0.2">
      <c r="B956" s="75">
        <f t="shared" si="158"/>
        <v>308</v>
      </c>
      <c r="C956" s="4"/>
      <c r="D956" s="4"/>
      <c r="E956" s="4"/>
      <c r="F956" s="53" t="s">
        <v>272</v>
      </c>
      <c r="G956" s="4">
        <v>631</v>
      </c>
      <c r="H956" s="4" t="s">
        <v>135</v>
      </c>
      <c r="I956" s="26">
        <v>25</v>
      </c>
      <c r="J956" s="26">
        <v>40</v>
      </c>
      <c r="K956" s="26">
        <f t="shared" si="151"/>
        <v>65</v>
      </c>
      <c r="L956" s="76"/>
      <c r="M956" s="26"/>
      <c r="N956" s="26"/>
      <c r="O956" s="26">
        <f t="shared" si="152"/>
        <v>0</v>
      </c>
      <c r="P956" s="76"/>
      <c r="Q956" s="26">
        <f t="shared" si="165"/>
        <v>25</v>
      </c>
      <c r="R956" s="26">
        <f t="shared" si="166"/>
        <v>40</v>
      </c>
      <c r="S956" s="26">
        <f t="shared" si="166"/>
        <v>65</v>
      </c>
    </row>
    <row r="957" spans="2:19" x14ac:dyDescent="0.2">
      <c r="B957" s="75">
        <f t="shared" si="158"/>
        <v>309</v>
      </c>
      <c r="C957" s="4"/>
      <c r="D957" s="4"/>
      <c r="E957" s="4"/>
      <c r="F957" s="53" t="s">
        <v>272</v>
      </c>
      <c r="G957" s="4">
        <v>632</v>
      </c>
      <c r="H957" s="4" t="s">
        <v>140</v>
      </c>
      <c r="I957" s="26">
        <v>20700</v>
      </c>
      <c r="J957" s="26">
        <v>-40</v>
      </c>
      <c r="K957" s="26">
        <f t="shared" si="151"/>
        <v>20660</v>
      </c>
      <c r="L957" s="76"/>
      <c r="M957" s="26"/>
      <c r="N957" s="26"/>
      <c r="O957" s="26">
        <f t="shared" si="152"/>
        <v>0</v>
      </c>
      <c r="P957" s="76"/>
      <c r="Q957" s="26">
        <f t="shared" si="165"/>
        <v>20700</v>
      </c>
      <c r="R957" s="26">
        <f t="shared" si="166"/>
        <v>-40</v>
      </c>
      <c r="S957" s="26">
        <f t="shared" si="166"/>
        <v>20660</v>
      </c>
    </row>
    <row r="958" spans="2:19" x14ac:dyDescent="0.2">
      <c r="B958" s="75">
        <f t="shared" si="158"/>
        <v>310</v>
      </c>
      <c r="C958" s="4"/>
      <c r="D958" s="4"/>
      <c r="E958" s="4"/>
      <c r="F958" s="53" t="s">
        <v>272</v>
      </c>
      <c r="G958" s="4">
        <v>633</v>
      </c>
      <c r="H958" s="4" t="s">
        <v>133</v>
      </c>
      <c r="I958" s="26">
        <v>11808</v>
      </c>
      <c r="J958" s="26">
        <v>1500</v>
      </c>
      <c r="K958" s="26">
        <f t="shared" si="151"/>
        <v>13308</v>
      </c>
      <c r="L958" s="76"/>
      <c r="M958" s="26"/>
      <c r="N958" s="26"/>
      <c r="O958" s="26">
        <f t="shared" si="152"/>
        <v>0</v>
      </c>
      <c r="P958" s="76"/>
      <c r="Q958" s="26">
        <f t="shared" si="165"/>
        <v>11808</v>
      </c>
      <c r="R958" s="26">
        <f t="shared" ref="R958:S962" si="167">N958+J958</f>
        <v>1500</v>
      </c>
      <c r="S958" s="26">
        <f t="shared" si="167"/>
        <v>13308</v>
      </c>
    </row>
    <row r="959" spans="2:19" x14ac:dyDescent="0.2">
      <c r="B959" s="75">
        <f t="shared" si="158"/>
        <v>311</v>
      </c>
      <c r="C959" s="4"/>
      <c r="D959" s="4"/>
      <c r="E959" s="4"/>
      <c r="F959" s="53" t="s">
        <v>272</v>
      </c>
      <c r="G959" s="4">
        <v>635</v>
      </c>
      <c r="H959" s="4" t="s">
        <v>139</v>
      </c>
      <c r="I959" s="26">
        <v>4180</v>
      </c>
      <c r="J959" s="26"/>
      <c r="K959" s="26">
        <f t="shared" si="151"/>
        <v>4180</v>
      </c>
      <c r="L959" s="76"/>
      <c r="M959" s="26"/>
      <c r="N959" s="26"/>
      <c r="O959" s="26">
        <f t="shared" si="152"/>
        <v>0</v>
      </c>
      <c r="P959" s="76"/>
      <c r="Q959" s="26">
        <f t="shared" si="165"/>
        <v>4180</v>
      </c>
      <c r="R959" s="26">
        <f t="shared" si="167"/>
        <v>0</v>
      </c>
      <c r="S959" s="26">
        <f t="shared" si="167"/>
        <v>4180</v>
      </c>
    </row>
    <row r="960" spans="2:19" x14ac:dyDescent="0.2">
      <c r="B960" s="75">
        <f t="shared" si="158"/>
        <v>312</v>
      </c>
      <c r="C960" s="4"/>
      <c r="D960" s="4"/>
      <c r="E960" s="4"/>
      <c r="F960" s="142" t="s">
        <v>272</v>
      </c>
      <c r="G960" s="143">
        <v>635</v>
      </c>
      <c r="H960" s="143" t="s">
        <v>583</v>
      </c>
      <c r="I960" s="141">
        <v>2000</v>
      </c>
      <c r="J960" s="141"/>
      <c r="K960" s="141">
        <f t="shared" si="151"/>
        <v>2000</v>
      </c>
      <c r="L960" s="76"/>
      <c r="M960" s="141"/>
      <c r="N960" s="141"/>
      <c r="O960" s="141">
        <f t="shared" si="152"/>
        <v>0</v>
      </c>
      <c r="P960" s="76"/>
      <c r="Q960" s="141">
        <f t="shared" si="165"/>
        <v>2000</v>
      </c>
      <c r="R960" s="141">
        <f t="shared" si="167"/>
        <v>0</v>
      </c>
      <c r="S960" s="141">
        <f t="shared" si="167"/>
        <v>2000</v>
      </c>
    </row>
    <row r="961" spans="2:19" x14ac:dyDescent="0.2">
      <c r="B961" s="75">
        <f t="shared" si="158"/>
        <v>313</v>
      </c>
      <c r="C961" s="4"/>
      <c r="D961" s="4"/>
      <c r="E961" s="4"/>
      <c r="F961" s="53" t="s">
        <v>272</v>
      </c>
      <c r="G961" s="4">
        <v>637</v>
      </c>
      <c r="H961" s="4" t="s">
        <v>130</v>
      </c>
      <c r="I961" s="26">
        <v>10313</v>
      </c>
      <c r="J961" s="26">
        <v>4200</v>
      </c>
      <c r="K961" s="26">
        <f t="shared" si="151"/>
        <v>14513</v>
      </c>
      <c r="L961" s="76"/>
      <c r="M961" s="26"/>
      <c r="N961" s="26"/>
      <c r="O961" s="26">
        <f t="shared" si="152"/>
        <v>0</v>
      </c>
      <c r="P961" s="76"/>
      <c r="Q961" s="26">
        <f t="shared" si="165"/>
        <v>10313</v>
      </c>
      <c r="R961" s="26">
        <f t="shared" si="167"/>
        <v>4200</v>
      </c>
      <c r="S961" s="26">
        <f t="shared" si="167"/>
        <v>14513</v>
      </c>
    </row>
    <row r="962" spans="2:19" x14ac:dyDescent="0.2">
      <c r="B962" s="75">
        <f t="shared" si="158"/>
        <v>314</v>
      </c>
      <c r="C962" s="15"/>
      <c r="D962" s="15"/>
      <c r="E962" s="15"/>
      <c r="F962" s="52" t="s">
        <v>272</v>
      </c>
      <c r="G962" s="15">
        <v>640</v>
      </c>
      <c r="H962" s="15" t="s">
        <v>136</v>
      </c>
      <c r="I962" s="49">
        <v>1550</v>
      </c>
      <c r="J962" s="49"/>
      <c r="K962" s="49">
        <f t="shared" si="151"/>
        <v>1550</v>
      </c>
      <c r="L962" s="123"/>
      <c r="M962" s="49"/>
      <c r="N962" s="49"/>
      <c r="O962" s="49">
        <f t="shared" si="152"/>
        <v>0</v>
      </c>
      <c r="P962" s="123"/>
      <c r="Q962" s="49">
        <f t="shared" si="165"/>
        <v>1550</v>
      </c>
      <c r="R962" s="49">
        <f t="shared" si="167"/>
        <v>0</v>
      </c>
      <c r="S962" s="49">
        <f t="shared" si="167"/>
        <v>1550</v>
      </c>
    </row>
    <row r="963" spans="2:19" x14ac:dyDescent="0.2">
      <c r="B963" s="75">
        <f t="shared" si="158"/>
        <v>315</v>
      </c>
      <c r="C963" s="15"/>
      <c r="D963" s="15"/>
      <c r="E963" s="15"/>
      <c r="F963" s="52" t="s">
        <v>77</v>
      </c>
      <c r="G963" s="15">
        <v>630</v>
      </c>
      <c r="H963" s="15" t="s">
        <v>672</v>
      </c>
      <c r="I963" s="49">
        <v>0</v>
      </c>
      <c r="J963" s="49">
        <v>173</v>
      </c>
      <c r="K963" s="49">
        <f t="shared" si="151"/>
        <v>173</v>
      </c>
      <c r="L963" s="123"/>
      <c r="M963" s="49"/>
      <c r="N963" s="49"/>
      <c r="O963" s="49"/>
      <c r="P963" s="123"/>
      <c r="Q963" s="49">
        <f t="shared" si="165"/>
        <v>0</v>
      </c>
      <c r="R963" s="49">
        <f t="shared" ref="R963" si="168">N963+J963</f>
        <v>173</v>
      </c>
      <c r="S963" s="49">
        <f t="shared" ref="S963" si="169">O963+K963</f>
        <v>173</v>
      </c>
    </row>
    <row r="964" spans="2:19" x14ac:dyDescent="0.2">
      <c r="B964" s="75">
        <f t="shared" si="158"/>
        <v>316</v>
      </c>
      <c r="C964" s="15"/>
      <c r="D964" s="15"/>
      <c r="E964" s="15"/>
      <c r="F964" s="52"/>
      <c r="G964" s="15"/>
      <c r="H964" s="15"/>
      <c r="I964" s="49"/>
      <c r="J964" s="49"/>
      <c r="K964" s="49">
        <f t="shared" si="151"/>
        <v>0</v>
      </c>
      <c r="L964" s="123"/>
      <c r="M964" s="49"/>
      <c r="N964" s="49"/>
      <c r="O964" s="49">
        <f t="shared" si="152"/>
        <v>0</v>
      </c>
      <c r="P964" s="123"/>
      <c r="Q964" s="49"/>
      <c r="R964" s="49"/>
      <c r="S964" s="49"/>
    </row>
    <row r="965" spans="2:19" x14ac:dyDescent="0.2">
      <c r="B965" s="75">
        <f t="shared" si="158"/>
        <v>317</v>
      </c>
      <c r="C965" s="15"/>
      <c r="D965" s="15"/>
      <c r="E965" s="15"/>
      <c r="F965" s="52"/>
      <c r="G965" s="15">
        <v>630</v>
      </c>
      <c r="H965" s="15" t="s">
        <v>624</v>
      </c>
      <c r="I965" s="49">
        <v>156</v>
      </c>
      <c r="J965" s="49"/>
      <c r="K965" s="49">
        <f t="shared" si="151"/>
        <v>156</v>
      </c>
      <c r="L965" s="123"/>
      <c r="M965" s="49"/>
      <c r="N965" s="49"/>
      <c r="O965" s="49">
        <f t="shared" si="152"/>
        <v>0</v>
      </c>
      <c r="P965" s="123"/>
      <c r="Q965" s="49">
        <f>M965+I965</f>
        <v>156</v>
      </c>
      <c r="R965" s="49">
        <f t="shared" ref="R965:S965" si="170">N965+J965</f>
        <v>0</v>
      </c>
      <c r="S965" s="49">
        <f t="shared" si="170"/>
        <v>156</v>
      </c>
    </row>
    <row r="966" spans="2:19" x14ac:dyDescent="0.2">
      <c r="B966" s="75">
        <f t="shared" si="158"/>
        <v>318</v>
      </c>
      <c r="C966" s="15"/>
      <c r="D966" s="15"/>
      <c r="E966" s="15"/>
      <c r="F966" s="52"/>
      <c r="G966" s="15"/>
      <c r="H966" s="15"/>
      <c r="I966" s="49"/>
      <c r="J966" s="49"/>
      <c r="K966" s="49">
        <f t="shared" si="151"/>
        <v>0</v>
      </c>
      <c r="L966" s="123"/>
      <c r="M966" s="49"/>
      <c r="N966" s="49"/>
      <c r="O966" s="49">
        <f t="shared" si="152"/>
        <v>0</v>
      </c>
      <c r="P966" s="123"/>
      <c r="Q966" s="49"/>
      <c r="R966" s="49"/>
      <c r="S966" s="49"/>
    </row>
    <row r="967" spans="2:19" x14ac:dyDescent="0.2">
      <c r="B967" s="75">
        <f t="shared" si="158"/>
        <v>319</v>
      </c>
      <c r="C967" s="15"/>
      <c r="D967" s="15"/>
      <c r="E967" s="15"/>
      <c r="F967" s="52" t="s">
        <v>272</v>
      </c>
      <c r="G967" s="15">
        <v>710</v>
      </c>
      <c r="H967" s="15" t="s">
        <v>185</v>
      </c>
      <c r="I967" s="49">
        <f>I968</f>
        <v>0</v>
      </c>
      <c r="J967" s="49">
        <f>J968</f>
        <v>0</v>
      </c>
      <c r="K967" s="49">
        <f t="shared" si="151"/>
        <v>0</v>
      </c>
      <c r="L967" s="123"/>
      <c r="M967" s="49">
        <f>M968</f>
        <v>64000</v>
      </c>
      <c r="N967" s="49">
        <f>N968</f>
        <v>0</v>
      </c>
      <c r="O967" s="49">
        <f t="shared" si="152"/>
        <v>64000</v>
      </c>
      <c r="P967" s="123"/>
      <c r="Q967" s="49">
        <f t="shared" ref="Q967:Q990" si="171">M967+I967</f>
        <v>64000</v>
      </c>
      <c r="R967" s="49">
        <f t="shared" ref="R967:S982" si="172">N967+J967</f>
        <v>0</v>
      </c>
      <c r="S967" s="49">
        <f t="shared" si="172"/>
        <v>64000</v>
      </c>
    </row>
    <row r="968" spans="2:19" x14ac:dyDescent="0.2">
      <c r="B968" s="75">
        <f t="shared" si="158"/>
        <v>320</v>
      </c>
      <c r="C968" s="4"/>
      <c r="D968" s="4"/>
      <c r="E968" s="4"/>
      <c r="F968" s="86" t="s">
        <v>272</v>
      </c>
      <c r="G968" s="87">
        <v>717</v>
      </c>
      <c r="H968" s="87" t="s">
        <v>195</v>
      </c>
      <c r="I968" s="88"/>
      <c r="J968" s="88"/>
      <c r="K968" s="88">
        <f t="shared" si="151"/>
        <v>0</v>
      </c>
      <c r="L968" s="76"/>
      <c r="M968" s="88">
        <f>SUM(M969:M969)</f>
        <v>64000</v>
      </c>
      <c r="N968" s="88">
        <f>SUM(N969:N969)</f>
        <v>0</v>
      </c>
      <c r="O968" s="88">
        <f t="shared" si="152"/>
        <v>64000</v>
      </c>
      <c r="P968" s="76"/>
      <c r="Q968" s="88">
        <f t="shared" si="171"/>
        <v>64000</v>
      </c>
      <c r="R968" s="88">
        <f t="shared" si="172"/>
        <v>0</v>
      </c>
      <c r="S968" s="88">
        <f t="shared" si="172"/>
        <v>64000</v>
      </c>
    </row>
    <row r="969" spans="2:19" x14ac:dyDescent="0.2">
      <c r="B969" s="75">
        <f t="shared" si="158"/>
        <v>321</v>
      </c>
      <c r="C969" s="4"/>
      <c r="D969" s="4"/>
      <c r="E969" s="4"/>
      <c r="F969" s="53"/>
      <c r="G969" s="4"/>
      <c r="H969" s="4" t="s">
        <v>457</v>
      </c>
      <c r="I969" s="26"/>
      <c r="J969" s="26"/>
      <c r="K969" s="26">
        <f t="shared" si="151"/>
        <v>0</v>
      </c>
      <c r="L969" s="76"/>
      <c r="M969" s="26">
        <f>34000+30000</f>
        <v>64000</v>
      </c>
      <c r="N969" s="26"/>
      <c r="O969" s="26">
        <f t="shared" si="152"/>
        <v>64000</v>
      </c>
      <c r="P969" s="76"/>
      <c r="Q969" s="26">
        <f t="shared" si="171"/>
        <v>64000</v>
      </c>
      <c r="R969" s="26">
        <f t="shared" si="172"/>
        <v>0</v>
      </c>
      <c r="S969" s="26">
        <f t="shared" si="172"/>
        <v>64000</v>
      </c>
    </row>
    <row r="970" spans="2:19" ht="15" x14ac:dyDescent="0.25">
      <c r="B970" s="75">
        <f t="shared" si="158"/>
        <v>322</v>
      </c>
      <c r="C970" s="18"/>
      <c r="D970" s="18"/>
      <c r="E970" s="18">
        <v>10</v>
      </c>
      <c r="F970" s="50"/>
      <c r="G970" s="18"/>
      <c r="H970" s="18" t="s">
        <v>257</v>
      </c>
      <c r="I970" s="47">
        <f>I971+I972+I973+I979+I980+I981+I982+I989+I994+I992</f>
        <v>405734</v>
      </c>
      <c r="J970" s="47">
        <f>J971+J972+J973+J979+J980+J981+J982+J989+J994+J992+J990</f>
        <v>5376</v>
      </c>
      <c r="K970" s="47">
        <f t="shared" si="151"/>
        <v>411110</v>
      </c>
      <c r="L970" s="174"/>
      <c r="M970" s="47">
        <f>M971+M972+M973+M979+M980+M981+M982+M989+M994</f>
        <v>83000</v>
      </c>
      <c r="N970" s="47">
        <f>N971+N972+N973+N979+N980+N981+N982+N989+N994</f>
        <v>0</v>
      </c>
      <c r="O970" s="47">
        <f t="shared" si="152"/>
        <v>83000</v>
      </c>
      <c r="P970" s="174"/>
      <c r="Q970" s="47">
        <f t="shared" si="171"/>
        <v>488734</v>
      </c>
      <c r="R970" s="47">
        <f t="shared" si="172"/>
        <v>5376</v>
      </c>
      <c r="S970" s="47">
        <f t="shared" si="172"/>
        <v>494110</v>
      </c>
    </row>
    <row r="971" spans="2:19" x14ac:dyDescent="0.2">
      <c r="B971" s="75">
        <f t="shared" si="158"/>
        <v>323</v>
      </c>
      <c r="C971" s="15"/>
      <c r="D971" s="15"/>
      <c r="E971" s="15"/>
      <c r="F971" s="52" t="s">
        <v>127</v>
      </c>
      <c r="G971" s="15">
        <v>610</v>
      </c>
      <c r="H971" s="15" t="s">
        <v>137</v>
      </c>
      <c r="I971" s="49">
        <v>96918</v>
      </c>
      <c r="J971" s="49"/>
      <c r="K971" s="49">
        <f t="shared" si="151"/>
        <v>96918</v>
      </c>
      <c r="L971" s="123"/>
      <c r="M971" s="49"/>
      <c r="N971" s="49"/>
      <c r="O971" s="49">
        <f t="shared" si="152"/>
        <v>0</v>
      </c>
      <c r="P971" s="123"/>
      <c r="Q971" s="49">
        <f t="shared" si="171"/>
        <v>96918</v>
      </c>
      <c r="R971" s="49">
        <f t="shared" si="172"/>
        <v>0</v>
      </c>
      <c r="S971" s="49">
        <f t="shared" si="172"/>
        <v>96918</v>
      </c>
    </row>
    <row r="972" spans="2:19" x14ac:dyDescent="0.2">
      <c r="B972" s="75">
        <f t="shared" si="158"/>
        <v>324</v>
      </c>
      <c r="C972" s="15"/>
      <c r="D972" s="15"/>
      <c r="E972" s="15"/>
      <c r="F972" s="52" t="s">
        <v>127</v>
      </c>
      <c r="G972" s="15">
        <v>620</v>
      </c>
      <c r="H972" s="15" t="s">
        <v>132</v>
      </c>
      <c r="I972" s="49">
        <v>33873</v>
      </c>
      <c r="J972" s="49"/>
      <c r="K972" s="49">
        <f t="shared" si="151"/>
        <v>33873</v>
      </c>
      <c r="L972" s="123"/>
      <c r="M972" s="49"/>
      <c r="N972" s="49"/>
      <c r="O972" s="49">
        <f t="shared" si="152"/>
        <v>0</v>
      </c>
      <c r="P972" s="123"/>
      <c r="Q972" s="49">
        <f t="shared" si="171"/>
        <v>33873</v>
      </c>
      <c r="R972" s="49">
        <f t="shared" si="172"/>
        <v>0</v>
      </c>
      <c r="S972" s="49">
        <f t="shared" si="172"/>
        <v>33873</v>
      </c>
    </row>
    <row r="973" spans="2:19" x14ac:dyDescent="0.2">
      <c r="B973" s="75">
        <f t="shared" si="158"/>
        <v>325</v>
      </c>
      <c r="C973" s="15"/>
      <c r="D973" s="15"/>
      <c r="E973" s="15"/>
      <c r="F973" s="52" t="s">
        <v>127</v>
      </c>
      <c r="G973" s="15">
        <v>630</v>
      </c>
      <c r="H973" s="15" t="s">
        <v>129</v>
      </c>
      <c r="I973" s="49">
        <f>I978+I977+I976+I975+I974</f>
        <v>19976</v>
      </c>
      <c r="J973" s="49">
        <f>J978+J977+J976+J975+J974</f>
        <v>0</v>
      </c>
      <c r="K973" s="49">
        <f t="shared" si="151"/>
        <v>19976</v>
      </c>
      <c r="L973" s="123"/>
      <c r="M973" s="49">
        <v>0</v>
      </c>
      <c r="N973" s="49"/>
      <c r="O973" s="49">
        <f t="shared" si="152"/>
        <v>0</v>
      </c>
      <c r="P973" s="123"/>
      <c r="Q973" s="49">
        <f t="shared" si="171"/>
        <v>19976</v>
      </c>
      <c r="R973" s="49">
        <f t="shared" si="172"/>
        <v>0</v>
      </c>
      <c r="S973" s="49">
        <f t="shared" si="172"/>
        <v>19976</v>
      </c>
    </row>
    <row r="974" spans="2:19" x14ac:dyDescent="0.2">
      <c r="B974" s="75">
        <f t="shared" si="158"/>
        <v>326</v>
      </c>
      <c r="C974" s="4"/>
      <c r="D974" s="4"/>
      <c r="E974" s="4"/>
      <c r="F974" s="53" t="s">
        <v>127</v>
      </c>
      <c r="G974" s="4">
        <v>631</v>
      </c>
      <c r="H974" s="4" t="s">
        <v>135</v>
      </c>
      <c r="I974" s="26">
        <v>200</v>
      </c>
      <c r="J974" s="26"/>
      <c r="K974" s="26">
        <f t="shared" si="151"/>
        <v>200</v>
      </c>
      <c r="L974" s="76"/>
      <c r="M974" s="26"/>
      <c r="N974" s="26"/>
      <c r="O974" s="26">
        <f t="shared" si="152"/>
        <v>0</v>
      </c>
      <c r="P974" s="76"/>
      <c r="Q974" s="26">
        <f t="shared" si="171"/>
        <v>200</v>
      </c>
      <c r="R974" s="26">
        <f t="shared" si="172"/>
        <v>0</v>
      </c>
      <c r="S974" s="26">
        <f t="shared" si="172"/>
        <v>200</v>
      </c>
    </row>
    <row r="975" spans="2:19" x14ac:dyDescent="0.2">
      <c r="B975" s="75">
        <f t="shared" si="158"/>
        <v>327</v>
      </c>
      <c r="C975" s="4"/>
      <c r="D975" s="4"/>
      <c r="E975" s="4"/>
      <c r="F975" s="53" t="s">
        <v>127</v>
      </c>
      <c r="G975" s="4">
        <v>632</v>
      </c>
      <c r="H975" s="4" t="s">
        <v>140</v>
      </c>
      <c r="I975" s="26">
        <v>8860</v>
      </c>
      <c r="J975" s="26"/>
      <c r="K975" s="26">
        <f t="shared" si="151"/>
        <v>8860</v>
      </c>
      <c r="L975" s="76"/>
      <c r="M975" s="26"/>
      <c r="N975" s="26"/>
      <c r="O975" s="26">
        <f t="shared" si="152"/>
        <v>0</v>
      </c>
      <c r="P975" s="76"/>
      <c r="Q975" s="26">
        <f t="shared" si="171"/>
        <v>8860</v>
      </c>
      <c r="R975" s="26">
        <f t="shared" si="172"/>
        <v>0</v>
      </c>
      <c r="S975" s="26">
        <f t="shared" si="172"/>
        <v>8860</v>
      </c>
    </row>
    <row r="976" spans="2:19" x14ac:dyDescent="0.2">
      <c r="B976" s="75">
        <f t="shared" si="158"/>
        <v>328</v>
      </c>
      <c r="C976" s="4"/>
      <c r="D976" s="4"/>
      <c r="E976" s="4"/>
      <c r="F976" s="53" t="s">
        <v>127</v>
      </c>
      <c r="G976" s="4">
        <v>633</v>
      </c>
      <c r="H976" s="4" t="s">
        <v>133</v>
      </c>
      <c r="I976" s="26">
        <v>5080</v>
      </c>
      <c r="J976" s="26"/>
      <c r="K976" s="26">
        <f t="shared" ref="K976:K1042" si="173">I976+J976</f>
        <v>5080</v>
      </c>
      <c r="L976" s="76"/>
      <c r="M976" s="26"/>
      <c r="N976" s="26"/>
      <c r="O976" s="26">
        <f t="shared" ref="O976:O1042" si="174">M976+N976</f>
        <v>0</v>
      </c>
      <c r="P976" s="76"/>
      <c r="Q976" s="26">
        <f t="shared" si="171"/>
        <v>5080</v>
      </c>
      <c r="R976" s="26">
        <f t="shared" si="172"/>
        <v>0</v>
      </c>
      <c r="S976" s="26">
        <f t="shared" si="172"/>
        <v>5080</v>
      </c>
    </row>
    <row r="977" spans="2:19" x14ac:dyDescent="0.2">
      <c r="B977" s="75">
        <f t="shared" ref="B977:B1043" si="175">B976+1</f>
        <v>329</v>
      </c>
      <c r="C977" s="4"/>
      <c r="D977" s="4"/>
      <c r="E977" s="4"/>
      <c r="F977" s="53" t="s">
        <v>127</v>
      </c>
      <c r="G977" s="4">
        <v>635</v>
      </c>
      <c r="H977" s="4" t="s">
        <v>139</v>
      </c>
      <c r="I977" s="26">
        <v>1890</v>
      </c>
      <c r="J977" s="26"/>
      <c r="K977" s="26">
        <f t="shared" si="173"/>
        <v>1890</v>
      </c>
      <c r="L977" s="76"/>
      <c r="M977" s="26"/>
      <c r="N977" s="26"/>
      <c r="O977" s="26">
        <f t="shared" si="174"/>
        <v>0</v>
      </c>
      <c r="P977" s="76"/>
      <c r="Q977" s="26">
        <f t="shared" si="171"/>
        <v>1890</v>
      </c>
      <c r="R977" s="26">
        <f t="shared" si="172"/>
        <v>0</v>
      </c>
      <c r="S977" s="26">
        <f t="shared" si="172"/>
        <v>1890</v>
      </c>
    </row>
    <row r="978" spans="2:19" x14ac:dyDescent="0.2">
      <c r="B978" s="75">
        <f t="shared" si="175"/>
        <v>330</v>
      </c>
      <c r="C978" s="4"/>
      <c r="D978" s="4"/>
      <c r="E978" s="4"/>
      <c r="F978" s="53" t="s">
        <v>127</v>
      </c>
      <c r="G978" s="4">
        <v>637</v>
      </c>
      <c r="H978" s="4" t="s">
        <v>130</v>
      </c>
      <c r="I978" s="26">
        <v>3946</v>
      </c>
      <c r="J978" s="26"/>
      <c r="K978" s="26">
        <f t="shared" si="173"/>
        <v>3946</v>
      </c>
      <c r="L978" s="76"/>
      <c r="M978" s="26"/>
      <c r="N978" s="26"/>
      <c r="O978" s="26">
        <f t="shared" si="174"/>
        <v>0</v>
      </c>
      <c r="P978" s="76"/>
      <c r="Q978" s="26">
        <f t="shared" si="171"/>
        <v>3946</v>
      </c>
      <c r="R978" s="26">
        <f t="shared" si="172"/>
        <v>0</v>
      </c>
      <c r="S978" s="26">
        <f t="shared" si="172"/>
        <v>3946</v>
      </c>
    </row>
    <row r="979" spans="2:19" x14ac:dyDescent="0.2">
      <c r="B979" s="75">
        <f t="shared" si="175"/>
        <v>331</v>
      </c>
      <c r="C979" s="15"/>
      <c r="D979" s="15"/>
      <c r="E979" s="15"/>
      <c r="F979" s="52" t="s">
        <v>127</v>
      </c>
      <c r="G979" s="15">
        <v>640</v>
      </c>
      <c r="H979" s="15" t="s">
        <v>136</v>
      </c>
      <c r="I979" s="49">
        <v>100</v>
      </c>
      <c r="J979" s="49"/>
      <c r="K979" s="49">
        <f t="shared" si="173"/>
        <v>100</v>
      </c>
      <c r="L979" s="123"/>
      <c r="M979" s="49"/>
      <c r="N979" s="49"/>
      <c r="O979" s="49">
        <f t="shared" si="174"/>
        <v>0</v>
      </c>
      <c r="P979" s="123"/>
      <c r="Q979" s="49">
        <f t="shared" si="171"/>
        <v>100</v>
      </c>
      <c r="R979" s="49">
        <f t="shared" si="172"/>
        <v>0</v>
      </c>
      <c r="S979" s="49">
        <f t="shared" si="172"/>
        <v>100</v>
      </c>
    </row>
    <row r="980" spans="2:19" x14ac:dyDescent="0.2">
      <c r="B980" s="75">
        <f t="shared" si="175"/>
        <v>332</v>
      </c>
      <c r="C980" s="15"/>
      <c r="D980" s="15"/>
      <c r="E980" s="15"/>
      <c r="F980" s="52" t="s">
        <v>272</v>
      </c>
      <c r="G980" s="15">
        <v>610</v>
      </c>
      <c r="H980" s="15" t="s">
        <v>137</v>
      </c>
      <c r="I980" s="49">
        <v>124619</v>
      </c>
      <c r="J980" s="49"/>
      <c r="K980" s="49">
        <f t="shared" si="173"/>
        <v>124619</v>
      </c>
      <c r="L980" s="123"/>
      <c r="M980" s="49"/>
      <c r="N980" s="49"/>
      <c r="O980" s="49">
        <f t="shared" si="174"/>
        <v>0</v>
      </c>
      <c r="P980" s="123"/>
      <c r="Q980" s="49">
        <f t="shared" si="171"/>
        <v>124619</v>
      </c>
      <c r="R980" s="49">
        <f t="shared" si="172"/>
        <v>0</v>
      </c>
      <c r="S980" s="49">
        <f t="shared" si="172"/>
        <v>124619</v>
      </c>
    </row>
    <row r="981" spans="2:19" x14ac:dyDescent="0.2">
      <c r="B981" s="75">
        <f t="shared" si="175"/>
        <v>333</v>
      </c>
      <c r="C981" s="15"/>
      <c r="D981" s="15"/>
      <c r="E981" s="15"/>
      <c r="F981" s="52" t="s">
        <v>272</v>
      </c>
      <c r="G981" s="15">
        <v>620</v>
      </c>
      <c r="H981" s="15" t="s">
        <v>132</v>
      </c>
      <c r="I981" s="49">
        <v>43557</v>
      </c>
      <c r="J981" s="49"/>
      <c r="K981" s="49">
        <f t="shared" si="173"/>
        <v>43557</v>
      </c>
      <c r="L981" s="123"/>
      <c r="M981" s="49"/>
      <c r="N981" s="49"/>
      <c r="O981" s="49">
        <f t="shared" si="174"/>
        <v>0</v>
      </c>
      <c r="P981" s="123"/>
      <c r="Q981" s="49">
        <f t="shared" si="171"/>
        <v>43557</v>
      </c>
      <c r="R981" s="49">
        <f t="shared" si="172"/>
        <v>0</v>
      </c>
      <c r="S981" s="49">
        <f t="shared" si="172"/>
        <v>43557</v>
      </c>
    </row>
    <row r="982" spans="2:19" x14ac:dyDescent="0.2">
      <c r="B982" s="75">
        <f t="shared" si="175"/>
        <v>334</v>
      </c>
      <c r="C982" s="15"/>
      <c r="D982" s="15"/>
      <c r="E982" s="15"/>
      <c r="F982" s="52" t="s">
        <v>272</v>
      </c>
      <c r="G982" s="15">
        <v>630</v>
      </c>
      <c r="H982" s="15" t="s">
        <v>129</v>
      </c>
      <c r="I982" s="49">
        <f>I988+I987+I986+I985+I984+I983</f>
        <v>78259</v>
      </c>
      <c r="J982" s="49">
        <f>J988+J987+J986+J985+J984+J983</f>
        <v>5250</v>
      </c>
      <c r="K982" s="49">
        <f t="shared" si="173"/>
        <v>83509</v>
      </c>
      <c r="L982" s="123"/>
      <c r="M982" s="49">
        <f>M988+M987+M986+M985+M984+M983</f>
        <v>0</v>
      </c>
      <c r="N982" s="49">
        <f>N988+N987+N986+N985+N984+N983</f>
        <v>0</v>
      </c>
      <c r="O982" s="49">
        <f t="shared" si="174"/>
        <v>0</v>
      </c>
      <c r="P982" s="123"/>
      <c r="Q982" s="49">
        <f t="shared" si="171"/>
        <v>78259</v>
      </c>
      <c r="R982" s="49">
        <f t="shared" si="172"/>
        <v>5250</v>
      </c>
      <c r="S982" s="49">
        <f t="shared" si="172"/>
        <v>83509</v>
      </c>
    </row>
    <row r="983" spans="2:19" x14ac:dyDescent="0.2">
      <c r="B983" s="75">
        <f t="shared" si="175"/>
        <v>335</v>
      </c>
      <c r="C983" s="4"/>
      <c r="D983" s="4"/>
      <c r="E983" s="4"/>
      <c r="F983" s="53" t="s">
        <v>272</v>
      </c>
      <c r="G983" s="4">
        <v>631</v>
      </c>
      <c r="H983" s="4" t="s">
        <v>135</v>
      </c>
      <c r="I983" s="26">
        <v>350</v>
      </c>
      <c r="J983" s="26"/>
      <c r="K983" s="26">
        <f t="shared" si="173"/>
        <v>350</v>
      </c>
      <c r="L983" s="76"/>
      <c r="M983" s="26"/>
      <c r="N983" s="26"/>
      <c r="O983" s="26">
        <f t="shared" si="174"/>
        <v>0</v>
      </c>
      <c r="P983" s="76"/>
      <c r="Q983" s="26">
        <f t="shared" si="171"/>
        <v>350</v>
      </c>
      <c r="R983" s="26">
        <f t="shared" ref="R983:S989" si="176">N983+J983</f>
        <v>0</v>
      </c>
      <c r="S983" s="26">
        <f t="shared" si="176"/>
        <v>350</v>
      </c>
    </row>
    <row r="984" spans="2:19" x14ac:dyDescent="0.2">
      <c r="B984" s="75">
        <f t="shared" si="175"/>
        <v>336</v>
      </c>
      <c r="C984" s="4"/>
      <c r="D984" s="4"/>
      <c r="E984" s="4"/>
      <c r="F984" s="53" t="s">
        <v>272</v>
      </c>
      <c r="G984" s="4">
        <v>632</v>
      </c>
      <c r="H984" s="4" t="s">
        <v>140</v>
      </c>
      <c r="I984" s="26">
        <v>58485</v>
      </c>
      <c r="J984" s="26"/>
      <c r="K984" s="26">
        <f t="shared" si="173"/>
        <v>58485</v>
      </c>
      <c r="L984" s="76"/>
      <c r="M984" s="26"/>
      <c r="N984" s="26"/>
      <c r="O984" s="26">
        <f t="shared" si="174"/>
        <v>0</v>
      </c>
      <c r="P984" s="76"/>
      <c r="Q984" s="26">
        <f t="shared" si="171"/>
        <v>58485</v>
      </c>
      <c r="R984" s="26">
        <f t="shared" si="176"/>
        <v>0</v>
      </c>
      <c r="S984" s="26">
        <f t="shared" si="176"/>
        <v>58485</v>
      </c>
    </row>
    <row r="985" spans="2:19" x14ac:dyDescent="0.2">
      <c r="B985" s="75">
        <f t="shared" si="175"/>
        <v>337</v>
      </c>
      <c r="C985" s="4"/>
      <c r="D985" s="4"/>
      <c r="E985" s="4"/>
      <c r="F985" s="53" t="s">
        <v>272</v>
      </c>
      <c r="G985" s="4">
        <v>633</v>
      </c>
      <c r="H985" s="4" t="s">
        <v>133</v>
      </c>
      <c r="I985" s="26">
        <v>9467</v>
      </c>
      <c r="J985" s="26"/>
      <c r="K985" s="26">
        <f t="shared" si="173"/>
        <v>9467</v>
      </c>
      <c r="L985" s="76"/>
      <c r="M985" s="26"/>
      <c r="N985" s="26"/>
      <c r="O985" s="26">
        <f t="shared" si="174"/>
        <v>0</v>
      </c>
      <c r="P985" s="76"/>
      <c r="Q985" s="26">
        <f t="shared" si="171"/>
        <v>9467</v>
      </c>
      <c r="R985" s="26">
        <f t="shared" si="176"/>
        <v>0</v>
      </c>
      <c r="S985" s="26">
        <f t="shared" si="176"/>
        <v>9467</v>
      </c>
    </row>
    <row r="986" spans="2:19" x14ac:dyDescent="0.2">
      <c r="B986" s="75">
        <f t="shared" si="175"/>
        <v>338</v>
      </c>
      <c r="C986" s="4"/>
      <c r="D986" s="4"/>
      <c r="E986" s="4"/>
      <c r="F986" s="53" t="s">
        <v>272</v>
      </c>
      <c r="G986" s="4">
        <v>635</v>
      </c>
      <c r="H986" s="4" t="s">
        <v>139</v>
      </c>
      <c r="I986" s="26">
        <v>1850</v>
      </c>
      <c r="J986" s="26"/>
      <c r="K986" s="26">
        <f t="shared" si="173"/>
        <v>1850</v>
      </c>
      <c r="L986" s="76"/>
      <c r="M986" s="26"/>
      <c r="N986" s="26"/>
      <c r="O986" s="26">
        <f t="shared" si="174"/>
        <v>0</v>
      </c>
      <c r="P986" s="76"/>
      <c r="Q986" s="26">
        <f t="shared" si="171"/>
        <v>1850</v>
      </c>
      <c r="R986" s="26">
        <f t="shared" si="176"/>
        <v>0</v>
      </c>
      <c r="S986" s="26">
        <f t="shared" si="176"/>
        <v>1850</v>
      </c>
    </row>
    <row r="987" spans="2:19" x14ac:dyDescent="0.2">
      <c r="B987" s="75">
        <f t="shared" si="175"/>
        <v>339</v>
      </c>
      <c r="C987" s="4"/>
      <c r="D987" s="4"/>
      <c r="E987" s="4"/>
      <c r="F987" s="53" t="s">
        <v>272</v>
      </c>
      <c r="G987" s="4">
        <v>636</v>
      </c>
      <c r="H987" s="4" t="s">
        <v>134</v>
      </c>
      <c r="I987" s="26">
        <v>1650</v>
      </c>
      <c r="J987" s="26"/>
      <c r="K987" s="26">
        <f t="shared" si="173"/>
        <v>1650</v>
      </c>
      <c r="L987" s="76"/>
      <c r="M987" s="26"/>
      <c r="N987" s="26"/>
      <c r="O987" s="26">
        <f t="shared" si="174"/>
        <v>0</v>
      </c>
      <c r="P987" s="76"/>
      <c r="Q987" s="26">
        <f t="shared" si="171"/>
        <v>1650</v>
      </c>
      <c r="R987" s="26">
        <f t="shared" si="176"/>
        <v>0</v>
      </c>
      <c r="S987" s="26">
        <f t="shared" si="176"/>
        <v>1650</v>
      </c>
    </row>
    <row r="988" spans="2:19" x14ac:dyDescent="0.2">
      <c r="B988" s="75">
        <f t="shared" si="175"/>
        <v>340</v>
      </c>
      <c r="C988" s="4"/>
      <c r="D988" s="4"/>
      <c r="E988" s="4"/>
      <c r="F988" s="53" t="s">
        <v>272</v>
      </c>
      <c r="G988" s="4">
        <v>637</v>
      </c>
      <c r="H988" s="4" t="s">
        <v>130</v>
      </c>
      <c r="I988" s="26">
        <v>6457</v>
      </c>
      <c r="J988" s="26">
        <v>5250</v>
      </c>
      <c r="K988" s="26">
        <f t="shared" si="173"/>
        <v>11707</v>
      </c>
      <c r="L988" s="76"/>
      <c r="M988" s="26"/>
      <c r="N988" s="26"/>
      <c r="O988" s="26">
        <f t="shared" si="174"/>
        <v>0</v>
      </c>
      <c r="P988" s="76"/>
      <c r="Q988" s="26">
        <f t="shared" si="171"/>
        <v>6457</v>
      </c>
      <c r="R988" s="26">
        <f t="shared" si="176"/>
        <v>5250</v>
      </c>
      <c r="S988" s="26">
        <f t="shared" si="176"/>
        <v>11707</v>
      </c>
    </row>
    <row r="989" spans="2:19" x14ac:dyDescent="0.2">
      <c r="B989" s="75">
        <f t="shared" si="175"/>
        <v>341</v>
      </c>
      <c r="C989" s="15"/>
      <c r="D989" s="15"/>
      <c r="E989" s="15"/>
      <c r="F989" s="52" t="s">
        <v>272</v>
      </c>
      <c r="G989" s="15">
        <v>640</v>
      </c>
      <c r="H989" s="15" t="s">
        <v>136</v>
      </c>
      <c r="I989" s="49">
        <v>500</v>
      </c>
      <c r="J989" s="49"/>
      <c r="K989" s="49">
        <f t="shared" si="173"/>
        <v>500</v>
      </c>
      <c r="L989" s="123"/>
      <c r="M989" s="49"/>
      <c r="N989" s="49"/>
      <c r="O989" s="49">
        <f t="shared" si="174"/>
        <v>0</v>
      </c>
      <c r="P989" s="123"/>
      <c r="Q989" s="49">
        <f t="shared" si="171"/>
        <v>500</v>
      </c>
      <c r="R989" s="49">
        <f t="shared" si="176"/>
        <v>0</v>
      </c>
      <c r="S989" s="49">
        <f t="shared" si="176"/>
        <v>500</v>
      </c>
    </row>
    <row r="990" spans="2:19" x14ac:dyDescent="0.2">
      <c r="B990" s="75">
        <f t="shared" si="175"/>
        <v>342</v>
      </c>
      <c r="C990" s="15"/>
      <c r="D990" s="15"/>
      <c r="E990" s="15"/>
      <c r="F990" s="52" t="s">
        <v>77</v>
      </c>
      <c r="G990" s="15">
        <v>630</v>
      </c>
      <c r="H990" s="15" t="s">
        <v>672</v>
      </c>
      <c r="I990" s="49">
        <v>0</v>
      </c>
      <c r="J990" s="49">
        <v>126</v>
      </c>
      <c r="K990" s="49">
        <f t="shared" si="173"/>
        <v>126</v>
      </c>
      <c r="L990" s="123"/>
      <c r="M990" s="49"/>
      <c r="N990" s="49"/>
      <c r="O990" s="49"/>
      <c r="P990" s="123"/>
      <c r="Q990" s="49">
        <f t="shared" si="171"/>
        <v>0</v>
      </c>
      <c r="R990" s="49">
        <f t="shared" ref="R990" si="177">N990+J990</f>
        <v>126</v>
      </c>
      <c r="S990" s="49">
        <f t="shared" ref="S990" si="178">O990+K990</f>
        <v>126</v>
      </c>
    </row>
    <row r="991" spans="2:19" x14ac:dyDescent="0.2">
      <c r="B991" s="75">
        <f t="shared" si="175"/>
        <v>343</v>
      </c>
      <c r="C991" s="15"/>
      <c r="D991" s="15"/>
      <c r="E991" s="15"/>
      <c r="F991" s="52"/>
      <c r="G991" s="15"/>
      <c r="H991" s="15"/>
      <c r="I991" s="49"/>
      <c r="J991" s="49"/>
      <c r="K991" s="49">
        <f t="shared" si="173"/>
        <v>0</v>
      </c>
      <c r="L991" s="123"/>
      <c r="M991" s="49"/>
      <c r="N991" s="49"/>
      <c r="O991" s="49">
        <f t="shared" si="174"/>
        <v>0</v>
      </c>
      <c r="P991" s="123"/>
      <c r="Q991" s="49"/>
      <c r="R991" s="49"/>
      <c r="S991" s="49"/>
    </row>
    <row r="992" spans="2:19" x14ac:dyDescent="0.2">
      <c r="B992" s="75">
        <f t="shared" si="175"/>
        <v>344</v>
      </c>
      <c r="C992" s="15"/>
      <c r="D992" s="15"/>
      <c r="E992" s="15"/>
      <c r="F992" s="52"/>
      <c r="G992" s="15">
        <v>630</v>
      </c>
      <c r="H992" s="15" t="s">
        <v>624</v>
      </c>
      <c r="I992" s="49">
        <v>7932</v>
      </c>
      <c r="J992" s="49"/>
      <c r="K992" s="49">
        <f t="shared" si="173"/>
        <v>7932</v>
      </c>
      <c r="L992" s="123"/>
      <c r="M992" s="49"/>
      <c r="N992" s="49"/>
      <c r="O992" s="49">
        <f t="shared" si="174"/>
        <v>0</v>
      </c>
      <c r="P992" s="123"/>
      <c r="Q992" s="49">
        <f>M992+I992</f>
        <v>7932</v>
      </c>
      <c r="R992" s="49">
        <f t="shared" ref="R992:S992" si="179">N992+J992</f>
        <v>0</v>
      </c>
      <c r="S992" s="49">
        <f t="shared" si="179"/>
        <v>7932</v>
      </c>
    </row>
    <row r="993" spans="2:19" x14ac:dyDescent="0.2">
      <c r="B993" s="75">
        <f t="shared" si="175"/>
        <v>345</v>
      </c>
      <c r="C993" s="15"/>
      <c r="D993" s="15"/>
      <c r="E993" s="15"/>
      <c r="F993" s="52"/>
      <c r="G993" s="15"/>
      <c r="H993" s="15"/>
      <c r="I993" s="49"/>
      <c r="J993" s="49"/>
      <c r="K993" s="49">
        <f t="shared" si="173"/>
        <v>0</v>
      </c>
      <c r="L993" s="123"/>
      <c r="M993" s="49"/>
      <c r="N993" s="49"/>
      <c r="O993" s="49">
        <f t="shared" si="174"/>
        <v>0</v>
      </c>
      <c r="P993" s="123"/>
      <c r="Q993" s="49"/>
      <c r="R993" s="49"/>
      <c r="S993" s="49"/>
    </row>
    <row r="994" spans="2:19" x14ac:dyDescent="0.2">
      <c r="B994" s="75">
        <f t="shared" si="175"/>
        <v>346</v>
      </c>
      <c r="C994" s="15"/>
      <c r="D994" s="15"/>
      <c r="E994" s="15"/>
      <c r="F994" s="52" t="s">
        <v>127</v>
      </c>
      <c r="G994" s="15">
        <v>710</v>
      </c>
      <c r="H994" s="15" t="s">
        <v>185</v>
      </c>
      <c r="I994" s="49">
        <f>I998</f>
        <v>0</v>
      </c>
      <c r="J994" s="49">
        <f>J998</f>
        <v>0</v>
      </c>
      <c r="K994" s="49">
        <f t="shared" si="173"/>
        <v>0</v>
      </c>
      <c r="L994" s="123"/>
      <c r="M994" s="49">
        <f>M998+M995</f>
        <v>83000</v>
      </c>
      <c r="N994" s="49">
        <f>N998+N995</f>
        <v>0</v>
      </c>
      <c r="O994" s="49">
        <f t="shared" si="174"/>
        <v>83000</v>
      </c>
      <c r="P994" s="123"/>
      <c r="Q994" s="49">
        <f>M994+I994</f>
        <v>83000</v>
      </c>
      <c r="R994" s="49">
        <f t="shared" ref="R994:S994" si="180">N994+J994</f>
        <v>0</v>
      </c>
      <c r="S994" s="49">
        <f t="shared" si="180"/>
        <v>83000</v>
      </c>
    </row>
    <row r="995" spans="2:19" x14ac:dyDescent="0.2">
      <c r="B995" s="75">
        <f t="shared" si="175"/>
        <v>347</v>
      </c>
      <c r="C995" s="15"/>
      <c r="D995" s="15"/>
      <c r="E995" s="15"/>
      <c r="F995" s="86" t="s">
        <v>127</v>
      </c>
      <c r="G995" s="87">
        <v>716</v>
      </c>
      <c r="H995" s="87" t="s">
        <v>0</v>
      </c>
      <c r="I995" s="88"/>
      <c r="J995" s="88"/>
      <c r="K995" s="88">
        <f t="shared" si="173"/>
        <v>0</v>
      </c>
      <c r="L995" s="76"/>
      <c r="M995" s="88">
        <f>M996</f>
        <v>6600</v>
      </c>
      <c r="N995" s="88">
        <f>N996+N997</f>
        <v>1000</v>
      </c>
      <c r="O995" s="88">
        <f t="shared" si="174"/>
        <v>7600</v>
      </c>
      <c r="P995" s="76"/>
      <c r="Q995" s="88">
        <f>I995+M995</f>
        <v>6600</v>
      </c>
      <c r="R995" s="88">
        <f t="shared" ref="R995:S996" si="181">J995+N995</f>
        <v>1000</v>
      </c>
      <c r="S995" s="88">
        <f t="shared" si="181"/>
        <v>7600</v>
      </c>
    </row>
    <row r="996" spans="2:19" x14ac:dyDescent="0.2">
      <c r="B996" s="75">
        <f t="shared" si="175"/>
        <v>348</v>
      </c>
      <c r="C996" s="15"/>
      <c r="D996" s="15"/>
      <c r="E996" s="15"/>
      <c r="F996" s="53"/>
      <c r="G996" s="4"/>
      <c r="H996" s="4" t="s">
        <v>605</v>
      </c>
      <c r="I996" s="26"/>
      <c r="J996" s="26"/>
      <c r="K996" s="26">
        <f t="shared" si="173"/>
        <v>0</v>
      </c>
      <c r="L996" s="76"/>
      <c r="M996" s="26">
        <v>6600</v>
      </c>
      <c r="N996" s="26"/>
      <c r="O996" s="26">
        <f t="shared" si="174"/>
        <v>6600</v>
      </c>
      <c r="P996" s="76"/>
      <c r="Q996" s="26">
        <f>I996+M996</f>
        <v>6600</v>
      </c>
      <c r="R996" s="26">
        <f t="shared" si="181"/>
        <v>0</v>
      </c>
      <c r="S996" s="26">
        <f t="shared" si="181"/>
        <v>6600</v>
      </c>
    </row>
    <row r="997" spans="2:19" x14ac:dyDescent="0.2">
      <c r="B997" s="75">
        <f t="shared" si="175"/>
        <v>349</v>
      </c>
      <c r="C997" s="15"/>
      <c r="D997" s="15"/>
      <c r="E997" s="15"/>
      <c r="F997" s="53"/>
      <c r="G997" s="4"/>
      <c r="H997" s="4" t="s">
        <v>677</v>
      </c>
      <c r="I997" s="26"/>
      <c r="J997" s="26"/>
      <c r="K997" s="26"/>
      <c r="L997" s="76"/>
      <c r="M997" s="26">
        <v>0</v>
      </c>
      <c r="N997" s="26">
        <v>1000</v>
      </c>
      <c r="O997" s="26">
        <f t="shared" si="174"/>
        <v>1000</v>
      </c>
      <c r="P997" s="76"/>
      <c r="Q997" s="26">
        <f>I997+M997</f>
        <v>0</v>
      </c>
      <c r="R997" s="26">
        <f t="shared" ref="R997" si="182">J997+N997</f>
        <v>1000</v>
      </c>
      <c r="S997" s="26">
        <f t="shared" ref="S997" si="183">K997+O997</f>
        <v>1000</v>
      </c>
    </row>
    <row r="998" spans="2:19" x14ac:dyDescent="0.2">
      <c r="B998" s="75">
        <f t="shared" si="175"/>
        <v>350</v>
      </c>
      <c r="C998" s="4"/>
      <c r="D998" s="4"/>
      <c r="E998" s="4"/>
      <c r="F998" s="86" t="s">
        <v>127</v>
      </c>
      <c r="G998" s="87">
        <v>717</v>
      </c>
      <c r="H998" s="87" t="s">
        <v>195</v>
      </c>
      <c r="I998" s="88"/>
      <c r="J998" s="88"/>
      <c r="K998" s="88">
        <f t="shared" si="173"/>
        <v>0</v>
      </c>
      <c r="L998" s="76"/>
      <c r="M998" s="88">
        <f>SUM(M999:M1000)</f>
        <v>76400</v>
      </c>
      <c r="N998" s="88">
        <f>SUM(N999:N1000)</f>
        <v>-1000</v>
      </c>
      <c r="O998" s="88">
        <f t="shared" si="174"/>
        <v>75400</v>
      </c>
      <c r="P998" s="76"/>
      <c r="Q998" s="88">
        <f t="shared" ref="Q998:Q1022" si="184">M998+I998</f>
        <v>76400</v>
      </c>
      <c r="R998" s="88">
        <f t="shared" ref="R998:S1013" si="185">N998+J998</f>
        <v>-1000</v>
      </c>
      <c r="S998" s="88">
        <f t="shared" si="185"/>
        <v>75400</v>
      </c>
    </row>
    <row r="999" spans="2:19" x14ac:dyDescent="0.2">
      <c r="B999" s="75">
        <f t="shared" si="175"/>
        <v>351</v>
      </c>
      <c r="C999" s="4"/>
      <c r="D999" s="4"/>
      <c r="E999" s="4"/>
      <c r="F999" s="64"/>
      <c r="G999" s="60"/>
      <c r="H999" s="60" t="s">
        <v>513</v>
      </c>
      <c r="I999" s="58"/>
      <c r="J999" s="58"/>
      <c r="K999" s="58">
        <f t="shared" si="173"/>
        <v>0</v>
      </c>
      <c r="L999" s="76"/>
      <c r="M999" s="58">
        <f>70000-6600</f>
        <v>63400</v>
      </c>
      <c r="N999" s="58"/>
      <c r="O999" s="58">
        <f t="shared" si="174"/>
        <v>63400</v>
      </c>
      <c r="P999" s="76"/>
      <c r="Q999" s="26">
        <f t="shared" si="184"/>
        <v>63400</v>
      </c>
      <c r="R999" s="26">
        <f t="shared" si="185"/>
        <v>0</v>
      </c>
      <c r="S999" s="26">
        <f t="shared" si="185"/>
        <v>63400</v>
      </c>
    </row>
    <row r="1000" spans="2:19" x14ac:dyDescent="0.2">
      <c r="B1000" s="75">
        <f t="shared" si="175"/>
        <v>352</v>
      </c>
      <c r="C1000" s="4"/>
      <c r="D1000" s="4"/>
      <c r="E1000" s="4"/>
      <c r="F1000" s="64"/>
      <c r="G1000" s="60"/>
      <c r="H1000" s="60" t="s">
        <v>514</v>
      </c>
      <c r="I1000" s="58"/>
      <c r="J1000" s="58"/>
      <c r="K1000" s="58">
        <f t="shared" si="173"/>
        <v>0</v>
      </c>
      <c r="L1000" s="76"/>
      <c r="M1000" s="58">
        <v>13000</v>
      </c>
      <c r="N1000" s="58">
        <v>-1000</v>
      </c>
      <c r="O1000" s="58">
        <f t="shared" si="174"/>
        <v>12000</v>
      </c>
      <c r="P1000" s="76"/>
      <c r="Q1000" s="26">
        <f t="shared" si="184"/>
        <v>13000</v>
      </c>
      <c r="R1000" s="26">
        <f t="shared" si="185"/>
        <v>-1000</v>
      </c>
      <c r="S1000" s="26">
        <f t="shared" si="185"/>
        <v>12000</v>
      </c>
    </row>
    <row r="1001" spans="2:19" ht="15" x14ac:dyDescent="0.25">
      <c r="B1001" s="75">
        <f t="shared" si="175"/>
        <v>353</v>
      </c>
      <c r="C1001" s="18"/>
      <c r="D1001" s="18"/>
      <c r="E1001" s="18">
        <v>11</v>
      </c>
      <c r="F1001" s="50"/>
      <c r="G1001" s="18"/>
      <c r="H1001" s="18" t="s">
        <v>275</v>
      </c>
      <c r="I1001" s="47">
        <f>I1002+I1003+I1004+I1011+I1012+I1013+I1014+I1021+I1024</f>
        <v>1194451</v>
      </c>
      <c r="J1001" s="47">
        <f>J1002+J1003+J1004+J1011+J1012+J1013+J1014+J1021+J1024+J1022</f>
        <v>8678</v>
      </c>
      <c r="K1001" s="47">
        <f t="shared" si="173"/>
        <v>1203129</v>
      </c>
      <c r="L1001" s="174"/>
      <c r="M1001" s="47">
        <f>M1002+M1003+M1004+M1011+M1012+M1013+M1014+M1021</f>
        <v>0</v>
      </c>
      <c r="N1001" s="47">
        <f>N1002+N1003+N1004+N1011+N1012+N1013+N1014+N1021</f>
        <v>0</v>
      </c>
      <c r="O1001" s="47">
        <f t="shared" si="174"/>
        <v>0</v>
      </c>
      <c r="P1001" s="174"/>
      <c r="Q1001" s="47">
        <f t="shared" si="184"/>
        <v>1194451</v>
      </c>
      <c r="R1001" s="47">
        <f t="shared" si="185"/>
        <v>8678</v>
      </c>
      <c r="S1001" s="47">
        <f t="shared" si="185"/>
        <v>1203129</v>
      </c>
    </row>
    <row r="1002" spans="2:19" x14ac:dyDescent="0.2">
      <c r="B1002" s="75">
        <f t="shared" si="175"/>
        <v>354</v>
      </c>
      <c r="C1002" s="15"/>
      <c r="D1002" s="15"/>
      <c r="E1002" s="15"/>
      <c r="F1002" s="52" t="s">
        <v>127</v>
      </c>
      <c r="G1002" s="15">
        <v>610</v>
      </c>
      <c r="H1002" s="15" t="s">
        <v>137</v>
      </c>
      <c r="I1002" s="49">
        <v>258332</v>
      </c>
      <c r="J1002" s="49"/>
      <c r="K1002" s="49">
        <f t="shared" si="173"/>
        <v>258332</v>
      </c>
      <c r="L1002" s="123"/>
      <c r="M1002" s="49"/>
      <c r="N1002" s="49"/>
      <c r="O1002" s="49">
        <f t="shared" si="174"/>
        <v>0</v>
      </c>
      <c r="P1002" s="123"/>
      <c r="Q1002" s="49">
        <f t="shared" si="184"/>
        <v>258332</v>
      </c>
      <c r="R1002" s="49">
        <f t="shared" si="185"/>
        <v>0</v>
      </c>
      <c r="S1002" s="49">
        <f t="shared" si="185"/>
        <v>258332</v>
      </c>
    </row>
    <row r="1003" spans="2:19" x14ac:dyDescent="0.2">
      <c r="B1003" s="75">
        <f t="shared" si="175"/>
        <v>355</v>
      </c>
      <c r="C1003" s="15"/>
      <c r="D1003" s="15"/>
      <c r="E1003" s="15"/>
      <c r="F1003" s="52" t="s">
        <v>127</v>
      </c>
      <c r="G1003" s="15">
        <v>620</v>
      </c>
      <c r="H1003" s="15" t="s">
        <v>132</v>
      </c>
      <c r="I1003" s="49">
        <v>90407</v>
      </c>
      <c r="J1003" s="49"/>
      <c r="K1003" s="49">
        <f t="shared" si="173"/>
        <v>90407</v>
      </c>
      <c r="L1003" s="123"/>
      <c r="M1003" s="49"/>
      <c r="N1003" s="49"/>
      <c r="O1003" s="49">
        <f t="shared" si="174"/>
        <v>0</v>
      </c>
      <c r="P1003" s="123"/>
      <c r="Q1003" s="49">
        <f t="shared" si="184"/>
        <v>90407</v>
      </c>
      <c r="R1003" s="49">
        <f t="shared" si="185"/>
        <v>0</v>
      </c>
      <c r="S1003" s="49">
        <f t="shared" si="185"/>
        <v>90407</v>
      </c>
    </row>
    <row r="1004" spans="2:19" x14ac:dyDescent="0.2">
      <c r="B1004" s="75">
        <f t="shared" si="175"/>
        <v>356</v>
      </c>
      <c r="C1004" s="15"/>
      <c r="D1004" s="15"/>
      <c r="E1004" s="15"/>
      <c r="F1004" s="52" t="s">
        <v>127</v>
      </c>
      <c r="G1004" s="15">
        <v>630</v>
      </c>
      <c r="H1004" s="15" t="s">
        <v>129</v>
      </c>
      <c r="I1004" s="49">
        <f>I1010+I1009+I1008+I1007+I1006+I1005</f>
        <v>71110</v>
      </c>
      <c r="J1004" s="49">
        <f>J1010+J1009+J1008+J1007+J1006+J1005</f>
        <v>0</v>
      </c>
      <c r="K1004" s="49">
        <f t="shared" si="173"/>
        <v>71110</v>
      </c>
      <c r="L1004" s="123"/>
      <c r="M1004" s="49">
        <v>0</v>
      </c>
      <c r="N1004" s="49"/>
      <c r="O1004" s="49">
        <f t="shared" si="174"/>
        <v>0</v>
      </c>
      <c r="P1004" s="123"/>
      <c r="Q1004" s="49">
        <f t="shared" si="184"/>
        <v>71110</v>
      </c>
      <c r="R1004" s="49">
        <f t="shared" si="185"/>
        <v>0</v>
      </c>
      <c r="S1004" s="49">
        <f t="shared" si="185"/>
        <v>71110</v>
      </c>
    </row>
    <row r="1005" spans="2:19" x14ac:dyDescent="0.2">
      <c r="B1005" s="75">
        <f t="shared" si="175"/>
        <v>357</v>
      </c>
      <c r="C1005" s="4"/>
      <c r="D1005" s="4"/>
      <c r="E1005" s="4"/>
      <c r="F1005" s="53" t="s">
        <v>127</v>
      </c>
      <c r="G1005" s="4">
        <v>631</v>
      </c>
      <c r="H1005" s="4" t="s">
        <v>135</v>
      </c>
      <c r="I1005" s="26">
        <v>16</v>
      </c>
      <c r="J1005" s="26"/>
      <c r="K1005" s="26">
        <f t="shared" si="173"/>
        <v>16</v>
      </c>
      <c r="L1005" s="76"/>
      <c r="M1005" s="26"/>
      <c r="N1005" s="26"/>
      <c r="O1005" s="26">
        <f t="shared" si="174"/>
        <v>0</v>
      </c>
      <c r="P1005" s="76"/>
      <c r="Q1005" s="26">
        <f t="shared" si="184"/>
        <v>16</v>
      </c>
      <c r="R1005" s="26">
        <f t="shared" si="185"/>
        <v>0</v>
      </c>
      <c r="S1005" s="26">
        <f t="shared" si="185"/>
        <v>16</v>
      </c>
    </row>
    <row r="1006" spans="2:19" x14ac:dyDescent="0.2">
      <c r="B1006" s="75">
        <f t="shared" si="175"/>
        <v>358</v>
      </c>
      <c r="C1006" s="4"/>
      <c r="D1006" s="4"/>
      <c r="E1006" s="4"/>
      <c r="F1006" s="53" t="s">
        <v>127</v>
      </c>
      <c r="G1006" s="4">
        <v>632</v>
      </c>
      <c r="H1006" s="4" t="s">
        <v>140</v>
      </c>
      <c r="I1006" s="26">
        <v>44888</v>
      </c>
      <c r="J1006" s="26"/>
      <c r="K1006" s="26">
        <f t="shared" si="173"/>
        <v>44888</v>
      </c>
      <c r="L1006" s="76"/>
      <c r="M1006" s="26"/>
      <c r="N1006" s="26"/>
      <c r="O1006" s="26">
        <f t="shared" si="174"/>
        <v>0</v>
      </c>
      <c r="P1006" s="76"/>
      <c r="Q1006" s="26">
        <f t="shared" si="184"/>
        <v>44888</v>
      </c>
      <c r="R1006" s="26">
        <f t="shared" si="185"/>
        <v>0</v>
      </c>
      <c r="S1006" s="26">
        <f t="shared" si="185"/>
        <v>44888</v>
      </c>
    </row>
    <row r="1007" spans="2:19" x14ac:dyDescent="0.2">
      <c r="B1007" s="75">
        <f t="shared" si="175"/>
        <v>359</v>
      </c>
      <c r="C1007" s="4"/>
      <c r="D1007" s="4"/>
      <c r="E1007" s="4"/>
      <c r="F1007" s="53" t="s">
        <v>127</v>
      </c>
      <c r="G1007" s="4">
        <v>633</v>
      </c>
      <c r="H1007" s="4" t="s">
        <v>133</v>
      </c>
      <c r="I1007" s="26">
        <v>11589</v>
      </c>
      <c r="J1007" s="26"/>
      <c r="K1007" s="26">
        <f t="shared" si="173"/>
        <v>11589</v>
      </c>
      <c r="L1007" s="76"/>
      <c r="M1007" s="26"/>
      <c r="N1007" s="26"/>
      <c r="O1007" s="26">
        <f t="shared" si="174"/>
        <v>0</v>
      </c>
      <c r="P1007" s="76"/>
      <c r="Q1007" s="26">
        <f t="shared" si="184"/>
        <v>11589</v>
      </c>
      <c r="R1007" s="26">
        <f t="shared" si="185"/>
        <v>0</v>
      </c>
      <c r="S1007" s="26">
        <f t="shared" si="185"/>
        <v>11589</v>
      </c>
    </row>
    <row r="1008" spans="2:19" x14ac:dyDescent="0.2">
      <c r="B1008" s="75">
        <f t="shared" si="175"/>
        <v>360</v>
      </c>
      <c r="C1008" s="4"/>
      <c r="D1008" s="4"/>
      <c r="E1008" s="4"/>
      <c r="F1008" s="53" t="s">
        <v>127</v>
      </c>
      <c r="G1008" s="4">
        <v>634</v>
      </c>
      <c r="H1008" s="4" t="s">
        <v>138</v>
      </c>
      <c r="I1008" s="26">
        <v>10</v>
      </c>
      <c r="J1008" s="26"/>
      <c r="K1008" s="26">
        <f t="shared" si="173"/>
        <v>10</v>
      </c>
      <c r="L1008" s="76"/>
      <c r="M1008" s="26"/>
      <c r="N1008" s="26"/>
      <c r="O1008" s="26">
        <f t="shared" si="174"/>
        <v>0</v>
      </c>
      <c r="P1008" s="76"/>
      <c r="Q1008" s="26">
        <f t="shared" si="184"/>
        <v>10</v>
      </c>
      <c r="R1008" s="26">
        <f t="shared" si="185"/>
        <v>0</v>
      </c>
      <c r="S1008" s="26">
        <f t="shared" si="185"/>
        <v>10</v>
      </c>
    </row>
    <row r="1009" spans="2:19" x14ac:dyDescent="0.2">
      <c r="B1009" s="75">
        <f t="shared" si="175"/>
        <v>361</v>
      </c>
      <c r="C1009" s="4"/>
      <c r="D1009" s="4"/>
      <c r="E1009" s="4"/>
      <c r="F1009" s="53" t="s">
        <v>127</v>
      </c>
      <c r="G1009" s="4">
        <v>635</v>
      </c>
      <c r="H1009" s="4" t="s">
        <v>139</v>
      </c>
      <c r="I1009" s="26">
        <v>5953</v>
      </c>
      <c r="J1009" s="26"/>
      <c r="K1009" s="26">
        <f t="shared" si="173"/>
        <v>5953</v>
      </c>
      <c r="L1009" s="76"/>
      <c r="M1009" s="26"/>
      <c r="N1009" s="26"/>
      <c r="O1009" s="26">
        <f t="shared" si="174"/>
        <v>0</v>
      </c>
      <c r="P1009" s="76"/>
      <c r="Q1009" s="26">
        <f t="shared" si="184"/>
        <v>5953</v>
      </c>
      <c r="R1009" s="26">
        <f t="shared" si="185"/>
        <v>0</v>
      </c>
      <c r="S1009" s="26">
        <f t="shared" si="185"/>
        <v>5953</v>
      </c>
    </row>
    <row r="1010" spans="2:19" x14ac:dyDescent="0.2">
      <c r="B1010" s="75">
        <f t="shared" si="175"/>
        <v>362</v>
      </c>
      <c r="C1010" s="4"/>
      <c r="D1010" s="4"/>
      <c r="E1010" s="4"/>
      <c r="F1010" s="53" t="s">
        <v>127</v>
      </c>
      <c r="G1010" s="4">
        <v>637</v>
      </c>
      <c r="H1010" s="4" t="s">
        <v>130</v>
      </c>
      <c r="I1010" s="26">
        <v>8654</v>
      </c>
      <c r="J1010" s="26"/>
      <c r="K1010" s="26">
        <f t="shared" si="173"/>
        <v>8654</v>
      </c>
      <c r="L1010" s="76"/>
      <c r="M1010" s="26"/>
      <c r="N1010" s="26"/>
      <c r="O1010" s="26">
        <f t="shared" si="174"/>
        <v>0</v>
      </c>
      <c r="P1010" s="76"/>
      <c r="Q1010" s="26">
        <f t="shared" si="184"/>
        <v>8654</v>
      </c>
      <c r="R1010" s="26">
        <f t="shared" si="185"/>
        <v>0</v>
      </c>
      <c r="S1010" s="26">
        <f t="shared" si="185"/>
        <v>8654</v>
      </c>
    </row>
    <row r="1011" spans="2:19" x14ac:dyDescent="0.2">
      <c r="B1011" s="75">
        <f t="shared" si="175"/>
        <v>363</v>
      </c>
      <c r="C1011" s="15"/>
      <c r="D1011" s="15"/>
      <c r="E1011" s="15"/>
      <c r="F1011" s="52" t="s">
        <v>127</v>
      </c>
      <c r="G1011" s="15">
        <v>640</v>
      </c>
      <c r="H1011" s="15" t="s">
        <v>136</v>
      </c>
      <c r="I1011" s="49">
        <v>3682</v>
      </c>
      <c r="J1011" s="49"/>
      <c r="K1011" s="49">
        <f t="shared" si="173"/>
        <v>3682</v>
      </c>
      <c r="L1011" s="123"/>
      <c r="M1011" s="49"/>
      <c r="N1011" s="49"/>
      <c r="O1011" s="49">
        <f t="shared" si="174"/>
        <v>0</v>
      </c>
      <c r="P1011" s="123"/>
      <c r="Q1011" s="49">
        <f t="shared" si="184"/>
        <v>3682</v>
      </c>
      <c r="R1011" s="49">
        <f t="shared" si="185"/>
        <v>0</v>
      </c>
      <c r="S1011" s="49">
        <f t="shared" si="185"/>
        <v>3682</v>
      </c>
    </row>
    <row r="1012" spans="2:19" x14ac:dyDescent="0.2">
      <c r="B1012" s="75">
        <f t="shared" si="175"/>
        <v>364</v>
      </c>
      <c r="C1012" s="15"/>
      <c r="D1012" s="15"/>
      <c r="E1012" s="15"/>
      <c r="F1012" s="52" t="s">
        <v>272</v>
      </c>
      <c r="G1012" s="15">
        <v>610</v>
      </c>
      <c r="H1012" s="15" t="s">
        <v>137</v>
      </c>
      <c r="I1012" s="49">
        <v>409993</v>
      </c>
      <c r="J1012" s="49"/>
      <c r="K1012" s="49">
        <f t="shared" si="173"/>
        <v>409993</v>
      </c>
      <c r="L1012" s="123"/>
      <c r="M1012" s="49"/>
      <c r="N1012" s="49"/>
      <c r="O1012" s="49">
        <f t="shared" si="174"/>
        <v>0</v>
      </c>
      <c r="P1012" s="123"/>
      <c r="Q1012" s="49">
        <f t="shared" si="184"/>
        <v>409993</v>
      </c>
      <c r="R1012" s="49">
        <f t="shared" si="185"/>
        <v>0</v>
      </c>
      <c r="S1012" s="49">
        <f t="shared" si="185"/>
        <v>409993</v>
      </c>
    </row>
    <row r="1013" spans="2:19" x14ac:dyDescent="0.2">
      <c r="B1013" s="75">
        <f t="shared" si="175"/>
        <v>365</v>
      </c>
      <c r="C1013" s="15"/>
      <c r="D1013" s="15"/>
      <c r="E1013" s="15"/>
      <c r="F1013" s="52" t="s">
        <v>272</v>
      </c>
      <c r="G1013" s="15">
        <v>620</v>
      </c>
      <c r="H1013" s="15" t="s">
        <v>132</v>
      </c>
      <c r="I1013" s="49">
        <v>143470</v>
      </c>
      <c r="J1013" s="49"/>
      <c r="K1013" s="49">
        <f t="shared" si="173"/>
        <v>143470</v>
      </c>
      <c r="L1013" s="123"/>
      <c r="M1013" s="49"/>
      <c r="N1013" s="49"/>
      <c r="O1013" s="49">
        <f t="shared" si="174"/>
        <v>0</v>
      </c>
      <c r="P1013" s="123"/>
      <c r="Q1013" s="49">
        <f t="shared" si="184"/>
        <v>143470</v>
      </c>
      <c r="R1013" s="49">
        <f t="shared" si="185"/>
        <v>0</v>
      </c>
      <c r="S1013" s="49">
        <f t="shared" si="185"/>
        <v>143470</v>
      </c>
    </row>
    <row r="1014" spans="2:19" x14ac:dyDescent="0.2">
      <c r="B1014" s="75">
        <f t="shared" si="175"/>
        <v>366</v>
      </c>
      <c r="C1014" s="15"/>
      <c r="D1014" s="15"/>
      <c r="E1014" s="15"/>
      <c r="F1014" s="52" t="s">
        <v>272</v>
      </c>
      <c r="G1014" s="15">
        <v>630</v>
      </c>
      <c r="H1014" s="15" t="s">
        <v>129</v>
      </c>
      <c r="I1014" s="49">
        <f>I1020+I1019+I1018+I1017+I1016+I1015</f>
        <v>193434</v>
      </c>
      <c r="J1014" s="49">
        <f>J1020+J1019+J1018+J1017+J1016+J1015</f>
        <v>8250</v>
      </c>
      <c r="K1014" s="49">
        <f t="shared" si="173"/>
        <v>201684</v>
      </c>
      <c r="L1014" s="123"/>
      <c r="M1014" s="49">
        <f>M1020+M1019+M1018+M1017+M1016+M1015</f>
        <v>0</v>
      </c>
      <c r="N1014" s="49">
        <f>N1020+N1019+N1018+N1017+N1016+N1015</f>
        <v>0</v>
      </c>
      <c r="O1014" s="49">
        <f t="shared" si="174"/>
        <v>0</v>
      </c>
      <c r="P1014" s="123"/>
      <c r="Q1014" s="49">
        <f t="shared" si="184"/>
        <v>193434</v>
      </c>
      <c r="R1014" s="49">
        <f t="shared" ref="R1014:S1021" si="186">N1014+J1014</f>
        <v>8250</v>
      </c>
      <c r="S1014" s="49">
        <f t="shared" si="186"/>
        <v>201684</v>
      </c>
    </row>
    <row r="1015" spans="2:19" x14ac:dyDescent="0.2">
      <c r="B1015" s="75">
        <f t="shared" si="175"/>
        <v>367</v>
      </c>
      <c r="C1015" s="4"/>
      <c r="D1015" s="4"/>
      <c r="E1015" s="4"/>
      <c r="F1015" s="53" t="s">
        <v>272</v>
      </c>
      <c r="G1015" s="4">
        <v>631</v>
      </c>
      <c r="H1015" s="4" t="s">
        <v>135</v>
      </c>
      <c r="I1015" s="26">
        <v>24</v>
      </c>
      <c r="J1015" s="26"/>
      <c r="K1015" s="26">
        <f t="shared" si="173"/>
        <v>24</v>
      </c>
      <c r="L1015" s="76"/>
      <c r="M1015" s="26"/>
      <c r="N1015" s="26"/>
      <c r="O1015" s="26">
        <f t="shared" si="174"/>
        <v>0</v>
      </c>
      <c r="P1015" s="76"/>
      <c r="Q1015" s="26">
        <f t="shared" si="184"/>
        <v>24</v>
      </c>
      <c r="R1015" s="26">
        <f t="shared" si="186"/>
        <v>0</v>
      </c>
      <c r="S1015" s="26">
        <f t="shared" si="186"/>
        <v>24</v>
      </c>
    </row>
    <row r="1016" spans="2:19" x14ac:dyDescent="0.2">
      <c r="B1016" s="75">
        <f t="shared" si="175"/>
        <v>368</v>
      </c>
      <c r="C1016" s="4"/>
      <c r="D1016" s="4"/>
      <c r="E1016" s="4"/>
      <c r="F1016" s="53" t="s">
        <v>272</v>
      </c>
      <c r="G1016" s="4">
        <v>632</v>
      </c>
      <c r="H1016" s="4" t="s">
        <v>140</v>
      </c>
      <c r="I1016" s="26">
        <v>123407</v>
      </c>
      <c r="J1016" s="26"/>
      <c r="K1016" s="26">
        <f t="shared" si="173"/>
        <v>123407</v>
      </c>
      <c r="L1016" s="76"/>
      <c r="M1016" s="26"/>
      <c r="N1016" s="26"/>
      <c r="O1016" s="26">
        <f t="shared" si="174"/>
        <v>0</v>
      </c>
      <c r="P1016" s="76"/>
      <c r="Q1016" s="26">
        <f t="shared" si="184"/>
        <v>123407</v>
      </c>
      <c r="R1016" s="26">
        <f t="shared" si="186"/>
        <v>0</v>
      </c>
      <c r="S1016" s="26">
        <f t="shared" si="186"/>
        <v>123407</v>
      </c>
    </row>
    <row r="1017" spans="2:19" x14ac:dyDescent="0.2">
      <c r="B1017" s="75">
        <f t="shared" si="175"/>
        <v>369</v>
      </c>
      <c r="C1017" s="4"/>
      <c r="D1017" s="4"/>
      <c r="E1017" s="4"/>
      <c r="F1017" s="53" t="s">
        <v>272</v>
      </c>
      <c r="G1017" s="4">
        <v>633</v>
      </c>
      <c r="H1017" s="4" t="s">
        <v>133</v>
      </c>
      <c r="I1017" s="26">
        <v>28935</v>
      </c>
      <c r="J1017" s="26"/>
      <c r="K1017" s="26">
        <f t="shared" si="173"/>
        <v>28935</v>
      </c>
      <c r="L1017" s="76"/>
      <c r="M1017" s="26"/>
      <c r="N1017" s="26"/>
      <c r="O1017" s="26">
        <f t="shared" si="174"/>
        <v>0</v>
      </c>
      <c r="P1017" s="76"/>
      <c r="Q1017" s="26">
        <f t="shared" si="184"/>
        <v>28935</v>
      </c>
      <c r="R1017" s="26">
        <f t="shared" si="186"/>
        <v>0</v>
      </c>
      <c r="S1017" s="26">
        <f t="shared" si="186"/>
        <v>28935</v>
      </c>
    </row>
    <row r="1018" spans="2:19" x14ac:dyDescent="0.2">
      <c r="B1018" s="75">
        <f t="shared" si="175"/>
        <v>370</v>
      </c>
      <c r="C1018" s="4"/>
      <c r="D1018" s="4"/>
      <c r="E1018" s="4"/>
      <c r="F1018" s="53" t="s">
        <v>272</v>
      </c>
      <c r="G1018" s="4">
        <v>634</v>
      </c>
      <c r="H1018" s="4" t="s">
        <v>138</v>
      </c>
      <c r="I1018" s="26">
        <v>15</v>
      </c>
      <c r="J1018" s="26"/>
      <c r="K1018" s="26">
        <f t="shared" si="173"/>
        <v>15</v>
      </c>
      <c r="L1018" s="76"/>
      <c r="M1018" s="26"/>
      <c r="N1018" s="26"/>
      <c r="O1018" s="26">
        <f t="shared" si="174"/>
        <v>0</v>
      </c>
      <c r="P1018" s="76"/>
      <c r="Q1018" s="26">
        <f t="shared" si="184"/>
        <v>15</v>
      </c>
      <c r="R1018" s="26">
        <f t="shared" si="186"/>
        <v>0</v>
      </c>
      <c r="S1018" s="26">
        <f t="shared" si="186"/>
        <v>15</v>
      </c>
    </row>
    <row r="1019" spans="2:19" x14ac:dyDescent="0.2">
      <c r="B1019" s="75">
        <f t="shared" si="175"/>
        <v>371</v>
      </c>
      <c r="C1019" s="4"/>
      <c r="D1019" s="4"/>
      <c r="E1019" s="4"/>
      <c r="F1019" s="53" t="s">
        <v>272</v>
      </c>
      <c r="G1019" s="4">
        <v>635</v>
      </c>
      <c r="H1019" s="4" t="s">
        <v>139</v>
      </c>
      <c r="I1019" s="26">
        <v>11128</v>
      </c>
      <c r="J1019" s="26"/>
      <c r="K1019" s="26">
        <f t="shared" si="173"/>
        <v>11128</v>
      </c>
      <c r="L1019" s="76"/>
      <c r="M1019" s="26"/>
      <c r="N1019" s="26"/>
      <c r="O1019" s="26">
        <f t="shared" si="174"/>
        <v>0</v>
      </c>
      <c r="P1019" s="76"/>
      <c r="Q1019" s="26">
        <f t="shared" si="184"/>
        <v>11128</v>
      </c>
      <c r="R1019" s="26">
        <f t="shared" si="186"/>
        <v>0</v>
      </c>
      <c r="S1019" s="26">
        <f t="shared" si="186"/>
        <v>11128</v>
      </c>
    </row>
    <row r="1020" spans="2:19" x14ac:dyDescent="0.2">
      <c r="B1020" s="75">
        <f t="shared" si="175"/>
        <v>372</v>
      </c>
      <c r="C1020" s="4"/>
      <c r="D1020" s="4"/>
      <c r="E1020" s="4"/>
      <c r="F1020" s="53" t="s">
        <v>272</v>
      </c>
      <c r="G1020" s="4">
        <v>637</v>
      </c>
      <c r="H1020" s="4" t="s">
        <v>130</v>
      </c>
      <c r="I1020" s="26">
        <v>29925</v>
      </c>
      <c r="J1020" s="26">
        <v>8250</v>
      </c>
      <c r="K1020" s="26">
        <f t="shared" si="173"/>
        <v>38175</v>
      </c>
      <c r="L1020" s="76"/>
      <c r="M1020" s="26"/>
      <c r="N1020" s="26"/>
      <c r="O1020" s="26">
        <f t="shared" si="174"/>
        <v>0</v>
      </c>
      <c r="P1020" s="76"/>
      <c r="Q1020" s="26">
        <f t="shared" si="184"/>
        <v>29925</v>
      </c>
      <c r="R1020" s="26">
        <f t="shared" si="186"/>
        <v>8250</v>
      </c>
      <c r="S1020" s="26">
        <f t="shared" si="186"/>
        <v>38175</v>
      </c>
    </row>
    <row r="1021" spans="2:19" x14ac:dyDescent="0.2">
      <c r="B1021" s="75">
        <f t="shared" si="175"/>
        <v>373</v>
      </c>
      <c r="C1021" s="15"/>
      <c r="D1021" s="15"/>
      <c r="E1021" s="15"/>
      <c r="F1021" s="52" t="s">
        <v>272</v>
      </c>
      <c r="G1021" s="15">
        <v>640</v>
      </c>
      <c r="H1021" s="15" t="s">
        <v>136</v>
      </c>
      <c r="I1021" s="49">
        <v>5523</v>
      </c>
      <c r="J1021" s="49"/>
      <c r="K1021" s="49">
        <f t="shared" si="173"/>
        <v>5523</v>
      </c>
      <c r="L1021" s="123"/>
      <c r="M1021" s="49"/>
      <c r="N1021" s="49"/>
      <c r="O1021" s="49">
        <f t="shared" si="174"/>
        <v>0</v>
      </c>
      <c r="P1021" s="123"/>
      <c r="Q1021" s="49">
        <f t="shared" si="184"/>
        <v>5523</v>
      </c>
      <c r="R1021" s="49">
        <f t="shared" si="186"/>
        <v>0</v>
      </c>
      <c r="S1021" s="49">
        <f t="shared" si="186"/>
        <v>5523</v>
      </c>
    </row>
    <row r="1022" spans="2:19" x14ac:dyDescent="0.2">
      <c r="B1022" s="75">
        <f t="shared" si="175"/>
        <v>374</v>
      </c>
      <c r="C1022" s="15"/>
      <c r="D1022" s="15"/>
      <c r="E1022" s="15"/>
      <c r="F1022" s="52" t="s">
        <v>77</v>
      </c>
      <c r="G1022" s="15">
        <v>640</v>
      </c>
      <c r="H1022" s="15" t="s">
        <v>672</v>
      </c>
      <c r="I1022" s="49">
        <v>0</v>
      </c>
      <c r="J1022" s="49">
        <v>428</v>
      </c>
      <c r="K1022" s="49">
        <f t="shared" si="173"/>
        <v>428</v>
      </c>
      <c r="L1022" s="123"/>
      <c r="M1022" s="49"/>
      <c r="N1022" s="49"/>
      <c r="O1022" s="49"/>
      <c r="P1022" s="123"/>
      <c r="Q1022" s="49">
        <f t="shared" si="184"/>
        <v>0</v>
      </c>
      <c r="R1022" s="49">
        <f t="shared" ref="R1022" si="187">N1022+J1022</f>
        <v>428</v>
      </c>
      <c r="S1022" s="49">
        <f t="shared" ref="S1022" si="188">O1022+K1022</f>
        <v>428</v>
      </c>
    </row>
    <row r="1023" spans="2:19" x14ac:dyDescent="0.2">
      <c r="B1023" s="75">
        <f t="shared" si="175"/>
        <v>375</v>
      </c>
      <c r="C1023" s="15"/>
      <c r="D1023" s="15"/>
      <c r="E1023" s="15"/>
      <c r="F1023" s="52"/>
      <c r="G1023" s="15"/>
      <c r="H1023" s="15"/>
      <c r="I1023" s="49"/>
      <c r="J1023" s="49"/>
      <c r="K1023" s="49"/>
      <c r="L1023" s="123"/>
      <c r="M1023" s="49"/>
      <c r="N1023" s="49"/>
      <c r="O1023" s="49">
        <f t="shared" si="174"/>
        <v>0</v>
      </c>
      <c r="P1023" s="123"/>
      <c r="Q1023" s="49"/>
      <c r="R1023" s="49"/>
      <c r="S1023" s="49"/>
    </row>
    <row r="1024" spans="2:19" x14ac:dyDescent="0.2">
      <c r="B1024" s="75">
        <f t="shared" si="175"/>
        <v>376</v>
      </c>
      <c r="C1024" s="15"/>
      <c r="D1024" s="15"/>
      <c r="E1024" s="15"/>
      <c r="F1024" s="52"/>
      <c r="G1024" s="15">
        <v>630</v>
      </c>
      <c r="H1024" s="15" t="s">
        <v>624</v>
      </c>
      <c r="I1024" s="49">
        <v>18500</v>
      </c>
      <c r="J1024" s="49"/>
      <c r="K1024" s="49">
        <f t="shared" si="173"/>
        <v>18500</v>
      </c>
      <c r="L1024" s="123"/>
      <c r="M1024" s="49"/>
      <c r="N1024" s="49"/>
      <c r="O1024" s="49">
        <f t="shared" si="174"/>
        <v>0</v>
      </c>
      <c r="P1024" s="123"/>
      <c r="Q1024" s="49">
        <f t="shared" ref="Q1024:Q1048" si="189">M1024+I1024</f>
        <v>18500</v>
      </c>
      <c r="R1024" s="49">
        <f t="shared" ref="R1024:S1039" si="190">N1024+J1024</f>
        <v>0</v>
      </c>
      <c r="S1024" s="49">
        <f t="shared" si="190"/>
        <v>18500</v>
      </c>
    </row>
    <row r="1025" spans="2:19" ht="15" x14ac:dyDescent="0.25">
      <c r="B1025" s="75">
        <f t="shared" si="175"/>
        <v>377</v>
      </c>
      <c r="C1025" s="18"/>
      <c r="D1025" s="18"/>
      <c r="E1025" s="18">
        <v>12</v>
      </c>
      <c r="F1025" s="50"/>
      <c r="G1025" s="18"/>
      <c r="H1025" s="18" t="s">
        <v>274</v>
      </c>
      <c r="I1025" s="47">
        <f>I1026+I1027+I1028+I1036+I1037+I1038+I1039+I1047+I1050</f>
        <v>1019530</v>
      </c>
      <c r="J1025" s="47">
        <f>J1026+J1027+J1028+J1036+J1037+J1038+J1039+J1047+J1050+J1048</f>
        <v>8520</v>
      </c>
      <c r="K1025" s="47">
        <f t="shared" si="173"/>
        <v>1028050</v>
      </c>
      <c r="L1025" s="174"/>
      <c r="M1025" s="47">
        <f>M1026+M1027+M1028+M1036+M1037+M1038+M1039+M1047</f>
        <v>0</v>
      </c>
      <c r="N1025" s="47">
        <f>N1026+N1027+N1028+N1036+N1037+N1038+N1039+N1047</f>
        <v>0</v>
      </c>
      <c r="O1025" s="47">
        <f t="shared" si="174"/>
        <v>0</v>
      </c>
      <c r="P1025" s="174"/>
      <c r="Q1025" s="47">
        <f t="shared" si="189"/>
        <v>1019530</v>
      </c>
      <c r="R1025" s="47">
        <f t="shared" si="190"/>
        <v>8520</v>
      </c>
      <c r="S1025" s="47">
        <f t="shared" si="190"/>
        <v>1028050</v>
      </c>
    </row>
    <row r="1026" spans="2:19" x14ac:dyDescent="0.2">
      <c r="B1026" s="75">
        <f t="shared" si="175"/>
        <v>378</v>
      </c>
      <c r="C1026" s="15"/>
      <c r="D1026" s="15"/>
      <c r="E1026" s="15"/>
      <c r="F1026" s="52" t="s">
        <v>127</v>
      </c>
      <c r="G1026" s="15">
        <v>610</v>
      </c>
      <c r="H1026" s="15" t="s">
        <v>137</v>
      </c>
      <c r="I1026" s="49">
        <v>264569</v>
      </c>
      <c r="J1026" s="49"/>
      <c r="K1026" s="49">
        <f t="shared" si="173"/>
        <v>264569</v>
      </c>
      <c r="L1026" s="123"/>
      <c r="M1026" s="49"/>
      <c r="N1026" s="49"/>
      <c r="O1026" s="49">
        <f t="shared" si="174"/>
        <v>0</v>
      </c>
      <c r="P1026" s="123"/>
      <c r="Q1026" s="49">
        <f t="shared" si="189"/>
        <v>264569</v>
      </c>
      <c r="R1026" s="49">
        <f t="shared" si="190"/>
        <v>0</v>
      </c>
      <c r="S1026" s="49">
        <f t="shared" si="190"/>
        <v>264569</v>
      </c>
    </row>
    <row r="1027" spans="2:19" x14ac:dyDescent="0.2">
      <c r="B1027" s="75">
        <f t="shared" si="175"/>
        <v>379</v>
      </c>
      <c r="C1027" s="15"/>
      <c r="D1027" s="15"/>
      <c r="E1027" s="15"/>
      <c r="F1027" s="52" t="s">
        <v>127</v>
      </c>
      <c r="G1027" s="15">
        <v>620</v>
      </c>
      <c r="H1027" s="15" t="s">
        <v>132</v>
      </c>
      <c r="I1027" s="49">
        <v>97360</v>
      </c>
      <c r="J1027" s="49"/>
      <c r="K1027" s="49">
        <f t="shared" si="173"/>
        <v>97360</v>
      </c>
      <c r="L1027" s="123"/>
      <c r="M1027" s="49"/>
      <c r="N1027" s="49"/>
      <c r="O1027" s="49">
        <f t="shared" si="174"/>
        <v>0</v>
      </c>
      <c r="P1027" s="123"/>
      <c r="Q1027" s="49">
        <f t="shared" si="189"/>
        <v>97360</v>
      </c>
      <c r="R1027" s="49">
        <f t="shared" si="190"/>
        <v>0</v>
      </c>
      <c r="S1027" s="49">
        <f t="shared" si="190"/>
        <v>97360</v>
      </c>
    </row>
    <row r="1028" spans="2:19" x14ac:dyDescent="0.2">
      <c r="B1028" s="75">
        <f t="shared" si="175"/>
        <v>380</v>
      </c>
      <c r="C1028" s="15"/>
      <c r="D1028" s="15"/>
      <c r="E1028" s="15"/>
      <c r="F1028" s="52" t="s">
        <v>127</v>
      </c>
      <c r="G1028" s="15">
        <v>630</v>
      </c>
      <c r="H1028" s="15" t="s">
        <v>129</v>
      </c>
      <c r="I1028" s="49">
        <f>I1035+I1034+I1033+I1032+I1031+I1030+I1029</f>
        <v>75345</v>
      </c>
      <c r="J1028" s="49">
        <f>J1035+J1034+J1033+J1032+J1031+J1030+J1029</f>
        <v>0</v>
      </c>
      <c r="K1028" s="49">
        <f t="shared" si="173"/>
        <v>75345</v>
      </c>
      <c r="L1028" s="123"/>
      <c r="M1028" s="49">
        <v>0</v>
      </c>
      <c r="N1028" s="49"/>
      <c r="O1028" s="49">
        <f t="shared" si="174"/>
        <v>0</v>
      </c>
      <c r="P1028" s="123"/>
      <c r="Q1028" s="49">
        <f t="shared" si="189"/>
        <v>75345</v>
      </c>
      <c r="R1028" s="49">
        <f t="shared" si="190"/>
        <v>0</v>
      </c>
      <c r="S1028" s="49">
        <f t="shared" si="190"/>
        <v>75345</v>
      </c>
    </row>
    <row r="1029" spans="2:19" x14ac:dyDescent="0.2">
      <c r="B1029" s="75">
        <f t="shared" si="175"/>
        <v>381</v>
      </c>
      <c r="C1029" s="4"/>
      <c r="D1029" s="4"/>
      <c r="E1029" s="4"/>
      <c r="F1029" s="53" t="s">
        <v>127</v>
      </c>
      <c r="G1029" s="4">
        <v>631</v>
      </c>
      <c r="H1029" s="4" t="s">
        <v>135</v>
      </c>
      <c r="I1029" s="26">
        <v>275</v>
      </c>
      <c r="J1029" s="26"/>
      <c r="K1029" s="26">
        <f t="shared" si="173"/>
        <v>275</v>
      </c>
      <c r="L1029" s="76"/>
      <c r="M1029" s="26"/>
      <c r="N1029" s="26"/>
      <c r="O1029" s="26">
        <f t="shared" si="174"/>
        <v>0</v>
      </c>
      <c r="P1029" s="76"/>
      <c r="Q1029" s="26">
        <f t="shared" si="189"/>
        <v>275</v>
      </c>
      <c r="R1029" s="26">
        <f t="shared" si="190"/>
        <v>0</v>
      </c>
      <c r="S1029" s="26">
        <f t="shared" si="190"/>
        <v>275</v>
      </c>
    </row>
    <row r="1030" spans="2:19" x14ac:dyDescent="0.2">
      <c r="B1030" s="75">
        <f t="shared" si="175"/>
        <v>382</v>
      </c>
      <c r="C1030" s="4"/>
      <c r="D1030" s="4"/>
      <c r="E1030" s="4"/>
      <c r="F1030" s="53" t="s">
        <v>127</v>
      </c>
      <c r="G1030" s="4">
        <v>632</v>
      </c>
      <c r="H1030" s="4" t="s">
        <v>140</v>
      </c>
      <c r="I1030" s="26">
        <v>25934</v>
      </c>
      <c r="J1030" s="26"/>
      <c r="K1030" s="26">
        <f t="shared" si="173"/>
        <v>25934</v>
      </c>
      <c r="L1030" s="76"/>
      <c r="M1030" s="26"/>
      <c r="N1030" s="26"/>
      <c r="O1030" s="26">
        <f t="shared" si="174"/>
        <v>0</v>
      </c>
      <c r="P1030" s="76"/>
      <c r="Q1030" s="26">
        <f t="shared" si="189"/>
        <v>25934</v>
      </c>
      <c r="R1030" s="26">
        <f t="shared" si="190"/>
        <v>0</v>
      </c>
      <c r="S1030" s="26">
        <f t="shared" si="190"/>
        <v>25934</v>
      </c>
    </row>
    <row r="1031" spans="2:19" x14ac:dyDescent="0.2">
      <c r="B1031" s="75">
        <f t="shared" si="175"/>
        <v>383</v>
      </c>
      <c r="C1031" s="4"/>
      <c r="D1031" s="4"/>
      <c r="E1031" s="4"/>
      <c r="F1031" s="53" t="s">
        <v>127</v>
      </c>
      <c r="G1031" s="4">
        <v>633</v>
      </c>
      <c r="H1031" s="4" t="s">
        <v>133</v>
      </c>
      <c r="I1031" s="26">
        <v>13589</v>
      </c>
      <c r="J1031" s="26"/>
      <c r="K1031" s="26">
        <f t="shared" si="173"/>
        <v>13589</v>
      </c>
      <c r="L1031" s="76"/>
      <c r="M1031" s="26"/>
      <c r="N1031" s="26"/>
      <c r="O1031" s="26">
        <f t="shared" si="174"/>
        <v>0</v>
      </c>
      <c r="P1031" s="76"/>
      <c r="Q1031" s="26">
        <f t="shared" si="189"/>
        <v>13589</v>
      </c>
      <c r="R1031" s="26">
        <f t="shared" si="190"/>
        <v>0</v>
      </c>
      <c r="S1031" s="26">
        <f t="shared" si="190"/>
        <v>13589</v>
      </c>
    </row>
    <row r="1032" spans="2:19" x14ac:dyDescent="0.2">
      <c r="B1032" s="75">
        <f t="shared" si="175"/>
        <v>384</v>
      </c>
      <c r="C1032" s="4"/>
      <c r="D1032" s="4"/>
      <c r="E1032" s="4"/>
      <c r="F1032" s="53" t="s">
        <v>127</v>
      </c>
      <c r="G1032" s="4">
        <v>634</v>
      </c>
      <c r="H1032" s="4" t="s">
        <v>138</v>
      </c>
      <c r="I1032" s="26">
        <v>112</v>
      </c>
      <c r="J1032" s="26"/>
      <c r="K1032" s="26">
        <f t="shared" si="173"/>
        <v>112</v>
      </c>
      <c r="L1032" s="76"/>
      <c r="M1032" s="26"/>
      <c r="N1032" s="26"/>
      <c r="O1032" s="26">
        <f t="shared" si="174"/>
        <v>0</v>
      </c>
      <c r="P1032" s="76"/>
      <c r="Q1032" s="26">
        <f t="shared" si="189"/>
        <v>112</v>
      </c>
      <c r="R1032" s="26">
        <f t="shared" si="190"/>
        <v>0</v>
      </c>
      <c r="S1032" s="26">
        <f t="shared" si="190"/>
        <v>112</v>
      </c>
    </row>
    <row r="1033" spans="2:19" x14ac:dyDescent="0.2">
      <c r="B1033" s="75">
        <f t="shared" si="175"/>
        <v>385</v>
      </c>
      <c r="C1033" s="4"/>
      <c r="D1033" s="4"/>
      <c r="E1033" s="4"/>
      <c r="F1033" s="53" t="s">
        <v>127</v>
      </c>
      <c r="G1033" s="4">
        <v>635</v>
      </c>
      <c r="H1033" s="4" t="s">
        <v>139</v>
      </c>
      <c r="I1033" s="26">
        <v>19655</v>
      </c>
      <c r="J1033" s="26"/>
      <c r="K1033" s="26">
        <f t="shared" si="173"/>
        <v>19655</v>
      </c>
      <c r="L1033" s="76"/>
      <c r="M1033" s="26"/>
      <c r="N1033" s="26"/>
      <c r="O1033" s="26">
        <f t="shared" si="174"/>
        <v>0</v>
      </c>
      <c r="P1033" s="76"/>
      <c r="Q1033" s="26">
        <f t="shared" si="189"/>
        <v>19655</v>
      </c>
      <c r="R1033" s="26">
        <f t="shared" si="190"/>
        <v>0</v>
      </c>
      <c r="S1033" s="26">
        <f t="shared" si="190"/>
        <v>19655</v>
      </c>
    </row>
    <row r="1034" spans="2:19" x14ac:dyDescent="0.2">
      <c r="B1034" s="75">
        <f t="shared" si="175"/>
        <v>386</v>
      </c>
      <c r="C1034" s="4"/>
      <c r="D1034" s="4"/>
      <c r="E1034" s="4"/>
      <c r="F1034" s="53" t="s">
        <v>127</v>
      </c>
      <c r="G1034" s="4">
        <v>636</v>
      </c>
      <c r="H1034" s="4" t="s">
        <v>134</v>
      </c>
      <c r="I1034" s="26">
        <v>1056</v>
      </c>
      <c r="J1034" s="26"/>
      <c r="K1034" s="26">
        <f t="shared" si="173"/>
        <v>1056</v>
      </c>
      <c r="L1034" s="76"/>
      <c r="M1034" s="26"/>
      <c r="N1034" s="26"/>
      <c r="O1034" s="26">
        <f t="shared" si="174"/>
        <v>0</v>
      </c>
      <c r="P1034" s="76"/>
      <c r="Q1034" s="26">
        <f t="shared" si="189"/>
        <v>1056</v>
      </c>
      <c r="R1034" s="26">
        <f t="shared" si="190"/>
        <v>0</v>
      </c>
      <c r="S1034" s="26">
        <f t="shared" si="190"/>
        <v>1056</v>
      </c>
    </row>
    <row r="1035" spans="2:19" x14ac:dyDescent="0.2">
      <c r="B1035" s="75">
        <f t="shared" si="175"/>
        <v>387</v>
      </c>
      <c r="C1035" s="4"/>
      <c r="D1035" s="4"/>
      <c r="E1035" s="4"/>
      <c r="F1035" s="53" t="s">
        <v>127</v>
      </c>
      <c r="G1035" s="4">
        <v>637</v>
      </c>
      <c r="H1035" s="4" t="s">
        <v>130</v>
      </c>
      <c r="I1035" s="26">
        <v>14724</v>
      </c>
      <c r="J1035" s="26"/>
      <c r="K1035" s="26">
        <f t="shared" si="173"/>
        <v>14724</v>
      </c>
      <c r="L1035" s="76"/>
      <c r="M1035" s="26"/>
      <c r="N1035" s="26"/>
      <c r="O1035" s="26">
        <f t="shared" si="174"/>
        <v>0</v>
      </c>
      <c r="P1035" s="76"/>
      <c r="Q1035" s="26">
        <f t="shared" si="189"/>
        <v>14724</v>
      </c>
      <c r="R1035" s="26">
        <f t="shared" si="190"/>
        <v>0</v>
      </c>
      <c r="S1035" s="26">
        <f t="shared" si="190"/>
        <v>14724</v>
      </c>
    </row>
    <row r="1036" spans="2:19" x14ac:dyDescent="0.2">
      <c r="B1036" s="75">
        <f t="shared" si="175"/>
        <v>388</v>
      </c>
      <c r="C1036" s="15"/>
      <c r="D1036" s="15"/>
      <c r="E1036" s="15"/>
      <c r="F1036" s="52" t="s">
        <v>127</v>
      </c>
      <c r="G1036" s="15">
        <v>640</v>
      </c>
      <c r="H1036" s="15" t="s">
        <v>136</v>
      </c>
      <c r="I1036" s="49">
        <v>9319</v>
      </c>
      <c r="J1036" s="49"/>
      <c r="K1036" s="49">
        <f t="shared" si="173"/>
        <v>9319</v>
      </c>
      <c r="L1036" s="123"/>
      <c r="M1036" s="49"/>
      <c r="N1036" s="49"/>
      <c r="O1036" s="49">
        <f t="shared" si="174"/>
        <v>0</v>
      </c>
      <c r="P1036" s="123"/>
      <c r="Q1036" s="49">
        <f t="shared" si="189"/>
        <v>9319</v>
      </c>
      <c r="R1036" s="49">
        <f t="shared" si="190"/>
        <v>0</v>
      </c>
      <c r="S1036" s="49">
        <f t="shared" si="190"/>
        <v>9319</v>
      </c>
    </row>
    <row r="1037" spans="2:19" x14ac:dyDescent="0.2">
      <c r="B1037" s="75">
        <f t="shared" si="175"/>
        <v>389</v>
      </c>
      <c r="C1037" s="15"/>
      <c r="D1037" s="15"/>
      <c r="E1037" s="15"/>
      <c r="F1037" s="52" t="s">
        <v>272</v>
      </c>
      <c r="G1037" s="15">
        <v>610</v>
      </c>
      <c r="H1037" s="15" t="s">
        <v>137</v>
      </c>
      <c r="I1037" s="49">
        <v>330163</v>
      </c>
      <c r="J1037" s="49"/>
      <c r="K1037" s="49">
        <f t="shared" si="173"/>
        <v>330163</v>
      </c>
      <c r="L1037" s="123"/>
      <c r="M1037" s="49"/>
      <c r="N1037" s="49"/>
      <c r="O1037" s="49">
        <f t="shared" si="174"/>
        <v>0</v>
      </c>
      <c r="P1037" s="123"/>
      <c r="Q1037" s="49">
        <f t="shared" si="189"/>
        <v>330163</v>
      </c>
      <c r="R1037" s="49">
        <f t="shared" si="190"/>
        <v>0</v>
      </c>
      <c r="S1037" s="49">
        <f t="shared" si="190"/>
        <v>330163</v>
      </c>
    </row>
    <row r="1038" spans="2:19" x14ac:dyDescent="0.2">
      <c r="B1038" s="75">
        <f t="shared" si="175"/>
        <v>390</v>
      </c>
      <c r="C1038" s="15"/>
      <c r="D1038" s="15"/>
      <c r="E1038" s="15"/>
      <c r="F1038" s="52" t="s">
        <v>272</v>
      </c>
      <c r="G1038" s="15">
        <v>620</v>
      </c>
      <c r="H1038" s="15" t="s">
        <v>132</v>
      </c>
      <c r="I1038" s="49">
        <v>121006</v>
      </c>
      <c r="J1038" s="49"/>
      <c r="K1038" s="49">
        <f t="shared" si="173"/>
        <v>121006</v>
      </c>
      <c r="L1038" s="123"/>
      <c r="M1038" s="49"/>
      <c r="N1038" s="49"/>
      <c r="O1038" s="49">
        <f t="shared" si="174"/>
        <v>0</v>
      </c>
      <c r="P1038" s="123"/>
      <c r="Q1038" s="49">
        <f t="shared" si="189"/>
        <v>121006</v>
      </c>
      <c r="R1038" s="49">
        <f t="shared" si="190"/>
        <v>0</v>
      </c>
      <c r="S1038" s="49">
        <f t="shared" si="190"/>
        <v>121006</v>
      </c>
    </row>
    <row r="1039" spans="2:19" x14ac:dyDescent="0.2">
      <c r="B1039" s="75">
        <f t="shared" si="175"/>
        <v>391</v>
      </c>
      <c r="C1039" s="15"/>
      <c r="D1039" s="15"/>
      <c r="E1039" s="15"/>
      <c r="F1039" s="52" t="s">
        <v>272</v>
      </c>
      <c r="G1039" s="15">
        <v>630</v>
      </c>
      <c r="H1039" s="15" t="s">
        <v>129</v>
      </c>
      <c r="I1039" s="49">
        <f>I1046+I1045+I1044+I1043+I1042+I1041+I1040</f>
        <v>109154</v>
      </c>
      <c r="J1039" s="49">
        <f>J1046+J1045+J1044+J1043+J1042+J1041+J1040</f>
        <v>8120</v>
      </c>
      <c r="K1039" s="49">
        <f t="shared" si="173"/>
        <v>117274</v>
      </c>
      <c r="L1039" s="123"/>
      <c r="M1039" s="49">
        <f>M1046+M1045+M1044+M1043+M1042+M1041+M1040</f>
        <v>0</v>
      </c>
      <c r="N1039" s="49">
        <f>N1046+N1045+N1044+N1043+N1042+N1041+N1040</f>
        <v>0</v>
      </c>
      <c r="O1039" s="49">
        <f t="shared" si="174"/>
        <v>0</v>
      </c>
      <c r="P1039" s="123"/>
      <c r="Q1039" s="49">
        <f t="shared" si="189"/>
        <v>109154</v>
      </c>
      <c r="R1039" s="49">
        <f t="shared" si="190"/>
        <v>8120</v>
      </c>
      <c r="S1039" s="49">
        <f t="shared" si="190"/>
        <v>117274</v>
      </c>
    </row>
    <row r="1040" spans="2:19" x14ac:dyDescent="0.2">
      <c r="B1040" s="75">
        <f t="shared" si="175"/>
        <v>392</v>
      </c>
      <c r="C1040" s="4"/>
      <c r="D1040" s="4"/>
      <c r="E1040" s="4"/>
      <c r="F1040" s="53" t="s">
        <v>272</v>
      </c>
      <c r="G1040" s="4">
        <v>631</v>
      </c>
      <c r="H1040" s="4" t="s">
        <v>135</v>
      </c>
      <c r="I1040" s="26">
        <v>337</v>
      </c>
      <c r="J1040" s="26"/>
      <c r="K1040" s="26">
        <f t="shared" si="173"/>
        <v>337</v>
      </c>
      <c r="L1040" s="76"/>
      <c r="M1040" s="26"/>
      <c r="N1040" s="26"/>
      <c r="O1040" s="26">
        <f t="shared" si="174"/>
        <v>0</v>
      </c>
      <c r="P1040" s="76"/>
      <c r="Q1040" s="26">
        <f t="shared" si="189"/>
        <v>337</v>
      </c>
      <c r="R1040" s="26">
        <f t="shared" ref="R1040:S1047" si="191">N1040+J1040</f>
        <v>0</v>
      </c>
      <c r="S1040" s="26">
        <f t="shared" si="191"/>
        <v>337</v>
      </c>
    </row>
    <row r="1041" spans="2:19" x14ac:dyDescent="0.2">
      <c r="B1041" s="75">
        <f t="shared" si="175"/>
        <v>393</v>
      </c>
      <c r="C1041" s="4"/>
      <c r="D1041" s="4"/>
      <c r="E1041" s="4"/>
      <c r="F1041" s="53" t="s">
        <v>272</v>
      </c>
      <c r="G1041" s="4">
        <v>632</v>
      </c>
      <c r="H1041" s="4" t="s">
        <v>140</v>
      </c>
      <c r="I1041" s="26">
        <v>31697</v>
      </c>
      <c r="J1041" s="26"/>
      <c r="K1041" s="26">
        <f t="shared" si="173"/>
        <v>31697</v>
      </c>
      <c r="L1041" s="76"/>
      <c r="M1041" s="26"/>
      <c r="N1041" s="26"/>
      <c r="O1041" s="26">
        <f t="shared" si="174"/>
        <v>0</v>
      </c>
      <c r="P1041" s="76"/>
      <c r="Q1041" s="26">
        <f t="shared" si="189"/>
        <v>31697</v>
      </c>
      <c r="R1041" s="26">
        <f t="shared" si="191"/>
        <v>0</v>
      </c>
      <c r="S1041" s="26">
        <f t="shared" si="191"/>
        <v>31697</v>
      </c>
    </row>
    <row r="1042" spans="2:19" x14ac:dyDescent="0.2">
      <c r="B1042" s="75">
        <f t="shared" si="175"/>
        <v>394</v>
      </c>
      <c r="C1042" s="4"/>
      <c r="D1042" s="4"/>
      <c r="E1042" s="4"/>
      <c r="F1042" s="53" t="s">
        <v>272</v>
      </c>
      <c r="G1042" s="4">
        <v>633</v>
      </c>
      <c r="H1042" s="4" t="s">
        <v>133</v>
      </c>
      <c r="I1042" s="26">
        <v>28831</v>
      </c>
      <c r="J1042" s="26"/>
      <c r="K1042" s="26">
        <f t="shared" si="173"/>
        <v>28831</v>
      </c>
      <c r="L1042" s="76"/>
      <c r="M1042" s="26"/>
      <c r="N1042" s="26"/>
      <c r="O1042" s="26">
        <f t="shared" si="174"/>
        <v>0</v>
      </c>
      <c r="P1042" s="76"/>
      <c r="Q1042" s="26">
        <f t="shared" si="189"/>
        <v>28831</v>
      </c>
      <c r="R1042" s="26">
        <f t="shared" si="191"/>
        <v>0</v>
      </c>
      <c r="S1042" s="26">
        <f t="shared" si="191"/>
        <v>28831</v>
      </c>
    </row>
    <row r="1043" spans="2:19" x14ac:dyDescent="0.2">
      <c r="B1043" s="75">
        <f t="shared" si="175"/>
        <v>395</v>
      </c>
      <c r="C1043" s="4"/>
      <c r="D1043" s="4"/>
      <c r="E1043" s="4"/>
      <c r="F1043" s="53" t="s">
        <v>272</v>
      </c>
      <c r="G1043" s="4">
        <v>634</v>
      </c>
      <c r="H1043" s="4" t="s">
        <v>138</v>
      </c>
      <c r="I1043" s="26">
        <v>143</v>
      </c>
      <c r="J1043" s="26"/>
      <c r="K1043" s="26">
        <f t="shared" ref="K1043:K1109" si="192">I1043+J1043</f>
        <v>143</v>
      </c>
      <c r="L1043" s="76"/>
      <c r="M1043" s="26"/>
      <c r="N1043" s="26"/>
      <c r="O1043" s="26">
        <f t="shared" ref="O1043:O1109" si="193">M1043+N1043</f>
        <v>0</v>
      </c>
      <c r="P1043" s="76"/>
      <c r="Q1043" s="26">
        <f t="shared" si="189"/>
        <v>143</v>
      </c>
      <c r="R1043" s="26">
        <f t="shared" si="191"/>
        <v>0</v>
      </c>
      <c r="S1043" s="26">
        <f t="shared" si="191"/>
        <v>143</v>
      </c>
    </row>
    <row r="1044" spans="2:19" x14ac:dyDescent="0.2">
      <c r="B1044" s="75">
        <f t="shared" ref="B1044:B1049" si="194">B1043+1</f>
        <v>396</v>
      </c>
      <c r="C1044" s="4"/>
      <c r="D1044" s="4"/>
      <c r="E1044" s="4"/>
      <c r="F1044" s="53" t="s">
        <v>272</v>
      </c>
      <c r="G1044" s="4">
        <v>635</v>
      </c>
      <c r="H1044" s="4" t="s">
        <v>139</v>
      </c>
      <c r="I1044" s="26">
        <v>26282</v>
      </c>
      <c r="J1044" s="26"/>
      <c r="K1044" s="26">
        <f t="shared" si="192"/>
        <v>26282</v>
      </c>
      <c r="L1044" s="76"/>
      <c r="M1044" s="26"/>
      <c r="N1044" s="26"/>
      <c r="O1044" s="26">
        <f t="shared" si="193"/>
        <v>0</v>
      </c>
      <c r="P1044" s="76"/>
      <c r="Q1044" s="26">
        <f t="shared" si="189"/>
        <v>26282</v>
      </c>
      <c r="R1044" s="26">
        <f t="shared" si="191"/>
        <v>0</v>
      </c>
      <c r="S1044" s="26">
        <f t="shared" si="191"/>
        <v>26282</v>
      </c>
    </row>
    <row r="1045" spans="2:19" x14ac:dyDescent="0.2">
      <c r="B1045" s="75">
        <f t="shared" si="194"/>
        <v>397</v>
      </c>
      <c r="C1045" s="4"/>
      <c r="D1045" s="4"/>
      <c r="E1045" s="4"/>
      <c r="F1045" s="53" t="s">
        <v>272</v>
      </c>
      <c r="G1045" s="4">
        <v>636</v>
      </c>
      <c r="H1045" s="4" t="s">
        <v>134</v>
      </c>
      <c r="I1045" s="26">
        <v>1290</v>
      </c>
      <c r="J1045" s="26"/>
      <c r="K1045" s="26">
        <f t="shared" si="192"/>
        <v>1290</v>
      </c>
      <c r="L1045" s="76"/>
      <c r="M1045" s="26"/>
      <c r="N1045" s="26"/>
      <c r="O1045" s="26">
        <f t="shared" si="193"/>
        <v>0</v>
      </c>
      <c r="P1045" s="76"/>
      <c r="Q1045" s="26">
        <f t="shared" si="189"/>
        <v>1290</v>
      </c>
      <c r="R1045" s="26">
        <f t="shared" si="191"/>
        <v>0</v>
      </c>
      <c r="S1045" s="26">
        <f t="shared" si="191"/>
        <v>1290</v>
      </c>
    </row>
    <row r="1046" spans="2:19" x14ac:dyDescent="0.2">
      <c r="B1046" s="75">
        <f t="shared" si="194"/>
        <v>398</v>
      </c>
      <c r="C1046" s="4"/>
      <c r="D1046" s="4"/>
      <c r="E1046" s="4"/>
      <c r="F1046" s="53" t="s">
        <v>272</v>
      </c>
      <c r="G1046" s="4">
        <v>637</v>
      </c>
      <c r="H1046" s="4" t="s">
        <v>130</v>
      </c>
      <c r="I1046" s="26">
        <v>20574</v>
      </c>
      <c r="J1046" s="26">
        <v>8120</v>
      </c>
      <c r="K1046" s="26">
        <f t="shared" si="192"/>
        <v>28694</v>
      </c>
      <c r="L1046" s="76"/>
      <c r="M1046" s="26"/>
      <c r="N1046" s="26"/>
      <c r="O1046" s="26">
        <f t="shared" si="193"/>
        <v>0</v>
      </c>
      <c r="P1046" s="76"/>
      <c r="Q1046" s="26">
        <f t="shared" si="189"/>
        <v>20574</v>
      </c>
      <c r="R1046" s="26">
        <f t="shared" si="191"/>
        <v>8120</v>
      </c>
      <c r="S1046" s="26">
        <f t="shared" si="191"/>
        <v>28694</v>
      </c>
    </row>
    <row r="1047" spans="2:19" x14ac:dyDescent="0.2">
      <c r="B1047" s="75">
        <f t="shared" si="194"/>
        <v>399</v>
      </c>
      <c r="C1047" s="15"/>
      <c r="D1047" s="15"/>
      <c r="E1047" s="15"/>
      <c r="F1047" s="52" t="s">
        <v>272</v>
      </c>
      <c r="G1047" s="15">
        <v>640</v>
      </c>
      <c r="H1047" s="15" t="s">
        <v>136</v>
      </c>
      <c r="I1047" s="49">
        <v>11447</v>
      </c>
      <c r="J1047" s="49"/>
      <c r="K1047" s="49">
        <f t="shared" si="192"/>
        <v>11447</v>
      </c>
      <c r="L1047" s="123"/>
      <c r="M1047" s="49"/>
      <c r="N1047" s="49"/>
      <c r="O1047" s="49">
        <f t="shared" si="193"/>
        <v>0</v>
      </c>
      <c r="P1047" s="123"/>
      <c r="Q1047" s="49">
        <f t="shared" si="189"/>
        <v>11447</v>
      </c>
      <c r="R1047" s="49">
        <f t="shared" si="191"/>
        <v>0</v>
      </c>
      <c r="S1047" s="49">
        <f t="shared" si="191"/>
        <v>11447</v>
      </c>
    </row>
    <row r="1048" spans="2:19" x14ac:dyDescent="0.2">
      <c r="B1048" s="75">
        <f t="shared" si="194"/>
        <v>400</v>
      </c>
      <c r="C1048" s="15"/>
      <c r="D1048" s="15"/>
      <c r="E1048" s="15"/>
      <c r="F1048" s="52" t="s">
        <v>77</v>
      </c>
      <c r="G1048" s="15">
        <v>630</v>
      </c>
      <c r="H1048" s="15" t="s">
        <v>672</v>
      </c>
      <c r="I1048" s="49">
        <v>0</v>
      </c>
      <c r="J1048" s="49">
        <v>400</v>
      </c>
      <c r="K1048" s="49">
        <f t="shared" si="192"/>
        <v>400</v>
      </c>
      <c r="L1048" s="123"/>
      <c r="M1048" s="49"/>
      <c r="N1048" s="49"/>
      <c r="O1048" s="49"/>
      <c r="P1048" s="123"/>
      <c r="Q1048" s="49">
        <f t="shared" si="189"/>
        <v>0</v>
      </c>
      <c r="R1048" s="49">
        <f t="shared" ref="R1048" si="195">N1048+J1048</f>
        <v>400</v>
      </c>
      <c r="S1048" s="49">
        <f t="shared" ref="S1048" si="196">O1048+K1048</f>
        <v>400</v>
      </c>
    </row>
    <row r="1049" spans="2:19" x14ac:dyDescent="0.2">
      <c r="B1049" s="75">
        <f t="shared" si="194"/>
        <v>401</v>
      </c>
      <c r="C1049" s="15"/>
      <c r="D1049" s="15"/>
      <c r="E1049" s="15"/>
      <c r="F1049" s="52"/>
      <c r="G1049" s="15"/>
      <c r="H1049" s="15"/>
      <c r="I1049" s="49"/>
      <c r="J1049" s="49"/>
      <c r="K1049" s="49">
        <f t="shared" si="192"/>
        <v>0</v>
      </c>
      <c r="L1049" s="123"/>
      <c r="M1049" s="49"/>
      <c r="N1049" s="49"/>
      <c r="O1049" s="49">
        <f t="shared" si="193"/>
        <v>0</v>
      </c>
      <c r="P1049" s="123"/>
      <c r="Q1049" s="49"/>
      <c r="R1049" s="49"/>
      <c r="S1049" s="49"/>
    </row>
    <row r="1050" spans="2:19" x14ac:dyDescent="0.2">
      <c r="B1050" s="75">
        <f t="shared" ref="B1050:B1110" si="197">B1049+1</f>
        <v>402</v>
      </c>
      <c r="C1050" s="15"/>
      <c r="D1050" s="15"/>
      <c r="E1050" s="15"/>
      <c r="F1050" s="52"/>
      <c r="G1050" s="15">
        <v>630</v>
      </c>
      <c r="H1050" s="15" t="s">
        <v>624</v>
      </c>
      <c r="I1050" s="49">
        <v>1167</v>
      </c>
      <c r="J1050" s="49"/>
      <c r="K1050" s="49">
        <f t="shared" si="192"/>
        <v>1167</v>
      </c>
      <c r="L1050" s="123"/>
      <c r="M1050" s="49"/>
      <c r="N1050" s="49"/>
      <c r="O1050" s="49">
        <f t="shared" si="193"/>
        <v>0</v>
      </c>
      <c r="P1050" s="123"/>
      <c r="Q1050" s="49">
        <f t="shared" ref="Q1050:Q1074" si="198">M1050+I1050</f>
        <v>1167</v>
      </c>
      <c r="R1050" s="49">
        <f t="shared" ref="R1050:S1065" si="199">N1050+J1050</f>
        <v>0</v>
      </c>
      <c r="S1050" s="49">
        <f t="shared" si="199"/>
        <v>1167</v>
      </c>
    </row>
    <row r="1051" spans="2:19" ht="15" x14ac:dyDescent="0.25">
      <c r="B1051" s="75">
        <f t="shared" si="197"/>
        <v>403</v>
      </c>
      <c r="C1051" s="18"/>
      <c r="D1051" s="18"/>
      <c r="E1051" s="18">
        <v>13</v>
      </c>
      <c r="F1051" s="50"/>
      <c r="G1051" s="18"/>
      <c r="H1051" s="18" t="s">
        <v>256</v>
      </c>
      <c r="I1051" s="47">
        <f>I1052+I1053+I1054+I1060+I1064+I1065+I1066+I1073+I1076</f>
        <v>400146</v>
      </c>
      <c r="J1051" s="47">
        <f>J1052+J1053+J1054+J1060+J1064+J1065+J1066+J1073+J1076+J1074</f>
        <v>6242</v>
      </c>
      <c r="K1051" s="47">
        <f t="shared" si="192"/>
        <v>406388</v>
      </c>
      <c r="L1051" s="174"/>
      <c r="M1051" s="47">
        <f>M1061</f>
        <v>10000</v>
      </c>
      <c r="N1051" s="47">
        <f>N1061</f>
        <v>0</v>
      </c>
      <c r="O1051" s="47">
        <f t="shared" si="193"/>
        <v>10000</v>
      </c>
      <c r="P1051" s="174"/>
      <c r="Q1051" s="47">
        <f t="shared" si="198"/>
        <v>410146</v>
      </c>
      <c r="R1051" s="47">
        <f t="shared" si="199"/>
        <v>6242</v>
      </c>
      <c r="S1051" s="47">
        <f t="shared" si="199"/>
        <v>416388</v>
      </c>
    </row>
    <row r="1052" spans="2:19" x14ac:dyDescent="0.2">
      <c r="B1052" s="75">
        <f t="shared" si="197"/>
        <v>404</v>
      </c>
      <c r="C1052" s="15"/>
      <c r="D1052" s="15"/>
      <c r="E1052" s="15"/>
      <c r="F1052" s="52" t="s">
        <v>127</v>
      </c>
      <c r="G1052" s="15">
        <v>610</v>
      </c>
      <c r="H1052" s="15" t="s">
        <v>137</v>
      </c>
      <c r="I1052" s="49">
        <v>90412</v>
      </c>
      <c r="J1052" s="49"/>
      <c r="K1052" s="49">
        <f t="shared" si="192"/>
        <v>90412</v>
      </c>
      <c r="L1052" s="123"/>
      <c r="M1052" s="49"/>
      <c r="N1052" s="49"/>
      <c r="O1052" s="49">
        <f t="shared" si="193"/>
        <v>0</v>
      </c>
      <c r="P1052" s="123"/>
      <c r="Q1052" s="49">
        <f t="shared" si="198"/>
        <v>90412</v>
      </c>
      <c r="R1052" s="49">
        <f t="shared" si="199"/>
        <v>0</v>
      </c>
      <c r="S1052" s="49">
        <f t="shared" si="199"/>
        <v>90412</v>
      </c>
    </row>
    <row r="1053" spans="2:19" x14ac:dyDescent="0.2">
      <c r="B1053" s="75">
        <f t="shared" si="197"/>
        <v>405</v>
      </c>
      <c r="C1053" s="15"/>
      <c r="D1053" s="15"/>
      <c r="E1053" s="15"/>
      <c r="F1053" s="52" t="s">
        <v>127</v>
      </c>
      <c r="G1053" s="15">
        <v>620</v>
      </c>
      <c r="H1053" s="15" t="s">
        <v>132</v>
      </c>
      <c r="I1053" s="49">
        <v>31593</v>
      </c>
      <c r="J1053" s="49"/>
      <c r="K1053" s="49">
        <f t="shared" si="192"/>
        <v>31593</v>
      </c>
      <c r="L1053" s="123"/>
      <c r="M1053" s="49"/>
      <c r="N1053" s="49"/>
      <c r="O1053" s="49">
        <f t="shared" si="193"/>
        <v>0</v>
      </c>
      <c r="P1053" s="123"/>
      <c r="Q1053" s="49">
        <f t="shared" si="198"/>
        <v>31593</v>
      </c>
      <c r="R1053" s="49">
        <f t="shared" si="199"/>
        <v>0</v>
      </c>
      <c r="S1053" s="49">
        <f t="shared" si="199"/>
        <v>31593</v>
      </c>
    </row>
    <row r="1054" spans="2:19" x14ac:dyDescent="0.2">
      <c r="B1054" s="75">
        <f t="shared" si="197"/>
        <v>406</v>
      </c>
      <c r="C1054" s="15"/>
      <c r="D1054" s="15"/>
      <c r="E1054" s="15"/>
      <c r="F1054" s="52" t="s">
        <v>127</v>
      </c>
      <c r="G1054" s="15">
        <v>630</v>
      </c>
      <c r="H1054" s="15" t="s">
        <v>129</v>
      </c>
      <c r="I1054" s="49">
        <f>I1059+I1058+I1057+I1056+I1055</f>
        <v>28402</v>
      </c>
      <c r="J1054" s="49">
        <f>J1059+J1058+J1057+J1056+J1055</f>
        <v>0</v>
      </c>
      <c r="K1054" s="49">
        <f t="shared" si="192"/>
        <v>28402</v>
      </c>
      <c r="L1054" s="123"/>
      <c r="M1054" s="49">
        <v>0</v>
      </c>
      <c r="N1054" s="49"/>
      <c r="O1054" s="49">
        <f t="shared" si="193"/>
        <v>0</v>
      </c>
      <c r="P1054" s="123"/>
      <c r="Q1054" s="49">
        <f t="shared" si="198"/>
        <v>28402</v>
      </c>
      <c r="R1054" s="49">
        <f t="shared" si="199"/>
        <v>0</v>
      </c>
      <c r="S1054" s="49">
        <f t="shared" si="199"/>
        <v>28402</v>
      </c>
    </row>
    <row r="1055" spans="2:19" x14ac:dyDescent="0.2">
      <c r="B1055" s="75">
        <f t="shared" si="197"/>
        <v>407</v>
      </c>
      <c r="C1055" s="4"/>
      <c r="D1055" s="4"/>
      <c r="E1055" s="4"/>
      <c r="F1055" s="53" t="s">
        <v>127</v>
      </c>
      <c r="G1055" s="4">
        <v>631</v>
      </c>
      <c r="H1055" s="4" t="s">
        <v>135</v>
      </c>
      <c r="I1055" s="26">
        <v>15</v>
      </c>
      <c r="J1055" s="26"/>
      <c r="K1055" s="26">
        <f t="shared" si="192"/>
        <v>15</v>
      </c>
      <c r="L1055" s="76"/>
      <c r="M1055" s="26"/>
      <c r="N1055" s="26"/>
      <c r="O1055" s="26">
        <f t="shared" si="193"/>
        <v>0</v>
      </c>
      <c r="P1055" s="76"/>
      <c r="Q1055" s="26">
        <f t="shared" si="198"/>
        <v>15</v>
      </c>
      <c r="R1055" s="26">
        <f t="shared" si="199"/>
        <v>0</v>
      </c>
      <c r="S1055" s="26">
        <f t="shared" si="199"/>
        <v>15</v>
      </c>
    </row>
    <row r="1056" spans="2:19" x14ac:dyDescent="0.2">
      <c r="B1056" s="75">
        <f t="shared" si="197"/>
        <v>408</v>
      </c>
      <c r="C1056" s="4"/>
      <c r="D1056" s="4"/>
      <c r="E1056" s="4"/>
      <c r="F1056" s="53" t="s">
        <v>127</v>
      </c>
      <c r="G1056" s="4">
        <v>632</v>
      </c>
      <c r="H1056" s="4" t="s">
        <v>140</v>
      </c>
      <c r="I1056" s="26">
        <f>19996+1000</f>
        <v>20996</v>
      </c>
      <c r="J1056" s="26"/>
      <c r="K1056" s="26">
        <f t="shared" si="192"/>
        <v>20996</v>
      </c>
      <c r="L1056" s="76"/>
      <c r="M1056" s="26"/>
      <c r="N1056" s="26"/>
      <c r="O1056" s="26">
        <f t="shared" si="193"/>
        <v>0</v>
      </c>
      <c r="P1056" s="76"/>
      <c r="Q1056" s="26">
        <f t="shared" si="198"/>
        <v>20996</v>
      </c>
      <c r="R1056" s="26">
        <f t="shared" si="199"/>
        <v>0</v>
      </c>
      <c r="S1056" s="26">
        <f t="shared" si="199"/>
        <v>20996</v>
      </c>
    </row>
    <row r="1057" spans="2:19" x14ac:dyDescent="0.2">
      <c r="B1057" s="75">
        <f t="shared" si="197"/>
        <v>409</v>
      </c>
      <c r="C1057" s="4"/>
      <c r="D1057" s="4"/>
      <c r="E1057" s="4"/>
      <c r="F1057" s="53" t="s">
        <v>127</v>
      </c>
      <c r="G1057" s="4">
        <v>633</v>
      </c>
      <c r="H1057" s="4" t="s">
        <v>133</v>
      </c>
      <c r="I1057" s="26">
        <v>2173</v>
      </c>
      <c r="J1057" s="26"/>
      <c r="K1057" s="26">
        <f t="shared" si="192"/>
        <v>2173</v>
      </c>
      <c r="L1057" s="76"/>
      <c r="M1057" s="26"/>
      <c r="N1057" s="26"/>
      <c r="O1057" s="26">
        <f t="shared" si="193"/>
        <v>0</v>
      </c>
      <c r="P1057" s="76"/>
      <c r="Q1057" s="26">
        <f t="shared" si="198"/>
        <v>2173</v>
      </c>
      <c r="R1057" s="26">
        <f t="shared" si="199"/>
        <v>0</v>
      </c>
      <c r="S1057" s="26">
        <f t="shared" si="199"/>
        <v>2173</v>
      </c>
    </row>
    <row r="1058" spans="2:19" x14ac:dyDescent="0.2">
      <c r="B1058" s="75">
        <f t="shared" si="197"/>
        <v>410</v>
      </c>
      <c r="C1058" s="4"/>
      <c r="D1058" s="4"/>
      <c r="E1058" s="4"/>
      <c r="F1058" s="53" t="s">
        <v>127</v>
      </c>
      <c r="G1058" s="4">
        <v>635</v>
      </c>
      <c r="H1058" s="4" t="s">
        <v>139</v>
      </c>
      <c r="I1058" s="26">
        <v>566</v>
      </c>
      <c r="J1058" s="26"/>
      <c r="K1058" s="26">
        <f t="shared" si="192"/>
        <v>566</v>
      </c>
      <c r="L1058" s="76"/>
      <c r="M1058" s="26"/>
      <c r="N1058" s="26"/>
      <c r="O1058" s="26">
        <f t="shared" si="193"/>
        <v>0</v>
      </c>
      <c r="P1058" s="76"/>
      <c r="Q1058" s="26">
        <f t="shared" si="198"/>
        <v>566</v>
      </c>
      <c r="R1058" s="26">
        <f t="shared" si="199"/>
        <v>0</v>
      </c>
      <c r="S1058" s="26">
        <f t="shared" si="199"/>
        <v>566</v>
      </c>
    </row>
    <row r="1059" spans="2:19" x14ac:dyDescent="0.2">
      <c r="B1059" s="75">
        <f t="shared" si="197"/>
        <v>411</v>
      </c>
      <c r="C1059" s="4"/>
      <c r="D1059" s="4"/>
      <c r="E1059" s="4"/>
      <c r="F1059" s="53" t="s">
        <v>127</v>
      </c>
      <c r="G1059" s="4">
        <v>637</v>
      </c>
      <c r="H1059" s="4" t="s">
        <v>130</v>
      </c>
      <c r="I1059" s="26">
        <v>4652</v>
      </c>
      <c r="J1059" s="26"/>
      <c r="K1059" s="26">
        <f t="shared" si="192"/>
        <v>4652</v>
      </c>
      <c r="L1059" s="76"/>
      <c r="M1059" s="26"/>
      <c r="N1059" s="26"/>
      <c r="O1059" s="26">
        <f t="shared" si="193"/>
        <v>0</v>
      </c>
      <c r="P1059" s="76"/>
      <c r="Q1059" s="26">
        <f t="shared" si="198"/>
        <v>4652</v>
      </c>
      <c r="R1059" s="26">
        <f t="shared" si="199"/>
        <v>0</v>
      </c>
      <c r="S1059" s="26">
        <f t="shared" si="199"/>
        <v>4652</v>
      </c>
    </row>
    <row r="1060" spans="2:19" x14ac:dyDescent="0.2">
      <c r="B1060" s="75">
        <f t="shared" si="197"/>
        <v>412</v>
      </c>
      <c r="C1060" s="15"/>
      <c r="D1060" s="15"/>
      <c r="E1060" s="15"/>
      <c r="F1060" s="52" t="s">
        <v>127</v>
      </c>
      <c r="G1060" s="15">
        <v>640</v>
      </c>
      <c r="H1060" s="15" t="s">
        <v>136</v>
      </c>
      <c r="I1060" s="49">
        <v>160</v>
      </c>
      <c r="J1060" s="49"/>
      <c r="K1060" s="49">
        <f t="shared" si="192"/>
        <v>160</v>
      </c>
      <c r="L1060" s="123"/>
      <c r="M1060" s="49"/>
      <c r="N1060" s="49"/>
      <c r="O1060" s="49">
        <f t="shared" si="193"/>
        <v>0</v>
      </c>
      <c r="P1060" s="123"/>
      <c r="Q1060" s="49">
        <f t="shared" si="198"/>
        <v>160</v>
      </c>
      <c r="R1060" s="49">
        <f t="shared" si="199"/>
        <v>0</v>
      </c>
      <c r="S1060" s="49">
        <f t="shared" si="199"/>
        <v>160</v>
      </c>
    </row>
    <row r="1061" spans="2:19" x14ac:dyDescent="0.2">
      <c r="B1061" s="75">
        <f t="shared" si="197"/>
        <v>413</v>
      </c>
      <c r="C1061" s="15"/>
      <c r="D1061" s="15"/>
      <c r="E1061" s="15"/>
      <c r="F1061" s="52" t="s">
        <v>127</v>
      </c>
      <c r="G1061" s="15">
        <v>710</v>
      </c>
      <c r="H1061" s="15" t="s">
        <v>185</v>
      </c>
      <c r="I1061" s="49">
        <f>I1062</f>
        <v>0</v>
      </c>
      <c r="J1061" s="49">
        <f>J1062</f>
        <v>0</v>
      </c>
      <c r="K1061" s="49">
        <f t="shared" si="192"/>
        <v>0</v>
      </c>
      <c r="L1061" s="123"/>
      <c r="M1061" s="49">
        <f>M1062</f>
        <v>10000</v>
      </c>
      <c r="N1061" s="49">
        <f>N1062</f>
        <v>0</v>
      </c>
      <c r="O1061" s="49">
        <f t="shared" si="193"/>
        <v>10000</v>
      </c>
      <c r="P1061" s="123"/>
      <c r="Q1061" s="49">
        <f t="shared" si="198"/>
        <v>10000</v>
      </c>
      <c r="R1061" s="49">
        <f t="shared" si="199"/>
        <v>0</v>
      </c>
      <c r="S1061" s="49">
        <f t="shared" si="199"/>
        <v>10000</v>
      </c>
    </row>
    <row r="1062" spans="2:19" x14ac:dyDescent="0.2">
      <c r="B1062" s="75">
        <f t="shared" si="197"/>
        <v>414</v>
      </c>
      <c r="C1062" s="15"/>
      <c r="D1062" s="15"/>
      <c r="E1062" s="15"/>
      <c r="F1062" s="86" t="s">
        <v>127</v>
      </c>
      <c r="G1062" s="87">
        <v>717</v>
      </c>
      <c r="H1062" s="87" t="s">
        <v>195</v>
      </c>
      <c r="I1062" s="88"/>
      <c r="J1062" s="88"/>
      <c r="K1062" s="88">
        <f t="shared" si="192"/>
        <v>0</v>
      </c>
      <c r="L1062" s="76"/>
      <c r="M1062" s="88">
        <f>SUM(M1063:M1064)</f>
        <v>10000</v>
      </c>
      <c r="N1062" s="88">
        <f>SUM(N1063:N1064)</f>
        <v>0</v>
      </c>
      <c r="O1062" s="88">
        <f t="shared" si="193"/>
        <v>10000</v>
      </c>
      <c r="P1062" s="76"/>
      <c r="Q1062" s="88">
        <f t="shared" si="198"/>
        <v>10000</v>
      </c>
      <c r="R1062" s="88">
        <f t="shared" si="199"/>
        <v>0</v>
      </c>
      <c r="S1062" s="88">
        <f t="shared" si="199"/>
        <v>10000</v>
      </c>
    </row>
    <row r="1063" spans="2:19" x14ac:dyDescent="0.2">
      <c r="B1063" s="75">
        <f t="shared" si="197"/>
        <v>415</v>
      </c>
      <c r="C1063" s="15"/>
      <c r="D1063" s="15"/>
      <c r="E1063" s="15"/>
      <c r="F1063" s="64"/>
      <c r="G1063" s="60"/>
      <c r="H1063" s="126" t="s">
        <v>553</v>
      </c>
      <c r="I1063" s="125"/>
      <c r="J1063" s="125"/>
      <c r="K1063" s="125">
        <f t="shared" si="192"/>
        <v>0</v>
      </c>
      <c r="L1063" s="76"/>
      <c r="M1063" s="125">
        <v>10000</v>
      </c>
      <c r="N1063" s="125"/>
      <c r="O1063" s="125">
        <f t="shared" si="193"/>
        <v>10000</v>
      </c>
      <c r="P1063" s="76"/>
      <c r="Q1063" s="125">
        <f t="shared" si="198"/>
        <v>10000</v>
      </c>
      <c r="R1063" s="125">
        <f t="shared" si="199"/>
        <v>0</v>
      </c>
      <c r="S1063" s="125">
        <f t="shared" si="199"/>
        <v>10000</v>
      </c>
    </row>
    <row r="1064" spans="2:19" x14ac:dyDescent="0.2">
      <c r="B1064" s="75">
        <f t="shared" si="197"/>
        <v>416</v>
      </c>
      <c r="C1064" s="15"/>
      <c r="D1064" s="15"/>
      <c r="E1064" s="15"/>
      <c r="F1064" s="52" t="s">
        <v>272</v>
      </c>
      <c r="G1064" s="15">
        <v>610</v>
      </c>
      <c r="H1064" s="15" t="s">
        <v>137</v>
      </c>
      <c r="I1064" s="49">
        <v>139144</v>
      </c>
      <c r="J1064" s="49"/>
      <c r="K1064" s="49">
        <f t="shared" si="192"/>
        <v>139144</v>
      </c>
      <c r="L1064" s="123"/>
      <c r="M1064" s="49"/>
      <c r="N1064" s="49"/>
      <c r="O1064" s="49">
        <f t="shared" si="193"/>
        <v>0</v>
      </c>
      <c r="P1064" s="123"/>
      <c r="Q1064" s="49">
        <f t="shared" si="198"/>
        <v>139144</v>
      </c>
      <c r="R1064" s="49">
        <f t="shared" si="199"/>
        <v>0</v>
      </c>
      <c r="S1064" s="49">
        <f t="shared" si="199"/>
        <v>139144</v>
      </c>
    </row>
    <row r="1065" spans="2:19" x14ac:dyDescent="0.2">
      <c r="B1065" s="75">
        <f t="shared" si="197"/>
        <v>417</v>
      </c>
      <c r="C1065" s="15"/>
      <c r="D1065" s="15"/>
      <c r="E1065" s="15"/>
      <c r="F1065" s="52" t="s">
        <v>272</v>
      </c>
      <c r="G1065" s="15">
        <v>620</v>
      </c>
      <c r="H1065" s="15" t="s">
        <v>132</v>
      </c>
      <c r="I1065" s="49">
        <v>48638</v>
      </c>
      <c r="J1065" s="49"/>
      <c r="K1065" s="49">
        <f t="shared" si="192"/>
        <v>48638</v>
      </c>
      <c r="L1065" s="123"/>
      <c r="M1065" s="49"/>
      <c r="N1065" s="49"/>
      <c r="O1065" s="49">
        <f t="shared" si="193"/>
        <v>0</v>
      </c>
      <c r="P1065" s="123"/>
      <c r="Q1065" s="49">
        <f t="shared" si="198"/>
        <v>48638</v>
      </c>
      <c r="R1065" s="49">
        <f t="shared" si="199"/>
        <v>0</v>
      </c>
      <c r="S1065" s="49">
        <f t="shared" si="199"/>
        <v>48638</v>
      </c>
    </row>
    <row r="1066" spans="2:19" x14ac:dyDescent="0.2">
      <c r="B1066" s="75">
        <f t="shared" si="197"/>
        <v>418</v>
      </c>
      <c r="C1066" s="15"/>
      <c r="D1066" s="15"/>
      <c r="E1066" s="15"/>
      <c r="F1066" s="52" t="s">
        <v>272</v>
      </c>
      <c r="G1066" s="15">
        <v>630</v>
      </c>
      <c r="H1066" s="15" t="s">
        <v>129</v>
      </c>
      <c r="I1066" s="49">
        <f>I1072+I1071+I1069+I1068+I1067</f>
        <v>61469</v>
      </c>
      <c r="J1066" s="49">
        <f>SUM(J1067:J1072)</f>
        <v>6076</v>
      </c>
      <c r="K1066" s="49">
        <f t="shared" si="192"/>
        <v>67545</v>
      </c>
      <c r="L1066" s="123"/>
      <c r="M1066" s="49">
        <f>M1072+M1071+M1069+M1068+M1067</f>
        <v>0</v>
      </c>
      <c r="N1066" s="49">
        <f>N1072+N1071+N1069+N1068+N1067</f>
        <v>0</v>
      </c>
      <c r="O1066" s="49">
        <f t="shared" si="193"/>
        <v>0</v>
      </c>
      <c r="P1066" s="123"/>
      <c r="Q1066" s="49">
        <f t="shared" si="198"/>
        <v>61469</v>
      </c>
      <c r="R1066" s="49">
        <f t="shared" ref="R1066:S1074" si="200">N1066+J1066</f>
        <v>6076</v>
      </c>
      <c r="S1066" s="49">
        <f t="shared" si="200"/>
        <v>67545</v>
      </c>
    </row>
    <row r="1067" spans="2:19" x14ac:dyDescent="0.2">
      <c r="B1067" s="75">
        <f t="shared" si="197"/>
        <v>419</v>
      </c>
      <c r="C1067" s="4"/>
      <c r="D1067" s="4"/>
      <c r="E1067" s="4"/>
      <c r="F1067" s="53" t="s">
        <v>272</v>
      </c>
      <c r="G1067" s="4">
        <v>631</v>
      </c>
      <c r="H1067" s="4" t="s">
        <v>135</v>
      </c>
      <c r="I1067" s="26">
        <v>15</v>
      </c>
      <c r="J1067" s="26"/>
      <c r="K1067" s="26">
        <f t="shared" si="192"/>
        <v>15</v>
      </c>
      <c r="L1067" s="76"/>
      <c r="M1067" s="26"/>
      <c r="N1067" s="26"/>
      <c r="O1067" s="26">
        <f t="shared" si="193"/>
        <v>0</v>
      </c>
      <c r="P1067" s="76"/>
      <c r="Q1067" s="26">
        <f t="shared" si="198"/>
        <v>15</v>
      </c>
      <c r="R1067" s="26">
        <f t="shared" si="200"/>
        <v>0</v>
      </c>
      <c r="S1067" s="26">
        <f t="shared" si="200"/>
        <v>15</v>
      </c>
    </row>
    <row r="1068" spans="2:19" x14ac:dyDescent="0.2">
      <c r="B1068" s="75">
        <f t="shared" si="197"/>
        <v>420</v>
      </c>
      <c r="C1068" s="4"/>
      <c r="D1068" s="4"/>
      <c r="E1068" s="4"/>
      <c r="F1068" s="53" t="s">
        <v>272</v>
      </c>
      <c r="G1068" s="4">
        <v>632</v>
      </c>
      <c r="H1068" s="4" t="s">
        <v>140</v>
      </c>
      <c r="I1068" s="26">
        <f>24642+1000</f>
        <v>25642</v>
      </c>
      <c r="J1068" s="26">
        <v>2000</v>
      </c>
      <c r="K1068" s="26">
        <f t="shared" si="192"/>
        <v>27642</v>
      </c>
      <c r="L1068" s="76"/>
      <c r="M1068" s="26"/>
      <c r="N1068" s="26"/>
      <c r="O1068" s="26">
        <f t="shared" si="193"/>
        <v>0</v>
      </c>
      <c r="P1068" s="76"/>
      <c r="Q1068" s="26">
        <f t="shared" si="198"/>
        <v>25642</v>
      </c>
      <c r="R1068" s="26">
        <f t="shared" si="200"/>
        <v>2000</v>
      </c>
      <c r="S1068" s="26">
        <f t="shared" si="200"/>
        <v>27642</v>
      </c>
    </row>
    <row r="1069" spans="2:19" x14ac:dyDescent="0.2">
      <c r="B1069" s="75">
        <f t="shared" si="197"/>
        <v>421</v>
      </c>
      <c r="C1069" s="4"/>
      <c r="D1069" s="4"/>
      <c r="E1069" s="4"/>
      <c r="F1069" s="53" t="s">
        <v>272</v>
      </c>
      <c r="G1069" s="4">
        <v>633</v>
      </c>
      <c r="H1069" s="4" t="s">
        <v>133</v>
      </c>
      <c r="I1069" s="26">
        <v>5336</v>
      </c>
      <c r="J1069" s="26">
        <v>326</v>
      </c>
      <c r="K1069" s="26">
        <f t="shared" si="192"/>
        <v>5662</v>
      </c>
      <c r="L1069" s="76"/>
      <c r="M1069" s="26"/>
      <c r="N1069" s="26"/>
      <c r="O1069" s="26">
        <f t="shared" si="193"/>
        <v>0</v>
      </c>
      <c r="P1069" s="76"/>
      <c r="Q1069" s="26">
        <f t="shared" si="198"/>
        <v>5336</v>
      </c>
      <c r="R1069" s="26">
        <f t="shared" si="200"/>
        <v>326</v>
      </c>
      <c r="S1069" s="26">
        <f t="shared" si="200"/>
        <v>5662</v>
      </c>
    </row>
    <row r="1070" spans="2:19" x14ac:dyDescent="0.2">
      <c r="B1070" s="75">
        <f t="shared" si="197"/>
        <v>422</v>
      </c>
      <c r="C1070" s="4"/>
      <c r="D1070" s="4"/>
      <c r="E1070" s="4"/>
      <c r="F1070" s="53" t="s">
        <v>272</v>
      </c>
      <c r="G1070" s="4">
        <v>634</v>
      </c>
      <c r="H1070" s="4" t="s">
        <v>138</v>
      </c>
      <c r="I1070" s="26">
        <v>0</v>
      </c>
      <c r="J1070" s="26">
        <v>840</v>
      </c>
      <c r="K1070" s="26">
        <f t="shared" si="192"/>
        <v>840</v>
      </c>
      <c r="L1070" s="76"/>
      <c r="M1070" s="26"/>
      <c r="N1070" s="26"/>
      <c r="O1070" s="26"/>
      <c r="P1070" s="76"/>
      <c r="Q1070" s="26">
        <f t="shared" si="198"/>
        <v>0</v>
      </c>
      <c r="R1070" s="26">
        <f t="shared" ref="R1070" si="201">N1070+J1070</f>
        <v>840</v>
      </c>
      <c r="S1070" s="26">
        <f t="shared" ref="S1070" si="202">O1070+K1070</f>
        <v>840</v>
      </c>
    </row>
    <row r="1071" spans="2:19" x14ac:dyDescent="0.2">
      <c r="B1071" s="75">
        <f t="shared" si="197"/>
        <v>423</v>
      </c>
      <c r="C1071" s="4"/>
      <c r="D1071" s="4"/>
      <c r="E1071" s="4"/>
      <c r="F1071" s="53" t="s">
        <v>272</v>
      </c>
      <c r="G1071" s="4">
        <v>635</v>
      </c>
      <c r="H1071" s="4" t="s">
        <v>139</v>
      </c>
      <c r="I1071" s="26">
        <v>23766</v>
      </c>
      <c r="J1071" s="26"/>
      <c r="K1071" s="26">
        <f t="shared" si="192"/>
        <v>23766</v>
      </c>
      <c r="L1071" s="76"/>
      <c r="M1071" s="26"/>
      <c r="N1071" s="26"/>
      <c r="O1071" s="26">
        <f t="shared" si="193"/>
        <v>0</v>
      </c>
      <c r="P1071" s="76"/>
      <c r="Q1071" s="26">
        <f t="shared" si="198"/>
        <v>23766</v>
      </c>
      <c r="R1071" s="26">
        <f t="shared" si="200"/>
        <v>0</v>
      </c>
      <c r="S1071" s="26">
        <f t="shared" si="200"/>
        <v>23766</v>
      </c>
    </row>
    <row r="1072" spans="2:19" x14ac:dyDescent="0.2">
      <c r="B1072" s="75">
        <f t="shared" si="197"/>
        <v>424</v>
      </c>
      <c r="C1072" s="4"/>
      <c r="D1072" s="4"/>
      <c r="E1072" s="4"/>
      <c r="F1072" s="53" t="s">
        <v>272</v>
      </c>
      <c r="G1072" s="4">
        <v>637</v>
      </c>
      <c r="H1072" s="4" t="s">
        <v>130</v>
      </c>
      <c r="I1072" s="26">
        <f>6160+550</f>
        <v>6710</v>
      </c>
      <c r="J1072" s="26">
        <v>2910</v>
      </c>
      <c r="K1072" s="26">
        <f t="shared" si="192"/>
        <v>9620</v>
      </c>
      <c r="L1072" s="76"/>
      <c r="M1072" s="26"/>
      <c r="N1072" s="26"/>
      <c r="O1072" s="26">
        <f t="shared" si="193"/>
        <v>0</v>
      </c>
      <c r="P1072" s="76"/>
      <c r="Q1072" s="26">
        <f t="shared" si="198"/>
        <v>6710</v>
      </c>
      <c r="R1072" s="26">
        <f t="shared" si="200"/>
        <v>2910</v>
      </c>
      <c r="S1072" s="26">
        <f t="shared" si="200"/>
        <v>9620</v>
      </c>
    </row>
    <row r="1073" spans="2:19" x14ac:dyDescent="0.2">
      <c r="B1073" s="75">
        <f t="shared" si="197"/>
        <v>425</v>
      </c>
      <c r="C1073" s="15"/>
      <c r="D1073" s="15"/>
      <c r="E1073" s="15"/>
      <c r="F1073" s="52" t="s">
        <v>272</v>
      </c>
      <c r="G1073" s="15">
        <v>640</v>
      </c>
      <c r="H1073" s="15" t="s">
        <v>136</v>
      </c>
      <c r="I1073" s="49">
        <v>240</v>
      </c>
      <c r="J1073" s="49"/>
      <c r="K1073" s="49">
        <f t="shared" si="192"/>
        <v>240</v>
      </c>
      <c r="L1073" s="123"/>
      <c r="M1073" s="49"/>
      <c r="N1073" s="49"/>
      <c r="O1073" s="49">
        <f t="shared" si="193"/>
        <v>0</v>
      </c>
      <c r="P1073" s="123"/>
      <c r="Q1073" s="49">
        <f t="shared" si="198"/>
        <v>240</v>
      </c>
      <c r="R1073" s="49">
        <f t="shared" si="200"/>
        <v>0</v>
      </c>
      <c r="S1073" s="49">
        <f t="shared" si="200"/>
        <v>240</v>
      </c>
    </row>
    <row r="1074" spans="2:19" x14ac:dyDescent="0.2">
      <c r="B1074" s="75">
        <f t="shared" si="197"/>
        <v>426</v>
      </c>
      <c r="C1074" s="15"/>
      <c r="D1074" s="15"/>
      <c r="E1074" s="15"/>
      <c r="F1074" s="52" t="s">
        <v>77</v>
      </c>
      <c r="G1074" s="15">
        <v>630</v>
      </c>
      <c r="H1074" s="15" t="s">
        <v>672</v>
      </c>
      <c r="I1074" s="49">
        <v>0</v>
      </c>
      <c r="J1074" s="49">
        <v>166</v>
      </c>
      <c r="K1074" s="49">
        <f t="shared" ref="K1074" si="203">I1074+J1074</f>
        <v>166</v>
      </c>
      <c r="L1074" s="123"/>
      <c r="M1074" s="49"/>
      <c r="N1074" s="49"/>
      <c r="O1074" s="49"/>
      <c r="P1074" s="123"/>
      <c r="Q1074" s="49">
        <f t="shared" si="198"/>
        <v>0</v>
      </c>
      <c r="R1074" s="49">
        <f t="shared" si="200"/>
        <v>166</v>
      </c>
      <c r="S1074" s="49">
        <f t="shared" si="200"/>
        <v>166</v>
      </c>
    </row>
    <row r="1075" spans="2:19" x14ac:dyDescent="0.2">
      <c r="B1075" s="75">
        <f t="shared" si="197"/>
        <v>427</v>
      </c>
      <c r="C1075" s="15"/>
      <c r="D1075" s="15"/>
      <c r="E1075" s="15"/>
      <c r="F1075" s="52"/>
      <c r="G1075" s="15"/>
      <c r="H1075" s="15"/>
      <c r="I1075" s="49"/>
      <c r="J1075" s="49"/>
      <c r="K1075" s="49">
        <f t="shared" si="192"/>
        <v>0</v>
      </c>
      <c r="L1075" s="123"/>
      <c r="M1075" s="49"/>
      <c r="N1075" s="49"/>
      <c r="O1075" s="49">
        <f t="shared" si="193"/>
        <v>0</v>
      </c>
      <c r="P1075" s="123"/>
      <c r="Q1075" s="49"/>
      <c r="R1075" s="49"/>
      <c r="S1075" s="49"/>
    </row>
    <row r="1076" spans="2:19" x14ac:dyDescent="0.2">
      <c r="B1076" s="75">
        <f t="shared" si="197"/>
        <v>428</v>
      </c>
      <c r="C1076" s="15"/>
      <c r="D1076" s="15"/>
      <c r="E1076" s="15"/>
      <c r="F1076" s="52"/>
      <c r="G1076" s="15">
        <v>630</v>
      </c>
      <c r="H1076" s="15" t="s">
        <v>624</v>
      </c>
      <c r="I1076" s="49">
        <v>88</v>
      </c>
      <c r="J1076" s="49"/>
      <c r="K1076" s="49">
        <f t="shared" si="192"/>
        <v>88</v>
      </c>
      <c r="L1076" s="123"/>
      <c r="M1076" s="49"/>
      <c r="N1076" s="49"/>
      <c r="O1076" s="49">
        <f t="shared" si="193"/>
        <v>0</v>
      </c>
      <c r="P1076" s="123"/>
      <c r="Q1076" s="49">
        <f t="shared" ref="Q1076:Q1107" si="204">M1076+I1076</f>
        <v>88</v>
      </c>
      <c r="R1076" s="49">
        <f t="shared" ref="R1076:S1091" si="205">N1076+J1076</f>
        <v>0</v>
      </c>
      <c r="S1076" s="49">
        <f t="shared" si="205"/>
        <v>88</v>
      </c>
    </row>
    <row r="1077" spans="2:19" ht="15" x14ac:dyDescent="0.2">
      <c r="B1077" s="75">
        <f t="shared" si="197"/>
        <v>429</v>
      </c>
      <c r="C1077" s="164">
        <v>3</v>
      </c>
      <c r="D1077" s="230" t="s">
        <v>166</v>
      </c>
      <c r="E1077" s="228"/>
      <c r="F1077" s="228"/>
      <c r="G1077" s="228"/>
      <c r="H1077" s="229"/>
      <c r="I1077" s="45">
        <f>I1078+I1086+I1096+I1103+I1111+I1119+I1127+I1134+I1142+I1158+I1166+I1150</f>
        <v>1994082</v>
      </c>
      <c r="J1077" s="45">
        <f>J1078+J1086+J1096+J1103+J1111+J1119+J1127+J1134+J1142+J1158+J1166+J1150</f>
        <v>6150</v>
      </c>
      <c r="K1077" s="45">
        <f t="shared" si="192"/>
        <v>2000232</v>
      </c>
      <c r="L1077" s="172"/>
      <c r="M1077" s="45">
        <f>M1078+M1086+M1096+M1103+M1111+M1119+M1127+M1134+M1142+M1158+M1166+M1150</f>
        <v>0</v>
      </c>
      <c r="N1077" s="45">
        <f>N1078+N1086+N1096+N1103+N1111+N1119+N1127+N1134+N1142+N1158+N1166+N1150</f>
        <v>0</v>
      </c>
      <c r="O1077" s="45">
        <f t="shared" si="193"/>
        <v>0</v>
      </c>
      <c r="P1077" s="172"/>
      <c r="Q1077" s="45">
        <f t="shared" si="204"/>
        <v>1994082</v>
      </c>
      <c r="R1077" s="45">
        <f t="shared" si="205"/>
        <v>6150</v>
      </c>
      <c r="S1077" s="45">
        <f t="shared" si="205"/>
        <v>2000232</v>
      </c>
    </row>
    <row r="1078" spans="2:19" x14ac:dyDescent="0.2">
      <c r="B1078" s="75">
        <f t="shared" si="197"/>
        <v>430</v>
      </c>
      <c r="C1078" s="15"/>
      <c r="D1078" s="15"/>
      <c r="E1078" s="15"/>
      <c r="F1078" s="52" t="s">
        <v>165</v>
      </c>
      <c r="G1078" s="15">
        <v>640</v>
      </c>
      <c r="H1078" s="15" t="s">
        <v>136</v>
      </c>
      <c r="I1078" s="49">
        <f>SUM(I1079:I1085)</f>
        <v>396065</v>
      </c>
      <c r="J1078" s="49">
        <f>SUM(J1079:J1085)</f>
        <v>0</v>
      </c>
      <c r="K1078" s="49">
        <f t="shared" si="192"/>
        <v>396065</v>
      </c>
      <c r="L1078" s="123"/>
      <c r="M1078" s="49"/>
      <c r="N1078" s="49"/>
      <c r="O1078" s="49">
        <f t="shared" si="193"/>
        <v>0</v>
      </c>
      <c r="P1078" s="123"/>
      <c r="Q1078" s="49">
        <f t="shared" si="204"/>
        <v>396065</v>
      </c>
      <c r="R1078" s="49">
        <f t="shared" si="205"/>
        <v>0</v>
      </c>
      <c r="S1078" s="49">
        <f t="shared" si="205"/>
        <v>396065</v>
      </c>
    </row>
    <row r="1079" spans="2:19" x14ac:dyDescent="0.2">
      <c r="B1079" s="75">
        <f t="shared" si="197"/>
        <v>431</v>
      </c>
      <c r="C1079" s="15"/>
      <c r="D1079" s="15"/>
      <c r="E1079" s="15"/>
      <c r="F1079" s="52"/>
      <c r="G1079" s="15"/>
      <c r="H1079" s="60" t="s">
        <v>384</v>
      </c>
      <c r="I1079" s="58">
        <v>11056</v>
      </c>
      <c r="J1079" s="58"/>
      <c r="K1079" s="58">
        <f t="shared" si="192"/>
        <v>11056</v>
      </c>
      <c r="L1079" s="76"/>
      <c r="M1079" s="58"/>
      <c r="N1079" s="58"/>
      <c r="O1079" s="58">
        <f t="shared" si="193"/>
        <v>0</v>
      </c>
      <c r="P1079" s="76"/>
      <c r="Q1079" s="58">
        <f t="shared" si="204"/>
        <v>11056</v>
      </c>
      <c r="R1079" s="58">
        <f t="shared" si="205"/>
        <v>0</v>
      </c>
      <c r="S1079" s="58">
        <f t="shared" si="205"/>
        <v>11056</v>
      </c>
    </row>
    <row r="1080" spans="2:19" x14ac:dyDescent="0.2">
      <c r="B1080" s="75">
        <f t="shared" si="197"/>
        <v>432</v>
      </c>
      <c r="C1080" s="15"/>
      <c r="D1080" s="15"/>
      <c r="E1080" s="15"/>
      <c r="F1080" s="52"/>
      <c r="G1080" s="15"/>
      <c r="H1080" s="60" t="s">
        <v>169</v>
      </c>
      <c r="I1080" s="58">
        <v>9852</v>
      </c>
      <c r="J1080" s="58"/>
      <c r="K1080" s="58">
        <f t="shared" si="192"/>
        <v>9852</v>
      </c>
      <c r="L1080" s="76"/>
      <c r="M1080" s="58"/>
      <c r="N1080" s="58"/>
      <c r="O1080" s="58">
        <f t="shared" si="193"/>
        <v>0</v>
      </c>
      <c r="P1080" s="76"/>
      <c r="Q1080" s="58">
        <f t="shared" si="204"/>
        <v>9852</v>
      </c>
      <c r="R1080" s="58">
        <f t="shared" si="205"/>
        <v>0</v>
      </c>
      <c r="S1080" s="58">
        <f t="shared" si="205"/>
        <v>9852</v>
      </c>
    </row>
    <row r="1081" spans="2:19" x14ac:dyDescent="0.2">
      <c r="B1081" s="75">
        <f t="shared" si="197"/>
        <v>433</v>
      </c>
      <c r="C1081" s="15"/>
      <c r="D1081" s="15"/>
      <c r="E1081" s="15"/>
      <c r="F1081" s="52"/>
      <c r="G1081" s="15"/>
      <c r="H1081" s="60" t="s">
        <v>385</v>
      </c>
      <c r="I1081" s="58">
        <v>16092</v>
      </c>
      <c r="J1081" s="58"/>
      <c r="K1081" s="58">
        <f t="shared" si="192"/>
        <v>16092</v>
      </c>
      <c r="L1081" s="76"/>
      <c r="M1081" s="58"/>
      <c r="N1081" s="58"/>
      <c r="O1081" s="58">
        <f t="shared" si="193"/>
        <v>0</v>
      </c>
      <c r="P1081" s="76"/>
      <c r="Q1081" s="58">
        <f t="shared" si="204"/>
        <v>16092</v>
      </c>
      <c r="R1081" s="58">
        <f t="shared" si="205"/>
        <v>0</v>
      </c>
      <c r="S1081" s="58">
        <f t="shared" si="205"/>
        <v>16092</v>
      </c>
    </row>
    <row r="1082" spans="2:19" x14ac:dyDescent="0.2">
      <c r="B1082" s="75">
        <f t="shared" si="197"/>
        <v>434</v>
      </c>
      <c r="C1082" s="15"/>
      <c r="D1082" s="15"/>
      <c r="E1082" s="15"/>
      <c r="F1082" s="52"/>
      <c r="G1082" s="15"/>
      <c r="H1082" s="60" t="s">
        <v>386</v>
      </c>
      <c r="I1082" s="58">
        <v>11990</v>
      </c>
      <c r="J1082" s="58"/>
      <c r="K1082" s="58">
        <f t="shared" si="192"/>
        <v>11990</v>
      </c>
      <c r="L1082" s="76"/>
      <c r="M1082" s="58"/>
      <c r="N1082" s="58"/>
      <c r="O1082" s="58">
        <f t="shared" si="193"/>
        <v>0</v>
      </c>
      <c r="P1082" s="76"/>
      <c r="Q1082" s="58">
        <f t="shared" si="204"/>
        <v>11990</v>
      </c>
      <c r="R1082" s="58">
        <f t="shared" si="205"/>
        <v>0</v>
      </c>
      <c r="S1082" s="58">
        <f t="shared" si="205"/>
        <v>11990</v>
      </c>
    </row>
    <row r="1083" spans="2:19" x14ac:dyDescent="0.2">
      <c r="B1083" s="75">
        <f t="shared" si="197"/>
        <v>435</v>
      </c>
      <c r="C1083" s="15"/>
      <c r="D1083" s="15"/>
      <c r="E1083" s="15"/>
      <c r="F1083" s="52"/>
      <c r="G1083" s="15"/>
      <c r="H1083" s="60" t="s">
        <v>387</v>
      </c>
      <c r="I1083" s="58">
        <v>150500</v>
      </c>
      <c r="J1083" s="58"/>
      <c r="K1083" s="58">
        <f t="shared" si="192"/>
        <v>150500</v>
      </c>
      <c r="L1083" s="76"/>
      <c r="M1083" s="58"/>
      <c r="N1083" s="58"/>
      <c r="O1083" s="58">
        <f t="shared" si="193"/>
        <v>0</v>
      </c>
      <c r="P1083" s="76"/>
      <c r="Q1083" s="58">
        <f t="shared" si="204"/>
        <v>150500</v>
      </c>
      <c r="R1083" s="58">
        <f t="shared" si="205"/>
        <v>0</v>
      </c>
      <c r="S1083" s="58">
        <f t="shared" si="205"/>
        <v>150500</v>
      </c>
    </row>
    <row r="1084" spans="2:19" x14ac:dyDescent="0.2">
      <c r="B1084" s="75">
        <f t="shared" si="197"/>
        <v>436</v>
      </c>
      <c r="C1084" s="15"/>
      <c r="D1084" s="15"/>
      <c r="E1084" s="15"/>
      <c r="F1084" s="52"/>
      <c r="G1084" s="15"/>
      <c r="H1084" s="60" t="s">
        <v>419</v>
      </c>
      <c r="I1084" s="58">
        <v>193291</v>
      </c>
      <c r="J1084" s="58"/>
      <c r="K1084" s="58">
        <f t="shared" si="192"/>
        <v>193291</v>
      </c>
      <c r="L1084" s="76"/>
      <c r="M1084" s="58"/>
      <c r="N1084" s="58"/>
      <c r="O1084" s="58">
        <f t="shared" si="193"/>
        <v>0</v>
      </c>
      <c r="P1084" s="76"/>
      <c r="Q1084" s="58">
        <f t="shared" si="204"/>
        <v>193291</v>
      </c>
      <c r="R1084" s="58">
        <f t="shared" si="205"/>
        <v>0</v>
      </c>
      <c r="S1084" s="58">
        <f t="shared" si="205"/>
        <v>193291</v>
      </c>
    </row>
    <row r="1085" spans="2:19" x14ac:dyDescent="0.2">
      <c r="B1085" s="75">
        <f t="shared" si="197"/>
        <v>437</v>
      </c>
      <c r="C1085" s="15"/>
      <c r="D1085" s="15"/>
      <c r="E1085" s="15"/>
      <c r="F1085" s="52"/>
      <c r="G1085" s="15"/>
      <c r="H1085" s="60" t="s">
        <v>297</v>
      </c>
      <c r="I1085" s="58">
        <v>3284</v>
      </c>
      <c r="J1085" s="58"/>
      <c r="K1085" s="58">
        <f t="shared" si="192"/>
        <v>3284</v>
      </c>
      <c r="L1085" s="76"/>
      <c r="M1085" s="58"/>
      <c r="N1085" s="58"/>
      <c r="O1085" s="58">
        <f t="shared" si="193"/>
        <v>0</v>
      </c>
      <c r="P1085" s="76"/>
      <c r="Q1085" s="58">
        <f t="shared" si="204"/>
        <v>3284</v>
      </c>
      <c r="R1085" s="58">
        <f t="shared" si="205"/>
        <v>0</v>
      </c>
      <c r="S1085" s="58">
        <f t="shared" si="205"/>
        <v>3284</v>
      </c>
    </row>
    <row r="1086" spans="2:19" ht="15" x14ac:dyDescent="0.25">
      <c r="B1086" s="75">
        <f t="shared" si="197"/>
        <v>438</v>
      </c>
      <c r="C1086" s="18"/>
      <c r="D1086" s="18"/>
      <c r="E1086" s="18">
        <v>1</v>
      </c>
      <c r="F1086" s="50"/>
      <c r="G1086" s="18"/>
      <c r="H1086" s="18" t="s">
        <v>321</v>
      </c>
      <c r="I1086" s="47">
        <f>I1087+I1088+I1089+I1095</f>
        <v>104425</v>
      </c>
      <c r="J1086" s="47">
        <f>J1087+J1088+J1089+J1095</f>
        <v>2500</v>
      </c>
      <c r="K1086" s="47">
        <f t="shared" si="192"/>
        <v>106925</v>
      </c>
      <c r="L1086" s="174"/>
      <c r="M1086" s="47">
        <v>0</v>
      </c>
      <c r="N1086" s="47"/>
      <c r="O1086" s="47">
        <f t="shared" si="193"/>
        <v>0</v>
      </c>
      <c r="P1086" s="174"/>
      <c r="Q1086" s="47">
        <f t="shared" si="204"/>
        <v>104425</v>
      </c>
      <c r="R1086" s="47">
        <f t="shared" si="205"/>
        <v>2500</v>
      </c>
      <c r="S1086" s="47">
        <f t="shared" si="205"/>
        <v>106925</v>
      </c>
    </row>
    <row r="1087" spans="2:19" x14ac:dyDescent="0.2">
      <c r="B1087" s="75">
        <f t="shared" si="197"/>
        <v>439</v>
      </c>
      <c r="C1087" s="15"/>
      <c r="D1087" s="15"/>
      <c r="E1087" s="15"/>
      <c r="F1087" s="52" t="s">
        <v>165</v>
      </c>
      <c r="G1087" s="15">
        <v>610</v>
      </c>
      <c r="H1087" s="15" t="s">
        <v>137</v>
      </c>
      <c r="I1087" s="49">
        <v>60321</v>
      </c>
      <c r="J1087" s="49"/>
      <c r="K1087" s="49">
        <f t="shared" si="192"/>
        <v>60321</v>
      </c>
      <c r="L1087" s="123"/>
      <c r="M1087" s="49"/>
      <c r="N1087" s="49"/>
      <c r="O1087" s="49">
        <f t="shared" si="193"/>
        <v>0</v>
      </c>
      <c r="P1087" s="123"/>
      <c r="Q1087" s="49">
        <f t="shared" si="204"/>
        <v>60321</v>
      </c>
      <c r="R1087" s="49">
        <f t="shared" si="205"/>
        <v>0</v>
      </c>
      <c r="S1087" s="49">
        <f t="shared" si="205"/>
        <v>60321</v>
      </c>
    </row>
    <row r="1088" spans="2:19" x14ac:dyDescent="0.2">
      <c r="B1088" s="75">
        <f t="shared" si="197"/>
        <v>440</v>
      </c>
      <c r="C1088" s="15"/>
      <c r="D1088" s="15"/>
      <c r="E1088" s="15"/>
      <c r="F1088" s="52" t="s">
        <v>165</v>
      </c>
      <c r="G1088" s="15">
        <v>620</v>
      </c>
      <c r="H1088" s="15" t="s">
        <v>132</v>
      </c>
      <c r="I1088" s="49">
        <v>20947</v>
      </c>
      <c r="J1088" s="49"/>
      <c r="K1088" s="49">
        <f t="shared" si="192"/>
        <v>20947</v>
      </c>
      <c r="L1088" s="123"/>
      <c r="M1088" s="49"/>
      <c r="N1088" s="49"/>
      <c r="O1088" s="49">
        <f t="shared" si="193"/>
        <v>0</v>
      </c>
      <c r="P1088" s="123"/>
      <c r="Q1088" s="49">
        <f t="shared" si="204"/>
        <v>20947</v>
      </c>
      <c r="R1088" s="49">
        <f t="shared" si="205"/>
        <v>0</v>
      </c>
      <c r="S1088" s="49">
        <f t="shared" si="205"/>
        <v>20947</v>
      </c>
    </row>
    <row r="1089" spans="2:19" x14ac:dyDescent="0.2">
      <c r="B1089" s="75">
        <f t="shared" si="197"/>
        <v>441</v>
      </c>
      <c r="C1089" s="15"/>
      <c r="D1089" s="15"/>
      <c r="E1089" s="15"/>
      <c r="F1089" s="52" t="s">
        <v>165</v>
      </c>
      <c r="G1089" s="15">
        <v>630</v>
      </c>
      <c r="H1089" s="15" t="s">
        <v>129</v>
      </c>
      <c r="I1089" s="49">
        <f>I1094+I1093+I1092+I1091+I1090</f>
        <v>22757</v>
      </c>
      <c r="J1089" s="49">
        <f>J1094+J1093+J1092+J1091+J1090</f>
        <v>2500</v>
      </c>
      <c r="K1089" s="49">
        <f t="shared" si="192"/>
        <v>25257</v>
      </c>
      <c r="L1089" s="123"/>
      <c r="M1089" s="49">
        <f>M1094+M1093+M1092+M1091+M1090</f>
        <v>0</v>
      </c>
      <c r="N1089" s="49">
        <f>N1094+N1093+N1092+N1091+N1090</f>
        <v>0</v>
      </c>
      <c r="O1089" s="49">
        <f t="shared" si="193"/>
        <v>0</v>
      </c>
      <c r="P1089" s="123"/>
      <c r="Q1089" s="49">
        <f t="shared" si="204"/>
        <v>22757</v>
      </c>
      <c r="R1089" s="49">
        <f t="shared" si="205"/>
        <v>2500</v>
      </c>
      <c r="S1089" s="49">
        <f t="shared" si="205"/>
        <v>25257</v>
      </c>
    </row>
    <row r="1090" spans="2:19" x14ac:dyDescent="0.2">
      <c r="B1090" s="75">
        <f t="shared" si="197"/>
        <v>442</v>
      </c>
      <c r="C1090" s="4"/>
      <c r="D1090" s="4"/>
      <c r="E1090" s="4"/>
      <c r="F1090" s="53" t="s">
        <v>165</v>
      </c>
      <c r="G1090" s="4">
        <v>631</v>
      </c>
      <c r="H1090" s="4" t="s">
        <v>135</v>
      </c>
      <c r="I1090" s="26">
        <v>500</v>
      </c>
      <c r="J1090" s="26"/>
      <c r="K1090" s="26">
        <f t="shared" si="192"/>
        <v>500</v>
      </c>
      <c r="L1090" s="76"/>
      <c r="M1090" s="26"/>
      <c r="N1090" s="26"/>
      <c r="O1090" s="26">
        <f t="shared" si="193"/>
        <v>0</v>
      </c>
      <c r="P1090" s="76"/>
      <c r="Q1090" s="26">
        <f t="shared" si="204"/>
        <v>500</v>
      </c>
      <c r="R1090" s="26">
        <f t="shared" si="205"/>
        <v>0</v>
      </c>
      <c r="S1090" s="26">
        <f t="shared" si="205"/>
        <v>500</v>
      </c>
    </row>
    <row r="1091" spans="2:19" x14ac:dyDescent="0.2">
      <c r="B1091" s="75">
        <f t="shared" si="197"/>
        <v>443</v>
      </c>
      <c r="C1091" s="4"/>
      <c r="D1091" s="4"/>
      <c r="E1091" s="4"/>
      <c r="F1091" s="53" t="s">
        <v>165</v>
      </c>
      <c r="G1091" s="4">
        <v>632</v>
      </c>
      <c r="H1091" s="4" t="s">
        <v>140</v>
      </c>
      <c r="I1091" s="26">
        <v>6300</v>
      </c>
      <c r="J1091" s="26"/>
      <c r="K1091" s="26">
        <f t="shared" si="192"/>
        <v>6300</v>
      </c>
      <c r="L1091" s="76"/>
      <c r="M1091" s="26"/>
      <c r="N1091" s="26"/>
      <c r="O1091" s="26">
        <f t="shared" si="193"/>
        <v>0</v>
      </c>
      <c r="P1091" s="76"/>
      <c r="Q1091" s="26">
        <f t="shared" si="204"/>
        <v>6300</v>
      </c>
      <c r="R1091" s="26">
        <f t="shared" si="205"/>
        <v>0</v>
      </c>
      <c r="S1091" s="26">
        <f t="shared" si="205"/>
        <v>6300</v>
      </c>
    </row>
    <row r="1092" spans="2:19" x14ac:dyDescent="0.2">
      <c r="B1092" s="75">
        <f t="shared" si="197"/>
        <v>444</v>
      </c>
      <c r="C1092" s="4"/>
      <c r="D1092" s="4"/>
      <c r="E1092" s="4"/>
      <c r="F1092" s="53" t="s">
        <v>165</v>
      </c>
      <c r="G1092" s="4">
        <v>633</v>
      </c>
      <c r="H1092" s="4" t="s">
        <v>133</v>
      </c>
      <c r="I1092" s="26">
        <v>5243</v>
      </c>
      <c r="J1092" s="26"/>
      <c r="K1092" s="26">
        <f t="shared" si="192"/>
        <v>5243</v>
      </c>
      <c r="L1092" s="76"/>
      <c r="M1092" s="26"/>
      <c r="N1092" s="26"/>
      <c r="O1092" s="26">
        <f t="shared" si="193"/>
        <v>0</v>
      </c>
      <c r="P1092" s="76"/>
      <c r="Q1092" s="26">
        <f t="shared" si="204"/>
        <v>5243</v>
      </c>
      <c r="R1092" s="26">
        <f t="shared" ref="R1092:S1107" si="206">N1092+J1092</f>
        <v>0</v>
      </c>
      <c r="S1092" s="26">
        <f t="shared" si="206"/>
        <v>5243</v>
      </c>
    </row>
    <row r="1093" spans="2:19" x14ac:dyDescent="0.2">
      <c r="B1093" s="75">
        <f t="shared" si="197"/>
        <v>445</v>
      </c>
      <c r="C1093" s="4"/>
      <c r="D1093" s="4"/>
      <c r="E1093" s="4"/>
      <c r="F1093" s="53" t="s">
        <v>165</v>
      </c>
      <c r="G1093" s="4">
        <v>635</v>
      </c>
      <c r="H1093" s="4" t="s">
        <v>139</v>
      </c>
      <c r="I1093" s="26">
        <v>435</v>
      </c>
      <c r="J1093" s="26"/>
      <c r="K1093" s="26">
        <f t="shared" si="192"/>
        <v>435</v>
      </c>
      <c r="L1093" s="76"/>
      <c r="M1093" s="26"/>
      <c r="N1093" s="26"/>
      <c r="O1093" s="26">
        <f t="shared" si="193"/>
        <v>0</v>
      </c>
      <c r="P1093" s="76"/>
      <c r="Q1093" s="26">
        <f t="shared" si="204"/>
        <v>435</v>
      </c>
      <c r="R1093" s="26">
        <f t="shared" si="206"/>
        <v>0</v>
      </c>
      <c r="S1093" s="26">
        <f t="shared" si="206"/>
        <v>435</v>
      </c>
    </row>
    <row r="1094" spans="2:19" x14ac:dyDescent="0.2">
      <c r="B1094" s="75">
        <f t="shared" si="197"/>
        <v>446</v>
      </c>
      <c r="C1094" s="4"/>
      <c r="D1094" s="4"/>
      <c r="E1094" s="4"/>
      <c r="F1094" s="53" t="s">
        <v>165</v>
      </c>
      <c r="G1094" s="4">
        <v>637</v>
      </c>
      <c r="H1094" s="4" t="s">
        <v>130</v>
      </c>
      <c r="I1094" s="26">
        <v>10279</v>
      </c>
      <c r="J1094" s="26">
        <v>2500</v>
      </c>
      <c r="K1094" s="26">
        <f t="shared" si="192"/>
        <v>12779</v>
      </c>
      <c r="L1094" s="76"/>
      <c r="M1094" s="26"/>
      <c r="N1094" s="26"/>
      <c r="O1094" s="26">
        <f t="shared" si="193"/>
        <v>0</v>
      </c>
      <c r="P1094" s="76"/>
      <c r="Q1094" s="26">
        <f t="shared" si="204"/>
        <v>10279</v>
      </c>
      <c r="R1094" s="26">
        <f t="shared" si="206"/>
        <v>2500</v>
      </c>
      <c r="S1094" s="26">
        <f t="shared" si="206"/>
        <v>12779</v>
      </c>
    </row>
    <row r="1095" spans="2:19" x14ac:dyDescent="0.2">
      <c r="B1095" s="75">
        <f t="shared" si="197"/>
        <v>447</v>
      </c>
      <c r="C1095" s="15"/>
      <c r="D1095" s="15"/>
      <c r="E1095" s="15"/>
      <c r="F1095" s="52" t="s">
        <v>165</v>
      </c>
      <c r="G1095" s="15">
        <v>640</v>
      </c>
      <c r="H1095" s="15" t="s">
        <v>136</v>
      </c>
      <c r="I1095" s="49">
        <v>400</v>
      </c>
      <c r="J1095" s="49"/>
      <c r="K1095" s="49">
        <f t="shared" si="192"/>
        <v>400</v>
      </c>
      <c r="L1095" s="123"/>
      <c r="M1095" s="49"/>
      <c r="N1095" s="49"/>
      <c r="O1095" s="49">
        <f t="shared" si="193"/>
        <v>0</v>
      </c>
      <c r="P1095" s="123"/>
      <c r="Q1095" s="49">
        <f t="shared" si="204"/>
        <v>400</v>
      </c>
      <c r="R1095" s="49">
        <f t="shared" si="206"/>
        <v>0</v>
      </c>
      <c r="S1095" s="49">
        <f t="shared" si="206"/>
        <v>400</v>
      </c>
    </row>
    <row r="1096" spans="2:19" ht="15" x14ac:dyDescent="0.25">
      <c r="B1096" s="75">
        <f t="shared" si="197"/>
        <v>448</v>
      </c>
      <c r="C1096" s="18"/>
      <c r="D1096" s="18"/>
      <c r="E1096" s="18">
        <v>4</v>
      </c>
      <c r="F1096" s="50"/>
      <c r="G1096" s="18"/>
      <c r="H1096" s="18" t="s">
        <v>86</v>
      </c>
      <c r="I1096" s="47">
        <f>I1097+I1098+I1099</f>
        <v>12963</v>
      </c>
      <c r="J1096" s="47">
        <f>J1097+J1098+J1099</f>
        <v>0</v>
      </c>
      <c r="K1096" s="47">
        <f t="shared" si="192"/>
        <v>12963</v>
      </c>
      <c r="L1096" s="174"/>
      <c r="M1096" s="47">
        <f>M1097+M1098+M1099</f>
        <v>0</v>
      </c>
      <c r="N1096" s="47">
        <f>N1097+N1098+N1099</f>
        <v>0</v>
      </c>
      <c r="O1096" s="47">
        <f t="shared" si="193"/>
        <v>0</v>
      </c>
      <c r="P1096" s="174"/>
      <c r="Q1096" s="47">
        <f t="shared" si="204"/>
        <v>12963</v>
      </c>
      <c r="R1096" s="47">
        <f t="shared" si="206"/>
        <v>0</v>
      </c>
      <c r="S1096" s="47">
        <f t="shared" si="206"/>
        <v>12963</v>
      </c>
    </row>
    <row r="1097" spans="2:19" x14ac:dyDescent="0.2">
      <c r="B1097" s="75">
        <f t="shared" si="197"/>
        <v>449</v>
      </c>
      <c r="C1097" s="15"/>
      <c r="D1097" s="15"/>
      <c r="E1097" s="15"/>
      <c r="F1097" s="52" t="s">
        <v>165</v>
      </c>
      <c r="G1097" s="15">
        <v>610</v>
      </c>
      <c r="H1097" s="15" t="s">
        <v>137</v>
      </c>
      <c r="I1097" s="49">
        <v>8671</v>
      </c>
      <c r="J1097" s="49"/>
      <c r="K1097" s="49">
        <f t="shared" si="192"/>
        <v>8671</v>
      </c>
      <c r="L1097" s="123"/>
      <c r="M1097" s="49"/>
      <c r="N1097" s="49"/>
      <c r="O1097" s="49">
        <f t="shared" si="193"/>
        <v>0</v>
      </c>
      <c r="P1097" s="123"/>
      <c r="Q1097" s="49">
        <f t="shared" si="204"/>
        <v>8671</v>
      </c>
      <c r="R1097" s="49">
        <f t="shared" si="206"/>
        <v>0</v>
      </c>
      <c r="S1097" s="49">
        <f t="shared" si="206"/>
        <v>8671</v>
      </c>
    </row>
    <row r="1098" spans="2:19" x14ac:dyDescent="0.2">
      <c r="B1098" s="75">
        <f t="shared" si="197"/>
        <v>450</v>
      </c>
      <c r="C1098" s="15"/>
      <c r="D1098" s="15"/>
      <c r="E1098" s="15"/>
      <c r="F1098" s="52" t="s">
        <v>165</v>
      </c>
      <c r="G1098" s="15">
        <v>620</v>
      </c>
      <c r="H1098" s="15" t="s">
        <v>132</v>
      </c>
      <c r="I1098" s="49">
        <v>3222</v>
      </c>
      <c r="J1098" s="49"/>
      <c r="K1098" s="49">
        <f t="shared" si="192"/>
        <v>3222</v>
      </c>
      <c r="L1098" s="123"/>
      <c r="M1098" s="49"/>
      <c r="N1098" s="49"/>
      <c r="O1098" s="49">
        <f t="shared" si="193"/>
        <v>0</v>
      </c>
      <c r="P1098" s="123"/>
      <c r="Q1098" s="49">
        <f t="shared" si="204"/>
        <v>3222</v>
      </c>
      <c r="R1098" s="49">
        <f t="shared" si="206"/>
        <v>0</v>
      </c>
      <c r="S1098" s="49">
        <f t="shared" si="206"/>
        <v>3222</v>
      </c>
    </row>
    <row r="1099" spans="2:19" x14ac:dyDescent="0.2">
      <c r="B1099" s="75">
        <f t="shared" si="197"/>
        <v>451</v>
      </c>
      <c r="C1099" s="15"/>
      <c r="D1099" s="15"/>
      <c r="E1099" s="15"/>
      <c r="F1099" s="52" t="s">
        <v>165</v>
      </c>
      <c r="G1099" s="15">
        <v>630</v>
      </c>
      <c r="H1099" s="15" t="s">
        <v>129</v>
      </c>
      <c r="I1099" s="49">
        <f>I1102+I1101+I1100</f>
        <v>1070</v>
      </c>
      <c r="J1099" s="49">
        <f>J1102+J1101+J1100</f>
        <v>0</v>
      </c>
      <c r="K1099" s="49">
        <f t="shared" si="192"/>
        <v>1070</v>
      </c>
      <c r="L1099" s="123"/>
      <c r="M1099" s="49">
        <f>M1102+M1101+M1100</f>
        <v>0</v>
      </c>
      <c r="N1099" s="49">
        <f>N1102+N1101+N1100</f>
        <v>0</v>
      </c>
      <c r="O1099" s="49">
        <f t="shared" si="193"/>
        <v>0</v>
      </c>
      <c r="P1099" s="123"/>
      <c r="Q1099" s="49">
        <f t="shared" si="204"/>
        <v>1070</v>
      </c>
      <c r="R1099" s="49">
        <f t="shared" si="206"/>
        <v>0</v>
      </c>
      <c r="S1099" s="49">
        <f t="shared" si="206"/>
        <v>1070</v>
      </c>
    </row>
    <row r="1100" spans="2:19" x14ac:dyDescent="0.2">
      <c r="B1100" s="75">
        <f t="shared" si="197"/>
        <v>452</v>
      </c>
      <c r="C1100" s="4"/>
      <c r="D1100" s="4"/>
      <c r="E1100" s="4"/>
      <c r="F1100" s="53" t="s">
        <v>165</v>
      </c>
      <c r="G1100" s="4">
        <v>632</v>
      </c>
      <c r="H1100" s="4" t="s">
        <v>140</v>
      </c>
      <c r="I1100" s="26">
        <v>550</v>
      </c>
      <c r="J1100" s="26"/>
      <c r="K1100" s="26">
        <f t="shared" si="192"/>
        <v>550</v>
      </c>
      <c r="L1100" s="76"/>
      <c r="M1100" s="26"/>
      <c r="N1100" s="26"/>
      <c r="O1100" s="26">
        <f t="shared" si="193"/>
        <v>0</v>
      </c>
      <c r="P1100" s="76"/>
      <c r="Q1100" s="26">
        <f t="shared" si="204"/>
        <v>550</v>
      </c>
      <c r="R1100" s="26">
        <f t="shared" si="206"/>
        <v>0</v>
      </c>
      <c r="S1100" s="26">
        <f t="shared" si="206"/>
        <v>550</v>
      </c>
    </row>
    <row r="1101" spans="2:19" x14ac:dyDescent="0.2">
      <c r="B1101" s="75">
        <f t="shared" si="197"/>
        <v>453</v>
      </c>
      <c r="C1101" s="4"/>
      <c r="D1101" s="4"/>
      <c r="E1101" s="4"/>
      <c r="F1101" s="53" t="s">
        <v>165</v>
      </c>
      <c r="G1101" s="4">
        <v>633</v>
      </c>
      <c r="H1101" s="4" t="s">
        <v>133</v>
      </c>
      <c r="I1101" s="26">
        <v>400</v>
      </c>
      <c r="J1101" s="26"/>
      <c r="K1101" s="26">
        <f t="shared" si="192"/>
        <v>400</v>
      </c>
      <c r="L1101" s="76"/>
      <c r="M1101" s="26"/>
      <c r="N1101" s="26"/>
      <c r="O1101" s="26">
        <f t="shared" si="193"/>
        <v>0</v>
      </c>
      <c r="P1101" s="76"/>
      <c r="Q1101" s="26">
        <f t="shared" si="204"/>
        <v>400</v>
      </c>
      <c r="R1101" s="26">
        <f t="shared" si="206"/>
        <v>0</v>
      </c>
      <c r="S1101" s="26">
        <f t="shared" si="206"/>
        <v>400</v>
      </c>
    </row>
    <row r="1102" spans="2:19" x14ac:dyDescent="0.2">
      <c r="B1102" s="75">
        <f t="shared" si="197"/>
        <v>454</v>
      </c>
      <c r="C1102" s="4"/>
      <c r="D1102" s="4"/>
      <c r="E1102" s="4"/>
      <c r="F1102" s="53" t="s">
        <v>165</v>
      </c>
      <c r="G1102" s="4">
        <v>637</v>
      </c>
      <c r="H1102" s="4" t="s">
        <v>130</v>
      </c>
      <c r="I1102" s="26">
        <v>120</v>
      </c>
      <c r="J1102" s="26"/>
      <c r="K1102" s="26">
        <f t="shared" si="192"/>
        <v>120</v>
      </c>
      <c r="L1102" s="76"/>
      <c r="M1102" s="26"/>
      <c r="N1102" s="26"/>
      <c r="O1102" s="26">
        <f t="shared" si="193"/>
        <v>0</v>
      </c>
      <c r="P1102" s="76"/>
      <c r="Q1102" s="26">
        <f t="shared" si="204"/>
        <v>120</v>
      </c>
      <c r="R1102" s="26">
        <f t="shared" si="206"/>
        <v>0</v>
      </c>
      <c r="S1102" s="26">
        <f t="shared" si="206"/>
        <v>120</v>
      </c>
    </row>
    <row r="1103" spans="2:19" ht="15" x14ac:dyDescent="0.25">
      <c r="B1103" s="75">
        <f t="shared" si="197"/>
        <v>455</v>
      </c>
      <c r="C1103" s="18"/>
      <c r="D1103" s="18"/>
      <c r="E1103" s="18">
        <v>6</v>
      </c>
      <c r="F1103" s="50"/>
      <c r="G1103" s="18"/>
      <c r="H1103" s="18" t="s">
        <v>83</v>
      </c>
      <c r="I1103" s="47">
        <f>I1104+I1105+I1106+I1110</f>
        <v>79322</v>
      </c>
      <c r="J1103" s="47">
        <f>J1104+J1105+J1106+J1110</f>
        <v>0</v>
      </c>
      <c r="K1103" s="47">
        <f t="shared" si="192"/>
        <v>79322</v>
      </c>
      <c r="L1103" s="174"/>
      <c r="M1103" s="47">
        <f>M1104+M1105+M1106+M1110</f>
        <v>0</v>
      </c>
      <c r="N1103" s="47">
        <f>N1104+N1105+N1106+N1110</f>
        <v>0</v>
      </c>
      <c r="O1103" s="47">
        <f t="shared" si="193"/>
        <v>0</v>
      </c>
      <c r="P1103" s="174"/>
      <c r="Q1103" s="47">
        <f t="shared" si="204"/>
        <v>79322</v>
      </c>
      <c r="R1103" s="47">
        <f t="shared" si="206"/>
        <v>0</v>
      </c>
      <c r="S1103" s="47">
        <f t="shared" si="206"/>
        <v>79322</v>
      </c>
    </row>
    <row r="1104" spans="2:19" x14ac:dyDescent="0.2">
      <c r="B1104" s="75">
        <f t="shared" si="197"/>
        <v>456</v>
      </c>
      <c r="C1104" s="15"/>
      <c r="D1104" s="15"/>
      <c r="E1104" s="15"/>
      <c r="F1104" s="52" t="s">
        <v>165</v>
      </c>
      <c r="G1104" s="15">
        <v>610</v>
      </c>
      <c r="H1104" s="15" t="s">
        <v>137</v>
      </c>
      <c r="I1104" s="49">
        <v>51446</v>
      </c>
      <c r="J1104" s="49"/>
      <c r="K1104" s="49">
        <f t="shared" si="192"/>
        <v>51446</v>
      </c>
      <c r="L1104" s="123"/>
      <c r="M1104" s="49"/>
      <c r="N1104" s="49"/>
      <c r="O1104" s="49">
        <f t="shared" si="193"/>
        <v>0</v>
      </c>
      <c r="P1104" s="123"/>
      <c r="Q1104" s="49">
        <f t="shared" si="204"/>
        <v>51446</v>
      </c>
      <c r="R1104" s="49">
        <f t="shared" si="206"/>
        <v>0</v>
      </c>
      <c r="S1104" s="49">
        <f t="shared" si="206"/>
        <v>51446</v>
      </c>
    </row>
    <row r="1105" spans="2:19" x14ac:dyDescent="0.2">
      <c r="B1105" s="75">
        <f t="shared" si="197"/>
        <v>457</v>
      </c>
      <c r="C1105" s="15"/>
      <c r="D1105" s="15"/>
      <c r="E1105" s="15"/>
      <c r="F1105" s="52" t="s">
        <v>165</v>
      </c>
      <c r="G1105" s="15">
        <v>620</v>
      </c>
      <c r="H1105" s="15" t="s">
        <v>132</v>
      </c>
      <c r="I1105" s="49">
        <v>19089</v>
      </c>
      <c r="J1105" s="49"/>
      <c r="K1105" s="49">
        <f t="shared" si="192"/>
        <v>19089</v>
      </c>
      <c r="L1105" s="123"/>
      <c r="M1105" s="49"/>
      <c r="N1105" s="49"/>
      <c r="O1105" s="49">
        <f t="shared" si="193"/>
        <v>0</v>
      </c>
      <c r="P1105" s="123"/>
      <c r="Q1105" s="49">
        <f t="shared" si="204"/>
        <v>19089</v>
      </c>
      <c r="R1105" s="49">
        <f t="shared" si="206"/>
        <v>0</v>
      </c>
      <c r="S1105" s="49">
        <f t="shared" si="206"/>
        <v>19089</v>
      </c>
    </row>
    <row r="1106" spans="2:19" x14ac:dyDescent="0.2">
      <c r="B1106" s="75">
        <f t="shared" si="197"/>
        <v>458</v>
      </c>
      <c r="C1106" s="15"/>
      <c r="D1106" s="15"/>
      <c r="E1106" s="15"/>
      <c r="F1106" s="52" t="s">
        <v>165</v>
      </c>
      <c r="G1106" s="15">
        <v>630</v>
      </c>
      <c r="H1106" s="15" t="s">
        <v>129</v>
      </c>
      <c r="I1106" s="49">
        <f>I1109+I1108+I1107</f>
        <v>8466</v>
      </c>
      <c r="J1106" s="49">
        <f>J1109+J1108+J1107</f>
        <v>0</v>
      </c>
      <c r="K1106" s="49">
        <f t="shared" si="192"/>
        <v>8466</v>
      </c>
      <c r="L1106" s="123"/>
      <c r="M1106" s="49">
        <f>M1109+M1108+M1107</f>
        <v>0</v>
      </c>
      <c r="N1106" s="49">
        <f>N1109+N1108+N1107</f>
        <v>0</v>
      </c>
      <c r="O1106" s="49">
        <f t="shared" si="193"/>
        <v>0</v>
      </c>
      <c r="P1106" s="123"/>
      <c r="Q1106" s="49">
        <f t="shared" si="204"/>
        <v>8466</v>
      </c>
      <c r="R1106" s="49">
        <f t="shared" si="206"/>
        <v>0</v>
      </c>
      <c r="S1106" s="49">
        <f t="shared" si="206"/>
        <v>8466</v>
      </c>
    </row>
    <row r="1107" spans="2:19" x14ac:dyDescent="0.2">
      <c r="B1107" s="75">
        <f t="shared" si="197"/>
        <v>459</v>
      </c>
      <c r="C1107" s="4"/>
      <c r="D1107" s="4"/>
      <c r="E1107" s="4"/>
      <c r="F1107" s="53" t="s">
        <v>165</v>
      </c>
      <c r="G1107" s="4">
        <v>632</v>
      </c>
      <c r="H1107" s="4" t="s">
        <v>140</v>
      </c>
      <c r="I1107" s="26">
        <v>6324</v>
      </c>
      <c r="J1107" s="26"/>
      <c r="K1107" s="26">
        <f t="shared" si="192"/>
        <v>6324</v>
      </c>
      <c r="L1107" s="76"/>
      <c r="M1107" s="26"/>
      <c r="N1107" s="26"/>
      <c r="O1107" s="26">
        <f t="shared" si="193"/>
        <v>0</v>
      </c>
      <c r="P1107" s="76"/>
      <c r="Q1107" s="26">
        <f t="shared" si="204"/>
        <v>6324</v>
      </c>
      <c r="R1107" s="26">
        <f t="shared" si="206"/>
        <v>0</v>
      </c>
      <c r="S1107" s="26">
        <f t="shared" si="206"/>
        <v>6324</v>
      </c>
    </row>
    <row r="1108" spans="2:19" x14ac:dyDescent="0.2">
      <c r="B1108" s="75">
        <f t="shared" si="197"/>
        <v>460</v>
      </c>
      <c r="C1108" s="4"/>
      <c r="D1108" s="4"/>
      <c r="E1108" s="4"/>
      <c r="F1108" s="53" t="s">
        <v>165</v>
      </c>
      <c r="G1108" s="4">
        <v>633</v>
      </c>
      <c r="H1108" s="4" t="s">
        <v>133</v>
      </c>
      <c r="I1108" s="26">
        <v>969</v>
      </c>
      <c r="J1108" s="26"/>
      <c r="K1108" s="26">
        <f t="shared" si="192"/>
        <v>969</v>
      </c>
      <c r="L1108" s="76"/>
      <c r="M1108" s="26"/>
      <c r="N1108" s="26"/>
      <c r="O1108" s="26">
        <f t="shared" si="193"/>
        <v>0</v>
      </c>
      <c r="P1108" s="76"/>
      <c r="Q1108" s="26">
        <f t="shared" ref="Q1108:Q1139" si="207">M1108+I1108</f>
        <v>969</v>
      </c>
      <c r="R1108" s="26">
        <f t="shared" ref="R1108:S1123" si="208">N1108+J1108</f>
        <v>0</v>
      </c>
      <c r="S1108" s="26">
        <f t="shared" si="208"/>
        <v>969</v>
      </c>
    </row>
    <row r="1109" spans="2:19" x14ac:dyDescent="0.2">
      <c r="B1109" s="75">
        <f t="shared" si="197"/>
        <v>461</v>
      </c>
      <c r="C1109" s="4"/>
      <c r="D1109" s="4"/>
      <c r="E1109" s="4"/>
      <c r="F1109" s="53" t="s">
        <v>165</v>
      </c>
      <c r="G1109" s="4">
        <v>637</v>
      </c>
      <c r="H1109" s="4" t="s">
        <v>130</v>
      </c>
      <c r="I1109" s="26">
        <v>1173</v>
      </c>
      <c r="J1109" s="26"/>
      <c r="K1109" s="26">
        <f t="shared" si="192"/>
        <v>1173</v>
      </c>
      <c r="L1109" s="76"/>
      <c r="M1109" s="26"/>
      <c r="N1109" s="26"/>
      <c r="O1109" s="26">
        <f t="shared" si="193"/>
        <v>0</v>
      </c>
      <c r="P1109" s="76"/>
      <c r="Q1109" s="26">
        <f t="shared" si="207"/>
        <v>1173</v>
      </c>
      <c r="R1109" s="26">
        <f t="shared" si="208"/>
        <v>0</v>
      </c>
      <c r="S1109" s="26">
        <f t="shared" si="208"/>
        <v>1173</v>
      </c>
    </row>
    <row r="1110" spans="2:19" x14ac:dyDescent="0.2">
      <c r="B1110" s="75">
        <f t="shared" si="197"/>
        <v>462</v>
      </c>
      <c r="C1110" s="15"/>
      <c r="D1110" s="15"/>
      <c r="E1110" s="15"/>
      <c r="F1110" s="52" t="s">
        <v>165</v>
      </c>
      <c r="G1110" s="15">
        <v>640</v>
      </c>
      <c r="H1110" s="15" t="s">
        <v>136</v>
      </c>
      <c r="I1110" s="49">
        <v>321</v>
      </c>
      <c r="J1110" s="49"/>
      <c r="K1110" s="49">
        <f t="shared" ref="K1110:K1173" si="209">I1110+J1110</f>
        <v>321</v>
      </c>
      <c r="L1110" s="123"/>
      <c r="M1110" s="49"/>
      <c r="N1110" s="49"/>
      <c r="O1110" s="49">
        <f t="shared" ref="O1110:O1173" si="210">M1110+N1110</f>
        <v>0</v>
      </c>
      <c r="P1110" s="123"/>
      <c r="Q1110" s="49">
        <f t="shared" si="207"/>
        <v>321</v>
      </c>
      <c r="R1110" s="49">
        <f t="shared" si="208"/>
        <v>0</v>
      </c>
      <c r="S1110" s="49">
        <f t="shared" si="208"/>
        <v>321</v>
      </c>
    </row>
    <row r="1111" spans="2:19" ht="15" x14ac:dyDescent="0.25">
      <c r="B1111" s="75">
        <f t="shared" ref="B1111:B1174" si="211">B1110+1</f>
        <v>463</v>
      </c>
      <c r="C1111" s="18"/>
      <c r="D1111" s="18"/>
      <c r="E1111" s="18">
        <v>7</v>
      </c>
      <c r="F1111" s="50"/>
      <c r="G1111" s="18"/>
      <c r="H1111" s="18" t="s">
        <v>324</v>
      </c>
      <c r="I1111" s="47">
        <f>I1112+I1113+I1114+I1118</f>
        <v>100965</v>
      </c>
      <c r="J1111" s="47">
        <f>J1112+J1113+J1114+J1118</f>
        <v>0</v>
      </c>
      <c r="K1111" s="47">
        <f t="shared" si="209"/>
        <v>100965</v>
      </c>
      <c r="L1111" s="174"/>
      <c r="M1111" s="47">
        <f>M1112+M1113+M1114+M1118</f>
        <v>0</v>
      </c>
      <c r="N1111" s="47">
        <f>N1112+N1113+N1114+N1118</f>
        <v>0</v>
      </c>
      <c r="O1111" s="47">
        <f t="shared" si="210"/>
        <v>0</v>
      </c>
      <c r="P1111" s="174"/>
      <c r="Q1111" s="47">
        <f t="shared" si="207"/>
        <v>100965</v>
      </c>
      <c r="R1111" s="47">
        <f t="shared" si="208"/>
        <v>0</v>
      </c>
      <c r="S1111" s="47">
        <f t="shared" si="208"/>
        <v>100965</v>
      </c>
    </row>
    <row r="1112" spans="2:19" x14ac:dyDescent="0.2">
      <c r="B1112" s="75">
        <f t="shared" si="211"/>
        <v>464</v>
      </c>
      <c r="C1112" s="15"/>
      <c r="D1112" s="15"/>
      <c r="E1112" s="15"/>
      <c r="F1112" s="52" t="s">
        <v>165</v>
      </c>
      <c r="G1112" s="15">
        <v>610</v>
      </c>
      <c r="H1112" s="15" t="s">
        <v>137</v>
      </c>
      <c r="I1112" s="49">
        <v>68905</v>
      </c>
      <c r="J1112" s="49"/>
      <c r="K1112" s="49">
        <f t="shared" si="209"/>
        <v>68905</v>
      </c>
      <c r="L1112" s="123"/>
      <c r="M1112" s="49"/>
      <c r="N1112" s="49"/>
      <c r="O1112" s="49">
        <f t="shared" si="210"/>
        <v>0</v>
      </c>
      <c r="P1112" s="123"/>
      <c r="Q1112" s="49">
        <f t="shared" si="207"/>
        <v>68905</v>
      </c>
      <c r="R1112" s="49">
        <f t="shared" si="208"/>
        <v>0</v>
      </c>
      <c r="S1112" s="49">
        <f t="shared" si="208"/>
        <v>68905</v>
      </c>
    </row>
    <row r="1113" spans="2:19" x14ac:dyDescent="0.2">
      <c r="B1113" s="75">
        <f t="shared" si="211"/>
        <v>465</v>
      </c>
      <c r="C1113" s="15"/>
      <c r="D1113" s="15"/>
      <c r="E1113" s="15"/>
      <c r="F1113" s="52" t="s">
        <v>165</v>
      </c>
      <c r="G1113" s="15">
        <v>620</v>
      </c>
      <c r="H1113" s="15" t="s">
        <v>132</v>
      </c>
      <c r="I1113" s="49">
        <v>24250</v>
      </c>
      <c r="J1113" s="49"/>
      <c r="K1113" s="49">
        <f t="shared" si="209"/>
        <v>24250</v>
      </c>
      <c r="L1113" s="123"/>
      <c r="M1113" s="49"/>
      <c r="N1113" s="49"/>
      <c r="O1113" s="49">
        <f t="shared" si="210"/>
        <v>0</v>
      </c>
      <c r="P1113" s="123"/>
      <c r="Q1113" s="49">
        <f t="shared" si="207"/>
        <v>24250</v>
      </c>
      <c r="R1113" s="49">
        <f t="shared" si="208"/>
        <v>0</v>
      </c>
      <c r="S1113" s="49">
        <f t="shared" si="208"/>
        <v>24250</v>
      </c>
    </row>
    <row r="1114" spans="2:19" x14ac:dyDescent="0.2">
      <c r="B1114" s="75">
        <f t="shared" si="211"/>
        <v>466</v>
      </c>
      <c r="C1114" s="15"/>
      <c r="D1114" s="15"/>
      <c r="E1114" s="15"/>
      <c r="F1114" s="52" t="s">
        <v>165</v>
      </c>
      <c r="G1114" s="15">
        <v>630</v>
      </c>
      <c r="H1114" s="15" t="s">
        <v>129</v>
      </c>
      <c r="I1114" s="49">
        <f>I1117+I1116+I1115</f>
        <v>5540</v>
      </c>
      <c r="J1114" s="49">
        <f>J1117+J1116+J1115</f>
        <v>0</v>
      </c>
      <c r="K1114" s="49">
        <f t="shared" si="209"/>
        <v>5540</v>
      </c>
      <c r="L1114" s="123"/>
      <c r="M1114" s="49">
        <f>M1117+M1116+M1115</f>
        <v>0</v>
      </c>
      <c r="N1114" s="49">
        <f>N1117+N1116+N1115</f>
        <v>0</v>
      </c>
      <c r="O1114" s="49">
        <f t="shared" si="210"/>
        <v>0</v>
      </c>
      <c r="P1114" s="123"/>
      <c r="Q1114" s="49">
        <f t="shared" si="207"/>
        <v>5540</v>
      </c>
      <c r="R1114" s="49">
        <f t="shared" si="208"/>
        <v>0</v>
      </c>
      <c r="S1114" s="49">
        <f t="shared" si="208"/>
        <v>5540</v>
      </c>
    </row>
    <row r="1115" spans="2:19" x14ac:dyDescent="0.2">
      <c r="B1115" s="75">
        <f t="shared" si="211"/>
        <v>467</v>
      </c>
      <c r="C1115" s="4"/>
      <c r="D1115" s="4"/>
      <c r="E1115" s="4"/>
      <c r="F1115" s="53" t="s">
        <v>165</v>
      </c>
      <c r="G1115" s="4">
        <v>632</v>
      </c>
      <c r="H1115" s="4" t="s">
        <v>140</v>
      </c>
      <c r="I1115" s="26">
        <v>1000</v>
      </c>
      <c r="J1115" s="26"/>
      <c r="K1115" s="26">
        <f t="shared" si="209"/>
        <v>1000</v>
      </c>
      <c r="L1115" s="76"/>
      <c r="M1115" s="26"/>
      <c r="N1115" s="26"/>
      <c r="O1115" s="26">
        <f t="shared" si="210"/>
        <v>0</v>
      </c>
      <c r="P1115" s="76"/>
      <c r="Q1115" s="26">
        <f t="shared" si="207"/>
        <v>1000</v>
      </c>
      <c r="R1115" s="26">
        <f t="shared" si="208"/>
        <v>0</v>
      </c>
      <c r="S1115" s="26">
        <f t="shared" si="208"/>
        <v>1000</v>
      </c>
    </row>
    <row r="1116" spans="2:19" x14ac:dyDescent="0.2">
      <c r="B1116" s="75">
        <f t="shared" si="211"/>
        <v>468</v>
      </c>
      <c r="C1116" s="4"/>
      <c r="D1116" s="4"/>
      <c r="E1116" s="4"/>
      <c r="F1116" s="53" t="s">
        <v>165</v>
      </c>
      <c r="G1116" s="4">
        <v>633</v>
      </c>
      <c r="H1116" s="4" t="s">
        <v>133</v>
      </c>
      <c r="I1116" s="26">
        <v>2040</v>
      </c>
      <c r="J1116" s="26"/>
      <c r="K1116" s="26">
        <f t="shared" si="209"/>
        <v>2040</v>
      </c>
      <c r="L1116" s="76"/>
      <c r="M1116" s="26"/>
      <c r="N1116" s="26"/>
      <c r="O1116" s="26">
        <f t="shared" si="210"/>
        <v>0</v>
      </c>
      <c r="P1116" s="76"/>
      <c r="Q1116" s="26">
        <f t="shared" si="207"/>
        <v>2040</v>
      </c>
      <c r="R1116" s="26">
        <f t="shared" si="208"/>
        <v>0</v>
      </c>
      <c r="S1116" s="26">
        <f t="shared" si="208"/>
        <v>2040</v>
      </c>
    </row>
    <row r="1117" spans="2:19" x14ac:dyDescent="0.2">
      <c r="B1117" s="75">
        <f t="shared" si="211"/>
        <v>469</v>
      </c>
      <c r="C1117" s="4"/>
      <c r="D1117" s="4"/>
      <c r="E1117" s="4"/>
      <c r="F1117" s="53" t="s">
        <v>165</v>
      </c>
      <c r="G1117" s="4">
        <v>637</v>
      </c>
      <c r="H1117" s="4" t="s">
        <v>130</v>
      </c>
      <c r="I1117" s="26">
        <v>2500</v>
      </c>
      <c r="J1117" s="26"/>
      <c r="K1117" s="26">
        <f t="shared" si="209"/>
        <v>2500</v>
      </c>
      <c r="L1117" s="76"/>
      <c r="M1117" s="26"/>
      <c r="N1117" s="26"/>
      <c r="O1117" s="26">
        <f t="shared" si="210"/>
        <v>0</v>
      </c>
      <c r="P1117" s="76"/>
      <c r="Q1117" s="26">
        <f t="shared" si="207"/>
        <v>2500</v>
      </c>
      <c r="R1117" s="26">
        <f t="shared" si="208"/>
        <v>0</v>
      </c>
      <c r="S1117" s="26">
        <f t="shared" si="208"/>
        <v>2500</v>
      </c>
    </row>
    <row r="1118" spans="2:19" x14ac:dyDescent="0.2">
      <c r="B1118" s="75">
        <f t="shared" si="211"/>
        <v>470</v>
      </c>
      <c r="C1118" s="15"/>
      <c r="D1118" s="15"/>
      <c r="E1118" s="15"/>
      <c r="F1118" s="52" t="s">
        <v>165</v>
      </c>
      <c r="G1118" s="15">
        <v>640</v>
      </c>
      <c r="H1118" s="15" t="s">
        <v>136</v>
      </c>
      <c r="I1118" s="49">
        <v>2270</v>
      </c>
      <c r="J1118" s="49"/>
      <c r="K1118" s="49">
        <f t="shared" si="209"/>
        <v>2270</v>
      </c>
      <c r="L1118" s="123"/>
      <c r="M1118" s="49"/>
      <c r="N1118" s="49"/>
      <c r="O1118" s="49">
        <f t="shared" si="210"/>
        <v>0</v>
      </c>
      <c r="P1118" s="123"/>
      <c r="Q1118" s="49">
        <f t="shared" si="207"/>
        <v>2270</v>
      </c>
      <c r="R1118" s="49">
        <f t="shared" si="208"/>
        <v>0</v>
      </c>
      <c r="S1118" s="49">
        <f t="shared" si="208"/>
        <v>2270</v>
      </c>
    </row>
    <row r="1119" spans="2:19" ht="15" x14ac:dyDescent="0.25">
      <c r="B1119" s="75">
        <f t="shared" si="211"/>
        <v>471</v>
      </c>
      <c r="C1119" s="18"/>
      <c r="D1119" s="18"/>
      <c r="E1119" s="18">
        <v>8</v>
      </c>
      <c r="F1119" s="50"/>
      <c r="G1119" s="18"/>
      <c r="H1119" s="18" t="s">
        <v>322</v>
      </c>
      <c r="I1119" s="47">
        <f>I1120+I1121+I1122+I1126</f>
        <v>155095</v>
      </c>
      <c r="J1119" s="47">
        <f>J1120+J1121+J1122+J1126</f>
        <v>0</v>
      </c>
      <c r="K1119" s="47">
        <f t="shared" si="209"/>
        <v>155095</v>
      </c>
      <c r="L1119" s="174"/>
      <c r="M1119" s="47">
        <f>M1120+M1121+M1122+M1126</f>
        <v>0</v>
      </c>
      <c r="N1119" s="47">
        <f>N1120+N1121+N1122+N1126</f>
        <v>0</v>
      </c>
      <c r="O1119" s="47">
        <f t="shared" si="210"/>
        <v>0</v>
      </c>
      <c r="P1119" s="174"/>
      <c r="Q1119" s="47">
        <f t="shared" si="207"/>
        <v>155095</v>
      </c>
      <c r="R1119" s="47">
        <f t="shared" si="208"/>
        <v>0</v>
      </c>
      <c r="S1119" s="47">
        <f t="shared" si="208"/>
        <v>155095</v>
      </c>
    </row>
    <row r="1120" spans="2:19" x14ac:dyDescent="0.2">
      <c r="B1120" s="75">
        <f t="shared" si="211"/>
        <v>472</v>
      </c>
      <c r="C1120" s="15"/>
      <c r="D1120" s="15"/>
      <c r="E1120" s="15"/>
      <c r="F1120" s="52" t="s">
        <v>165</v>
      </c>
      <c r="G1120" s="15">
        <v>610</v>
      </c>
      <c r="H1120" s="15" t="s">
        <v>137</v>
      </c>
      <c r="I1120" s="49">
        <v>106283</v>
      </c>
      <c r="J1120" s="49"/>
      <c r="K1120" s="49">
        <f t="shared" si="209"/>
        <v>106283</v>
      </c>
      <c r="L1120" s="123"/>
      <c r="M1120" s="49"/>
      <c r="N1120" s="49"/>
      <c r="O1120" s="49">
        <f t="shared" si="210"/>
        <v>0</v>
      </c>
      <c r="P1120" s="123"/>
      <c r="Q1120" s="49">
        <f t="shared" si="207"/>
        <v>106283</v>
      </c>
      <c r="R1120" s="49">
        <f t="shared" si="208"/>
        <v>0</v>
      </c>
      <c r="S1120" s="49">
        <f t="shared" si="208"/>
        <v>106283</v>
      </c>
    </row>
    <row r="1121" spans="2:19" x14ac:dyDescent="0.2">
      <c r="B1121" s="75">
        <f t="shared" si="211"/>
        <v>473</v>
      </c>
      <c r="C1121" s="15"/>
      <c r="D1121" s="15"/>
      <c r="E1121" s="15"/>
      <c r="F1121" s="52" t="s">
        <v>165</v>
      </c>
      <c r="G1121" s="15">
        <v>620</v>
      </c>
      <c r="H1121" s="15" t="s">
        <v>132</v>
      </c>
      <c r="I1121" s="49">
        <v>37424</v>
      </c>
      <c r="J1121" s="49"/>
      <c r="K1121" s="49">
        <f t="shared" si="209"/>
        <v>37424</v>
      </c>
      <c r="L1121" s="123"/>
      <c r="M1121" s="49"/>
      <c r="N1121" s="49"/>
      <c r="O1121" s="49">
        <f t="shared" si="210"/>
        <v>0</v>
      </c>
      <c r="P1121" s="123"/>
      <c r="Q1121" s="49">
        <f t="shared" si="207"/>
        <v>37424</v>
      </c>
      <c r="R1121" s="49">
        <f t="shared" si="208"/>
        <v>0</v>
      </c>
      <c r="S1121" s="49">
        <f t="shared" si="208"/>
        <v>37424</v>
      </c>
    </row>
    <row r="1122" spans="2:19" x14ac:dyDescent="0.2">
      <c r="B1122" s="75">
        <f t="shared" si="211"/>
        <v>474</v>
      </c>
      <c r="C1122" s="15"/>
      <c r="D1122" s="15"/>
      <c r="E1122" s="15"/>
      <c r="F1122" s="52" t="s">
        <v>165</v>
      </c>
      <c r="G1122" s="15">
        <v>630</v>
      </c>
      <c r="H1122" s="15" t="s">
        <v>129</v>
      </c>
      <c r="I1122" s="49">
        <f>I1125+I1124+I1123</f>
        <v>10532</v>
      </c>
      <c r="J1122" s="49">
        <f>J1125+J1124+J1123</f>
        <v>0</v>
      </c>
      <c r="K1122" s="49">
        <f t="shared" si="209"/>
        <v>10532</v>
      </c>
      <c r="L1122" s="123"/>
      <c r="M1122" s="49">
        <f>M1125+M1124+M1123</f>
        <v>0</v>
      </c>
      <c r="N1122" s="49">
        <f>N1125+N1124+N1123</f>
        <v>0</v>
      </c>
      <c r="O1122" s="49">
        <f t="shared" si="210"/>
        <v>0</v>
      </c>
      <c r="P1122" s="123"/>
      <c r="Q1122" s="49">
        <f t="shared" si="207"/>
        <v>10532</v>
      </c>
      <c r="R1122" s="49">
        <f t="shared" si="208"/>
        <v>0</v>
      </c>
      <c r="S1122" s="49">
        <f t="shared" si="208"/>
        <v>10532</v>
      </c>
    </row>
    <row r="1123" spans="2:19" x14ac:dyDescent="0.2">
      <c r="B1123" s="75">
        <f t="shared" si="211"/>
        <v>475</v>
      </c>
      <c r="C1123" s="4"/>
      <c r="D1123" s="4"/>
      <c r="E1123" s="4"/>
      <c r="F1123" s="53" t="s">
        <v>165</v>
      </c>
      <c r="G1123" s="4">
        <v>632</v>
      </c>
      <c r="H1123" s="4" t="s">
        <v>140</v>
      </c>
      <c r="I1123" s="26">
        <v>6630</v>
      </c>
      <c r="J1123" s="26"/>
      <c r="K1123" s="26">
        <f t="shared" si="209"/>
        <v>6630</v>
      </c>
      <c r="L1123" s="76"/>
      <c r="M1123" s="26"/>
      <c r="N1123" s="26"/>
      <c r="O1123" s="26">
        <f t="shared" si="210"/>
        <v>0</v>
      </c>
      <c r="P1123" s="76"/>
      <c r="Q1123" s="26">
        <f t="shared" si="207"/>
        <v>6630</v>
      </c>
      <c r="R1123" s="26">
        <f t="shared" si="208"/>
        <v>0</v>
      </c>
      <c r="S1123" s="26">
        <f t="shared" si="208"/>
        <v>6630</v>
      </c>
    </row>
    <row r="1124" spans="2:19" x14ac:dyDescent="0.2">
      <c r="B1124" s="75">
        <f t="shared" si="211"/>
        <v>476</v>
      </c>
      <c r="C1124" s="4"/>
      <c r="D1124" s="4"/>
      <c r="E1124" s="4"/>
      <c r="F1124" s="53" t="s">
        <v>165</v>
      </c>
      <c r="G1124" s="4">
        <v>633</v>
      </c>
      <c r="H1124" s="4" t="s">
        <v>133</v>
      </c>
      <c r="I1124" s="26">
        <v>408</v>
      </c>
      <c r="J1124" s="26"/>
      <c r="K1124" s="26">
        <f t="shared" si="209"/>
        <v>408</v>
      </c>
      <c r="L1124" s="76"/>
      <c r="M1124" s="26"/>
      <c r="N1124" s="26"/>
      <c r="O1124" s="26">
        <f t="shared" si="210"/>
        <v>0</v>
      </c>
      <c r="P1124" s="76"/>
      <c r="Q1124" s="26">
        <f t="shared" si="207"/>
        <v>408</v>
      </c>
      <c r="R1124" s="26">
        <f t="shared" ref="R1124:S1139" si="212">N1124+J1124</f>
        <v>0</v>
      </c>
      <c r="S1124" s="26">
        <f t="shared" si="212"/>
        <v>408</v>
      </c>
    </row>
    <row r="1125" spans="2:19" x14ac:dyDescent="0.2">
      <c r="B1125" s="75">
        <f t="shared" si="211"/>
        <v>477</v>
      </c>
      <c r="C1125" s="4"/>
      <c r="D1125" s="4"/>
      <c r="E1125" s="4"/>
      <c r="F1125" s="53" t="s">
        <v>165</v>
      </c>
      <c r="G1125" s="4">
        <v>637</v>
      </c>
      <c r="H1125" s="4" t="s">
        <v>130</v>
      </c>
      <c r="I1125" s="26">
        <v>3494</v>
      </c>
      <c r="J1125" s="26"/>
      <c r="K1125" s="26">
        <f t="shared" si="209"/>
        <v>3494</v>
      </c>
      <c r="L1125" s="76"/>
      <c r="M1125" s="26"/>
      <c r="N1125" s="26"/>
      <c r="O1125" s="26">
        <f t="shared" si="210"/>
        <v>0</v>
      </c>
      <c r="P1125" s="76"/>
      <c r="Q1125" s="26">
        <f t="shared" si="207"/>
        <v>3494</v>
      </c>
      <c r="R1125" s="26">
        <f t="shared" si="212"/>
        <v>0</v>
      </c>
      <c r="S1125" s="26">
        <f t="shared" si="212"/>
        <v>3494</v>
      </c>
    </row>
    <row r="1126" spans="2:19" x14ac:dyDescent="0.2">
      <c r="B1126" s="75">
        <f t="shared" si="211"/>
        <v>478</v>
      </c>
      <c r="C1126" s="15"/>
      <c r="D1126" s="15"/>
      <c r="E1126" s="15"/>
      <c r="F1126" s="52" t="s">
        <v>165</v>
      </c>
      <c r="G1126" s="15">
        <v>640</v>
      </c>
      <c r="H1126" s="15" t="s">
        <v>136</v>
      </c>
      <c r="I1126" s="49">
        <v>856</v>
      </c>
      <c r="J1126" s="49"/>
      <c r="K1126" s="49">
        <f t="shared" si="209"/>
        <v>856</v>
      </c>
      <c r="L1126" s="123"/>
      <c r="M1126" s="49"/>
      <c r="N1126" s="49"/>
      <c r="O1126" s="49">
        <f t="shared" si="210"/>
        <v>0</v>
      </c>
      <c r="P1126" s="123"/>
      <c r="Q1126" s="49">
        <f t="shared" si="207"/>
        <v>856</v>
      </c>
      <c r="R1126" s="49">
        <f t="shared" si="212"/>
        <v>0</v>
      </c>
      <c r="S1126" s="49">
        <f t="shared" si="212"/>
        <v>856</v>
      </c>
    </row>
    <row r="1127" spans="2:19" ht="15" x14ac:dyDescent="0.25">
      <c r="B1127" s="75">
        <f t="shared" si="211"/>
        <v>479</v>
      </c>
      <c r="C1127" s="18"/>
      <c r="D1127" s="18"/>
      <c r="E1127" s="18">
        <v>9</v>
      </c>
      <c r="F1127" s="50"/>
      <c r="G1127" s="18"/>
      <c r="H1127" s="18" t="s">
        <v>278</v>
      </c>
      <c r="I1127" s="47">
        <f>I1128+I1129+I1130</f>
        <v>49405</v>
      </c>
      <c r="J1127" s="47">
        <f>J1128+J1129+J1130</f>
        <v>0</v>
      </c>
      <c r="K1127" s="47">
        <f t="shared" si="209"/>
        <v>49405</v>
      </c>
      <c r="L1127" s="174"/>
      <c r="M1127" s="47">
        <f>M1128+M1129+M1130</f>
        <v>0</v>
      </c>
      <c r="N1127" s="47">
        <f>N1128+N1129+N1130</f>
        <v>0</v>
      </c>
      <c r="O1127" s="47">
        <f t="shared" si="210"/>
        <v>0</v>
      </c>
      <c r="P1127" s="174"/>
      <c r="Q1127" s="47">
        <f t="shared" si="207"/>
        <v>49405</v>
      </c>
      <c r="R1127" s="47">
        <f t="shared" si="212"/>
        <v>0</v>
      </c>
      <c r="S1127" s="47">
        <f t="shared" si="212"/>
        <v>49405</v>
      </c>
    </row>
    <row r="1128" spans="2:19" x14ac:dyDescent="0.2">
      <c r="B1128" s="75">
        <f t="shared" si="211"/>
        <v>480</v>
      </c>
      <c r="C1128" s="15"/>
      <c r="D1128" s="15"/>
      <c r="E1128" s="15"/>
      <c r="F1128" s="52" t="s">
        <v>165</v>
      </c>
      <c r="G1128" s="15">
        <v>610</v>
      </c>
      <c r="H1128" s="15" t="s">
        <v>137</v>
      </c>
      <c r="I1128" s="49">
        <v>34654</v>
      </c>
      <c r="J1128" s="49"/>
      <c r="K1128" s="49">
        <f t="shared" si="209"/>
        <v>34654</v>
      </c>
      <c r="L1128" s="123"/>
      <c r="M1128" s="49"/>
      <c r="N1128" s="49"/>
      <c r="O1128" s="49">
        <f t="shared" si="210"/>
        <v>0</v>
      </c>
      <c r="P1128" s="123"/>
      <c r="Q1128" s="49">
        <f t="shared" si="207"/>
        <v>34654</v>
      </c>
      <c r="R1128" s="49">
        <f t="shared" si="212"/>
        <v>0</v>
      </c>
      <c r="S1128" s="49">
        <f t="shared" si="212"/>
        <v>34654</v>
      </c>
    </row>
    <row r="1129" spans="2:19" x14ac:dyDescent="0.2">
      <c r="B1129" s="75">
        <f t="shared" si="211"/>
        <v>481</v>
      </c>
      <c r="C1129" s="15"/>
      <c r="D1129" s="15"/>
      <c r="E1129" s="15"/>
      <c r="F1129" s="52" t="s">
        <v>165</v>
      </c>
      <c r="G1129" s="15">
        <v>620</v>
      </c>
      <c r="H1129" s="15" t="s">
        <v>132</v>
      </c>
      <c r="I1129" s="49">
        <v>12111</v>
      </c>
      <c r="J1129" s="49"/>
      <c r="K1129" s="49">
        <f t="shared" si="209"/>
        <v>12111</v>
      </c>
      <c r="L1129" s="123"/>
      <c r="M1129" s="49"/>
      <c r="N1129" s="49"/>
      <c r="O1129" s="49">
        <f t="shared" si="210"/>
        <v>0</v>
      </c>
      <c r="P1129" s="123"/>
      <c r="Q1129" s="49">
        <f t="shared" si="207"/>
        <v>12111</v>
      </c>
      <c r="R1129" s="49">
        <f t="shared" si="212"/>
        <v>0</v>
      </c>
      <c r="S1129" s="49">
        <f t="shared" si="212"/>
        <v>12111</v>
      </c>
    </row>
    <row r="1130" spans="2:19" x14ac:dyDescent="0.2">
      <c r="B1130" s="75">
        <f t="shared" si="211"/>
        <v>482</v>
      </c>
      <c r="C1130" s="15"/>
      <c r="D1130" s="15"/>
      <c r="E1130" s="15"/>
      <c r="F1130" s="52" t="s">
        <v>165</v>
      </c>
      <c r="G1130" s="15">
        <v>630</v>
      </c>
      <c r="H1130" s="15" t="s">
        <v>129</v>
      </c>
      <c r="I1130" s="49">
        <f>I1133+I1132+I1131</f>
        <v>2640</v>
      </c>
      <c r="J1130" s="49">
        <f>J1133+J1132+J1131</f>
        <v>0</v>
      </c>
      <c r="K1130" s="49">
        <f t="shared" si="209"/>
        <v>2640</v>
      </c>
      <c r="L1130" s="123"/>
      <c r="M1130" s="49">
        <f>M1133+M1132+M1131</f>
        <v>0</v>
      </c>
      <c r="N1130" s="49">
        <f>N1133+N1132+N1131</f>
        <v>0</v>
      </c>
      <c r="O1130" s="49">
        <f t="shared" si="210"/>
        <v>0</v>
      </c>
      <c r="P1130" s="123"/>
      <c r="Q1130" s="49">
        <f t="shared" si="207"/>
        <v>2640</v>
      </c>
      <c r="R1130" s="49">
        <f t="shared" si="212"/>
        <v>0</v>
      </c>
      <c r="S1130" s="49">
        <f t="shared" si="212"/>
        <v>2640</v>
      </c>
    </row>
    <row r="1131" spans="2:19" x14ac:dyDescent="0.2">
      <c r="B1131" s="75">
        <f t="shared" si="211"/>
        <v>483</v>
      </c>
      <c r="C1131" s="4"/>
      <c r="D1131" s="4"/>
      <c r="E1131" s="4"/>
      <c r="F1131" s="53" t="s">
        <v>165</v>
      </c>
      <c r="G1131" s="4">
        <v>632</v>
      </c>
      <c r="H1131" s="4" t="s">
        <v>140</v>
      </c>
      <c r="I1131" s="26">
        <v>1700</v>
      </c>
      <c r="J1131" s="26"/>
      <c r="K1131" s="26">
        <f t="shared" si="209"/>
        <v>1700</v>
      </c>
      <c r="L1131" s="76"/>
      <c r="M1131" s="26"/>
      <c r="N1131" s="26"/>
      <c r="O1131" s="26">
        <f t="shared" si="210"/>
        <v>0</v>
      </c>
      <c r="P1131" s="76"/>
      <c r="Q1131" s="26">
        <f t="shared" si="207"/>
        <v>1700</v>
      </c>
      <c r="R1131" s="26">
        <f t="shared" si="212"/>
        <v>0</v>
      </c>
      <c r="S1131" s="26">
        <f t="shared" si="212"/>
        <v>1700</v>
      </c>
    </row>
    <row r="1132" spans="2:19" x14ac:dyDescent="0.2">
      <c r="B1132" s="75">
        <f t="shared" si="211"/>
        <v>484</v>
      </c>
      <c r="C1132" s="4"/>
      <c r="D1132" s="4"/>
      <c r="E1132" s="4"/>
      <c r="F1132" s="53" t="s">
        <v>165</v>
      </c>
      <c r="G1132" s="4">
        <v>633</v>
      </c>
      <c r="H1132" s="4" t="s">
        <v>133</v>
      </c>
      <c r="I1132" s="26">
        <v>100</v>
      </c>
      <c r="J1132" s="26"/>
      <c r="K1132" s="26">
        <f t="shared" si="209"/>
        <v>100</v>
      </c>
      <c r="L1132" s="76"/>
      <c r="M1132" s="26"/>
      <c r="N1132" s="26"/>
      <c r="O1132" s="26">
        <f t="shared" si="210"/>
        <v>0</v>
      </c>
      <c r="P1132" s="76"/>
      <c r="Q1132" s="26">
        <f t="shared" si="207"/>
        <v>100</v>
      </c>
      <c r="R1132" s="26">
        <f t="shared" si="212"/>
        <v>0</v>
      </c>
      <c r="S1132" s="26">
        <f t="shared" si="212"/>
        <v>100</v>
      </c>
    </row>
    <row r="1133" spans="2:19" x14ac:dyDescent="0.2">
      <c r="B1133" s="75">
        <f t="shared" si="211"/>
        <v>485</v>
      </c>
      <c r="C1133" s="4"/>
      <c r="D1133" s="4"/>
      <c r="E1133" s="4"/>
      <c r="F1133" s="53" t="s">
        <v>165</v>
      </c>
      <c r="G1133" s="4">
        <v>637</v>
      </c>
      <c r="H1133" s="4" t="s">
        <v>130</v>
      </c>
      <c r="I1133" s="26">
        <v>840</v>
      </c>
      <c r="J1133" s="26"/>
      <c r="K1133" s="26">
        <f t="shared" si="209"/>
        <v>840</v>
      </c>
      <c r="L1133" s="76"/>
      <c r="M1133" s="26"/>
      <c r="N1133" s="26"/>
      <c r="O1133" s="26">
        <f t="shared" si="210"/>
        <v>0</v>
      </c>
      <c r="P1133" s="76"/>
      <c r="Q1133" s="26">
        <f t="shared" si="207"/>
        <v>840</v>
      </c>
      <c r="R1133" s="26">
        <f t="shared" si="212"/>
        <v>0</v>
      </c>
      <c r="S1133" s="26">
        <f t="shared" si="212"/>
        <v>840</v>
      </c>
    </row>
    <row r="1134" spans="2:19" ht="15" x14ac:dyDescent="0.25">
      <c r="B1134" s="75">
        <f t="shared" si="211"/>
        <v>486</v>
      </c>
      <c r="C1134" s="18"/>
      <c r="D1134" s="18"/>
      <c r="E1134" s="18">
        <v>10</v>
      </c>
      <c r="F1134" s="50"/>
      <c r="G1134" s="18"/>
      <c r="H1134" s="18" t="s">
        <v>257</v>
      </c>
      <c r="I1134" s="47">
        <f>I1135+I1136+I1137+I1141</f>
        <v>38377</v>
      </c>
      <c r="J1134" s="47">
        <f>J1135+J1136+J1137+J1141</f>
        <v>0</v>
      </c>
      <c r="K1134" s="47">
        <f t="shared" si="209"/>
        <v>38377</v>
      </c>
      <c r="L1134" s="174"/>
      <c r="M1134" s="47">
        <f>M1135+M1136+M1137+M1141</f>
        <v>0</v>
      </c>
      <c r="N1134" s="47">
        <f>N1135+N1136+N1137+N1141</f>
        <v>0</v>
      </c>
      <c r="O1134" s="47">
        <f t="shared" si="210"/>
        <v>0</v>
      </c>
      <c r="P1134" s="174"/>
      <c r="Q1134" s="47">
        <f t="shared" si="207"/>
        <v>38377</v>
      </c>
      <c r="R1134" s="47">
        <f t="shared" si="212"/>
        <v>0</v>
      </c>
      <c r="S1134" s="47">
        <f t="shared" si="212"/>
        <v>38377</v>
      </c>
    </row>
    <row r="1135" spans="2:19" x14ac:dyDescent="0.2">
      <c r="B1135" s="75">
        <f t="shared" si="211"/>
        <v>487</v>
      </c>
      <c r="C1135" s="15"/>
      <c r="D1135" s="15"/>
      <c r="E1135" s="15"/>
      <c r="F1135" s="52" t="s">
        <v>165</v>
      </c>
      <c r="G1135" s="15">
        <v>610</v>
      </c>
      <c r="H1135" s="15" t="s">
        <v>137</v>
      </c>
      <c r="I1135" s="49">
        <v>25358</v>
      </c>
      <c r="J1135" s="49"/>
      <c r="K1135" s="49">
        <f t="shared" si="209"/>
        <v>25358</v>
      </c>
      <c r="L1135" s="123"/>
      <c r="M1135" s="49"/>
      <c r="N1135" s="49"/>
      <c r="O1135" s="49">
        <f t="shared" si="210"/>
        <v>0</v>
      </c>
      <c r="P1135" s="123"/>
      <c r="Q1135" s="49">
        <f t="shared" si="207"/>
        <v>25358</v>
      </c>
      <c r="R1135" s="49">
        <f t="shared" si="212"/>
        <v>0</v>
      </c>
      <c r="S1135" s="49">
        <f t="shared" si="212"/>
        <v>25358</v>
      </c>
    </row>
    <row r="1136" spans="2:19" x14ac:dyDescent="0.2">
      <c r="B1136" s="75">
        <f t="shared" si="211"/>
        <v>488</v>
      </c>
      <c r="C1136" s="15"/>
      <c r="D1136" s="15"/>
      <c r="E1136" s="15"/>
      <c r="F1136" s="52" t="s">
        <v>165</v>
      </c>
      <c r="G1136" s="15">
        <v>620</v>
      </c>
      <c r="H1136" s="15" t="s">
        <v>132</v>
      </c>
      <c r="I1136" s="49">
        <v>8859</v>
      </c>
      <c r="J1136" s="49"/>
      <c r="K1136" s="49">
        <f t="shared" si="209"/>
        <v>8859</v>
      </c>
      <c r="L1136" s="123"/>
      <c r="M1136" s="49"/>
      <c r="N1136" s="49"/>
      <c r="O1136" s="49">
        <f t="shared" si="210"/>
        <v>0</v>
      </c>
      <c r="P1136" s="123"/>
      <c r="Q1136" s="49">
        <f t="shared" si="207"/>
        <v>8859</v>
      </c>
      <c r="R1136" s="49">
        <f t="shared" si="212"/>
        <v>0</v>
      </c>
      <c r="S1136" s="49">
        <f t="shared" si="212"/>
        <v>8859</v>
      </c>
    </row>
    <row r="1137" spans="2:19" x14ac:dyDescent="0.2">
      <c r="B1137" s="75">
        <f t="shared" si="211"/>
        <v>489</v>
      </c>
      <c r="C1137" s="15"/>
      <c r="D1137" s="15"/>
      <c r="E1137" s="15"/>
      <c r="F1137" s="52" t="s">
        <v>165</v>
      </c>
      <c r="G1137" s="15">
        <v>630</v>
      </c>
      <c r="H1137" s="15" t="s">
        <v>129</v>
      </c>
      <c r="I1137" s="49">
        <f>I1140+I1139+I1138</f>
        <v>4010</v>
      </c>
      <c r="J1137" s="49">
        <f>J1140+J1139+J1138</f>
        <v>0</v>
      </c>
      <c r="K1137" s="49">
        <f t="shared" si="209"/>
        <v>4010</v>
      </c>
      <c r="L1137" s="123"/>
      <c r="M1137" s="49">
        <f>M1140+M1139+M1138</f>
        <v>0</v>
      </c>
      <c r="N1137" s="49">
        <f>N1140+N1139+N1138</f>
        <v>0</v>
      </c>
      <c r="O1137" s="49">
        <f t="shared" si="210"/>
        <v>0</v>
      </c>
      <c r="P1137" s="123"/>
      <c r="Q1137" s="49">
        <f t="shared" si="207"/>
        <v>4010</v>
      </c>
      <c r="R1137" s="49">
        <f t="shared" si="212"/>
        <v>0</v>
      </c>
      <c r="S1137" s="49">
        <f t="shared" si="212"/>
        <v>4010</v>
      </c>
    </row>
    <row r="1138" spans="2:19" x14ac:dyDescent="0.2">
      <c r="B1138" s="75">
        <f t="shared" si="211"/>
        <v>490</v>
      </c>
      <c r="C1138" s="4"/>
      <c r="D1138" s="4"/>
      <c r="E1138" s="4"/>
      <c r="F1138" s="53" t="s">
        <v>165</v>
      </c>
      <c r="G1138" s="4">
        <v>632</v>
      </c>
      <c r="H1138" s="4" t="s">
        <v>140</v>
      </c>
      <c r="I1138" s="26">
        <v>1560</v>
      </c>
      <c r="J1138" s="26"/>
      <c r="K1138" s="26">
        <f t="shared" si="209"/>
        <v>1560</v>
      </c>
      <c r="L1138" s="76"/>
      <c r="M1138" s="26"/>
      <c r="N1138" s="26"/>
      <c r="O1138" s="26">
        <f t="shared" si="210"/>
        <v>0</v>
      </c>
      <c r="P1138" s="76"/>
      <c r="Q1138" s="26">
        <f t="shared" si="207"/>
        <v>1560</v>
      </c>
      <c r="R1138" s="26">
        <f t="shared" si="212"/>
        <v>0</v>
      </c>
      <c r="S1138" s="26">
        <f t="shared" si="212"/>
        <v>1560</v>
      </c>
    </row>
    <row r="1139" spans="2:19" x14ac:dyDescent="0.2">
      <c r="B1139" s="75">
        <f t="shared" si="211"/>
        <v>491</v>
      </c>
      <c r="C1139" s="4"/>
      <c r="D1139" s="4"/>
      <c r="E1139" s="4"/>
      <c r="F1139" s="53" t="s">
        <v>165</v>
      </c>
      <c r="G1139" s="4">
        <v>633</v>
      </c>
      <c r="H1139" s="4" t="s">
        <v>133</v>
      </c>
      <c r="I1139" s="26">
        <v>760</v>
      </c>
      <c r="J1139" s="26"/>
      <c r="K1139" s="26">
        <f t="shared" si="209"/>
        <v>760</v>
      </c>
      <c r="L1139" s="76"/>
      <c r="M1139" s="26"/>
      <c r="N1139" s="26"/>
      <c r="O1139" s="26">
        <f t="shared" si="210"/>
        <v>0</v>
      </c>
      <c r="P1139" s="76"/>
      <c r="Q1139" s="26">
        <f t="shared" si="207"/>
        <v>760</v>
      </c>
      <c r="R1139" s="26">
        <f t="shared" si="212"/>
        <v>0</v>
      </c>
      <c r="S1139" s="26">
        <f t="shared" si="212"/>
        <v>760</v>
      </c>
    </row>
    <row r="1140" spans="2:19" x14ac:dyDescent="0.2">
      <c r="B1140" s="75">
        <f t="shared" si="211"/>
        <v>492</v>
      </c>
      <c r="C1140" s="4"/>
      <c r="D1140" s="4"/>
      <c r="E1140" s="4"/>
      <c r="F1140" s="53" t="s">
        <v>165</v>
      </c>
      <c r="G1140" s="4">
        <v>637</v>
      </c>
      <c r="H1140" s="4" t="s">
        <v>130</v>
      </c>
      <c r="I1140" s="26">
        <v>1690</v>
      </c>
      <c r="J1140" s="26"/>
      <c r="K1140" s="26">
        <f t="shared" si="209"/>
        <v>1690</v>
      </c>
      <c r="L1140" s="76"/>
      <c r="M1140" s="26"/>
      <c r="N1140" s="26"/>
      <c r="O1140" s="26">
        <f t="shared" si="210"/>
        <v>0</v>
      </c>
      <c r="P1140" s="76"/>
      <c r="Q1140" s="26">
        <f t="shared" ref="Q1140:Q1171" si="213">M1140+I1140</f>
        <v>1690</v>
      </c>
      <c r="R1140" s="26">
        <f t="shared" ref="R1140:S1155" si="214">N1140+J1140</f>
        <v>0</v>
      </c>
      <c r="S1140" s="26">
        <f t="shared" si="214"/>
        <v>1690</v>
      </c>
    </row>
    <row r="1141" spans="2:19" x14ac:dyDescent="0.2">
      <c r="B1141" s="75">
        <f t="shared" si="211"/>
        <v>493</v>
      </c>
      <c r="C1141" s="15"/>
      <c r="D1141" s="15"/>
      <c r="E1141" s="15"/>
      <c r="F1141" s="52" t="s">
        <v>165</v>
      </c>
      <c r="G1141" s="15">
        <v>640</v>
      </c>
      <c r="H1141" s="15" t="s">
        <v>136</v>
      </c>
      <c r="I1141" s="49">
        <v>150</v>
      </c>
      <c r="J1141" s="49"/>
      <c r="K1141" s="49">
        <f t="shared" si="209"/>
        <v>150</v>
      </c>
      <c r="L1141" s="123"/>
      <c r="M1141" s="49"/>
      <c r="N1141" s="49"/>
      <c r="O1141" s="49">
        <f t="shared" si="210"/>
        <v>0</v>
      </c>
      <c r="P1141" s="123"/>
      <c r="Q1141" s="49">
        <f t="shared" si="213"/>
        <v>150</v>
      </c>
      <c r="R1141" s="49">
        <f t="shared" si="214"/>
        <v>0</v>
      </c>
      <c r="S1141" s="49">
        <f t="shared" si="214"/>
        <v>150</v>
      </c>
    </row>
    <row r="1142" spans="2:19" ht="15" x14ac:dyDescent="0.25">
      <c r="B1142" s="75">
        <f t="shared" si="211"/>
        <v>494</v>
      </c>
      <c r="C1142" s="18"/>
      <c r="D1142" s="18"/>
      <c r="E1142" s="18">
        <v>11</v>
      </c>
      <c r="F1142" s="50"/>
      <c r="G1142" s="18"/>
      <c r="H1142" s="18" t="s">
        <v>275</v>
      </c>
      <c r="I1142" s="47">
        <f>I1143+I1144+I1145+I1149</f>
        <v>111110</v>
      </c>
      <c r="J1142" s="47">
        <f>J1143+J1144+J1145+J1149</f>
        <v>0</v>
      </c>
      <c r="K1142" s="47">
        <f t="shared" si="209"/>
        <v>111110</v>
      </c>
      <c r="L1142" s="174"/>
      <c r="M1142" s="47">
        <f>M1143+M1144+M1145+M1149</f>
        <v>0</v>
      </c>
      <c r="N1142" s="47">
        <f>N1143+N1144+N1145+N1149</f>
        <v>0</v>
      </c>
      <c r="O1142" s="47">
        <f t="shared" si="210"/>
        <v>0</v>
      </c>
      <c r="P1142" s="174"/>
      <c r="Q1142" s="47">
        <f t="shared" si="213"/>
        <v>111110</v>
      </c>
      <c r="R1142" s="47">
        <f t="shared" si="214"/>
        <v>0</v>
      </c>
      <c r="S1142" s="47">
        <f t="shared" si="214"/>
        <v>111110</v>
      </c>
    </row>
    <row r="1143" spans="2:19" x14ac:dyDescent="0.2">
      <c r="B1143" s="75">
        <f t="shared" si="211"/>
        <v>495</v>
      </c>
      <c r="C1143" s="15"/>
      <c r="D1143" s="15"/>
      <c r="E1143" s="15"/>
      <c r="F1143" s="52" t="s">
        <v>165</v>
      </c>
      <c r="G1143" s="15">
        <v>610</v>
      </c>
      <c r="H1143" s="15" t="s">
        <v>137</v>
      </c>
      <c r="I1143" s="49">
        <v>73300</v>
      </c>
      <c r="J1143" s="49"/>
      <c r="K1143" s="49">
        <f t="shared" si="209"/>
        <v>73300</v>
      </c>
      <c r="L1143" s="123"/>
      <c r="M1143" s="49"/>
      <c r="N1143" s="49"/>
      <c r="O1143" s="49">
        <f t="shared" si="210"/>
        <v>0</v>
      </c>
      <c r="P1143" s="123"/>
      <c r="Q1143" s="49">
        <f t="shared" si="213"/>
        <v>73300</v>
      </c>
      <c r="R1143" s="49">
        <f t="shared" si="214"/>
        <v>0</v>
      </c>
      <c r="S1143" s="49">
        <f t="shared" si="214"/>
        <v>73300</v>
      </c>
    </row>
    <row r="1144" spans="2:19" x14ac:dyDescent="0.2">
      <c r="B1144" s="75">
        <f t="shared" si="211"/>
        <v>496</v>
      </c>
      <c r="C1144" s="15"/>
      <c r="D1144" s="15"/>
      <c r="E1144" s="15"/>
      <c r="F1144" s="52" t="s">
        <v>165</v>
      </c>
      <c r="G1144" s="15">
        <v>620</v>
      </c>
      <c r="H1144" s="15" t="s">
        <v>132</v>
      </c>
      <c r="I1144" s="49">
        <v>25633</v>
      </c>
      <c r="J1144" s="49"/>
      <c r="K1144" s="49">
        <f t="shared" si="209"/>
        <v>25633</v>
      </c>
      <c r="L1144" s="123"/>
      <c r="M1144" s="49"/>
      <c r="N1144" s="49"/>
      <c r="O1144" s="49">
        <f t="shared" si="210"/>
        <v>0</v>
      </c>
      <c r="P1144" s="123"/>
      <c r="Q1144" s="49">
        <f t="shared" si="213"/>
        <v>25633</v>
      </c>
      <c r="R1144" s="49">
        <f t="shared" si="214"/>
        <v>0</v>
      </c>
      <c r="S1144" s="49">
        <f t="shared" si="214"/>
        <v>25633</v>
      </c>
    </row>
    <row r="1145" spans="2:19" x14ac:dyDescent="0.2">
      <c r="B1145" s="75">
        <f t="shared" si="211"/>
        <v>497</v>
      </c>
      <c r="C1145" s="15"/>
      <c r="D1145" s="15"/>
      <c r="E1145" s="15"/>
      <c r="F1145" s="52" t="s">
        <v>165</v>
      </c>
      <c r="G1145" s="15">
        <v>630</v>
      </c>
      <c r="H1145" s="15" t="s">
        <v>129</v>
      </c>
      <c r="I1145" s="49">
        <f>I1148+I1147+I1146</f>
        <v>10506</v>
      </c>
      <c r="J1145" s="49">
        <f>J1148+J1147+J1146</f>
        <v>0</v>
      </c>
      <c r="K1145" s="49">
        <f t="shared" si="209"/>
        <v>10506</v>
      </c>
      <c r="L1145" s="123"/>
      <c r="M1145" s="49">
        <f>M1148+M1147+M1146</f>
        <v>0</v>
      </c>
      <c r="N1145" s="49">
        <f>N1148+N1147+N1146</f>
        <v>0</v>
      </c>
      <c r="O1145" s="49">
        <f t="shared" si="210"/>
        <v>0</v>
      </c>
      <c r="P1145" s="123"/>
      <c r="Q1145" s="49">
        <f t="shared" si="213"/>
        <v>10506</v>
      </c>
      <c r="R1145" s="49">
        <f t="shared" si="214"/>
        <v>0</v>
      </c>
      <c r="S1145" s="49">
        <f t="shared" si="214"/>
        <v>10506</v>
      </c>
    </row>
    <row r="1146" spans="2:19" x14ac:dyDescent="0.2">
      <c r="B1146" s="75">
        <f t="shared" si="211"/>
        <v>498</v>
      </c>
      <c r="C1146" s="4"/>
      <c r="D1146" s="4"/>
      <c r="E1146" s="4"/>
      <c r="F1146" s="53" t="s">
        <v>165</v>
      </c>
      <c r="G1146" s="4">
        <v>632</v>
      </c>
      <c r="H1146" s="4" t="s">
        <v>140</v>
      </c>
      <c r="I1146" s="26">
        <v>3631</v>
      </c>
      <c r="J1146" s="26"/>
      <c r="K1146" s="26">
        <f t="shared" si="209"/>
        <v>3631</v>
      </c>
      <c r="L1146" s="76"/>
      <c r="M1146" s="26"/>
      <c r="N1146" s="26"/>
      <c r="O1146" s="26">
        <f t="shared" si="210"/>
        <v>0</v>
      </c>
      <c r="P1146" s="76"/>
      <c r="Q1146" s="26">
        <f t="shared" si="213"/>
        <v>3631</v>
      </c>
      <c r="R1146" s="26">
        <f t="shared" si="214"/>
        <v>0</v>
      </c>
      <c r="S1146" s="26">
        <f t="shared" si="214"/>
        <v>3631</v>
      </c>
    </row>
    <row r="1147" spans="2:19" x14ac:dyDescent="0.2">
      <c r="B1147" s="75">
        <f t="shared" si="211"/>
        <v>499</v>
      </c>
      <c r="C1147" s="4"/>
      <c r="D1147" s="4"/>
      <c r="E1147" s="4"/>
      <c r="F1147" s="53" t="s">
        <v>165</v>
      </c>
      <c r="G1147" s="4">
        <v>633</v>
      </c>
      <c r="H1147" s="4" t="s">
        <v>133</v>
      </c>
      <c r="I1147" s="26">
        <v>3978</v>
      </c>
      <c r="J1147" s="26"/>
      <c r="K1147" s="26">
        <f t="shared" si="209"/>
        <v>3978</v>
      </c>
      <c r="L1147" s="76"/>
      <c r="M1147" s="26"/>
      <c r="N1147" s="26"/>
      <c r="O1147" s="26">
        <f t="shared" si="210"/>
        <v>0</v>
      </c>
      <c r="P1147" s="76"/>
      <c r="Q1147" s="26">
        <f t="shared" si="213"/>
        <v>3978</v>
      </c>
      <c r="R1147" s="26">
        <f t="shared" si="214"/>
        <v>0</v>
      </c>
      <c r="S1147" s="26">
        <f t="shared" si="214"/>
        <v>3978</v>
      </c>
    </row>
    <row r="1148" spans="2:19" x14ac:dyDescent="0.2">
      <c r="B1148" s="75">
        <f t="shared" si="211"/>
        <v>500</v>
      </c>
      <c r="C1148" s="4"/>
      <c r="D1148" s="4"/>
      <c r="E1148" s="4"/>
      <c r="F1148" s="53" t="s">
        <v>165</v>
      </c>
      <c r="G1148" s="4">
        <v>637</v>
      </c>
      <c r="H1148" s="4" t="s">
        <v>130</v>
      </c>
      <c r="I1148" s="26">
        <v>2897</v>
      </c>
      <c r="J1148" s="26"/>
      <c r="K1148" s="26">
        <f t="shared" si="209"/>
        <v>2897</v>
      </c>
      <c r="L1148" s="76"/>
      <c r="M1148" s="26"/>
      <c r="N1148" s="26"/>
      <c r="O1148" s="26">
        <f t="shared" si="210"/>
        <v>0</v>
      </c>
      <c r="P1148" s="76"/>
      <c r="Q1148" s="26">
        <f t="shared" si="213"/>
        <v>2897</v>
      </c>
      <c r="R1148" s="26">
        <f t="shared" si="214"/>
        <v>0</v>
      </c>
      <c r="S1148" s="26">
        <f t="shared" si="214"/>
        <v>2897</v>
      </c>
    </row>
    <row r="1149" spans="2:19" x14ac:dyDescent="0.2">
      <c r="B1149" s="75">
        <f t="shared" si="211"/>
        <v>501</v>
      </c>
      <c r="C1149" s="15"/>
      <c r="D1149" s="15"/>
      <c r="E1149" s="15"/>
      <c r="F1149" s="52" t="s">
        <v>165</v>
      </c>
      <c r="G1149" s="15">
        <v>640</v>
      </c>
      <c r="H1149" s="15" t="s">
        <v>136</v>
      </c>
      <c r="I1149" s="49">
        <v>1671</v>
      </c>
      <c r="J1149" s="49"/>
      <c r="K1149" s="49">
        <f t="shared" si="209"/>
        <v>1671</v>
      </c>
      <c r="L1149" s="123"/>
      <c r="M1149" s="49"/>
      <c r="N1149" s="49"/>
      <c r="O1149" s="49">
        <f t="shared" si="210"/>
        <v>0</v>
      </c>
      <c r="P1149" s="123"/>
      <c r="Q1149" s="49">
        <f t="shared" si="213"/>
        <v>1671</v>
      </c>
      <c r="R1149" s="49">
        <f t="shared" si="214"/>
        <v>0</v>
      </c>
      <c r="S1149" s="49">
        <f t="shared" si="214"/>
        <v>1671</v>
      </c>
    </row>
    <row r="1150" spans="2:19" ht="15" x14ac:dyDescent="0.25">
      <c r="B1150" s="75">
        <f t="shared" si="211"/>
        <v>502</v>
      </c>
      <c r="C1150" s="18"/>
      <c r="D1150" s="18"/>
      <c r="E1150" s="18">
        <v>12</v>
      </c>
      <c r="F1150" s="50"/>
      <c r="G1150" s="18"/>
      <c r="H1150" s="18" t="s">
        <v>274</v>
      </c>
      <c r="I1150" s="47">
        <f>I1151+I1152+I1153+I1157</f>
        <v>65342</v>
      </c>
      <c r="J1150" s="47">
        <f>J1151+J1152+J1153+J1157</f>
        <v>0</v>
      </c>
      <c r="K1150" s="47">
        <f t="shared" si="209"/>
        <v>65342</v>
      </c>
      <c r="L1150" s="174"/>
      <c r="M1150" s="47">
        <f>M1151+M1152+M1153+M1157</f>
        <v>0</v>
      </c>
      <c r="N1150" s="47">
        <f>N1151+N1152+N1153+N1157</f>
        <v>0</v>
      </c>
      <c r="O1150" s="47">
        <f t="shared" si="210"/>
        <v>0</v>
      </c>
      <c r="P1150" s="174"/>
      <c r="Q1150" s="47">
        <f t="shared" si="213"/>
        <v>65342</v>
      </c>
      <c r="R1150" s="47">
        <f t="shared" si="214"/>
        <v>0</v>
      </c>
      <c r="S1150" s="47">
        <f t="shared" si="214"/>
        <v>65342</v>
      </c>
    </row>
    <row r="1151" spans="2:19" x14ac:dyDescent="0.2">
      <c r="B1151" s="75">
        <f t="shared" si="211"/>
        <v>503</v>
      </c>
      <c r="C1151" s="15"/>
      <c r="D1151" s="15"/>
      <c r="E1151" s="15"/>
      <c r="F1151" s="52" t="s">
        <v>165</v>
      </c>
      <c r="G1151" s="15">
        <v>610</v>
      </c>
      <c r="H1151" s="15" t="s">
        <v>137</v>
      </c>
      <c r="I1151" s="49">
        <v>45536</v>
      </c>
      <c r="J1151" s="49"/>
      <c r="K1151" s="49">
        <f t="shared" si="209"/>
        <v>45536</v>
      </c>
      <c r="L1151" s="123"/>
      <c r="M1151" s="49"/>
      <c r="N1151" s="49"/>
      <c r="O1151" s="49">
        <f t="shared" si="210"/>
        <v>0</v>
      </c>
      <c r="P1151" s="123"/>
      <c r="Q1151" s="49">
        <f t="shared" si="213"/>
        <v>45536</v>
      </c>
      <c r="R1151" s="49">
        <f t="shared" si="214"/>
        <v>0</v>
      </c>
      <c r="S1151" s="49">
        <f t="shared" si="214"/>
        <v>45536</v>
      </c>
    </row>
    <row r="1152" spans="2:19" x14ac:dyDescent="0.2">
      <c r="B1152" s="75">
        <f t="shared" si="211"/>
        <v>504</v>
      </c>
      <c r="C1152" s="15"/>
      <c r="D1152" s="15"/>
      <c r="E1152" s="15"/>
      <c r="F1152" s="52" t="s">
        <v>165</v>
      </c>
      <c r="G1152" s="15">
        <v>620</v>
      </c>
      <c r="H1152" s="15" t="s">
        <v>132</v>
      </c>
      <c r="I1152" s="49">
        <v>14556</v>
      </c>
      <c r="J1152" s="49"/>
      <c r="K1152" s="49">
        <f t="shared" si="209"/>
        <v>14556</v>
      </c>
      <c r="L1152" s="123"/>
      <c r="M1152" s="49"/>
      <c r="N1152" s="49"/>
      <c r="O1152" s="49">
        <f t="shared" si="210"/>
        <v>0</v>
      </c>
      <c r="P1152" s="123"/>
      <c r="Q1152" s="49">
        <f t="shared" si="213"/>
        <v>14556</v>
      </c>
      <c r="R1152" s="49">
        <f t="shared" si="214"/>
        <v>0</v>
      </c>
      <c r="S1152" s="49">
        <f t="shared" si="214"/>
        <v>14556</v>
      </c>
    </row>
    <row r="1153" spans="2:19" x14ac:dyDescent="0.2">
      <c r="B1153" s="75">
        <f t="shared" si="211"/>
        <v>505</v>
      </c>
      <c r="C1153" s="15"/>
      <c r="D1153" s="15"/>
      <c r="E1153" s="15"/>
      <c r="F1153" s="52" t="s">
        <v>165</v>
      </c>
      <c r="G1153" s="15">
        <v>630</v>
      </c>
      <c r="H1153" s="15" t="s">
        <v>129</v>
      </c>
      <c r="I1153" s="49">
        <f>I1156+I1155+I1154</f>
        <v>2040</v>
      </c>
      <c r="J1153" s="49">
        <f>J1156+J1155+J1154</f>
        <v>0</v>
      </c>
      <c r="K1153" s="49">
        <f t="shared" si="209"/>
        <v>2040</v>
      </c>
      <c r="L1153" s="123"/>
      <c r="M1153" s="49">
        <f>M1156+M1155+M1154</f>
        <v>0</v>
      </c>
      <c r="N1153" s="49">
        <f>N1156+N1155+N1154</f>
        <v>0</v>
      </c>
      <c r="O1153" s="49">
        <f t="shared" si="210"/>
        <v>0</v>
      </c>
      <c r="P1153" s="123"/>
      <c r="Q1153" s="49">
        <f t="shared" si="213"/>
        <v>2040</v>
      </c>
      <c r="R1153" s="49">
        <f t="shared" si="214"/>
        <v>0</v>
      </c>
      <c r="S1153" s="49">
        <f t="shared" si="214"/>
        <v>2040</v>
      </c>
    </row>
    <row r="1154" spans="2:19" x14ac:dyDescent="0.2">
      <c r="B1154" s="75">
        <f t="shared" si="211"/>
        <v>506</v>
      </c>
      <c r="C1154" s="4"/>
      <c r="D1154" s="4"/>
      <c r="E1154" s="4"/>
      <c r="F1154" s="53" t="s">
        <v>165</v>
      </c>
      <c r="G1154" s="4">
        <v>632</v>
      </c>
      <c r="H1154" s="4" t="s">
        <v>140</v>
      </c>
      <c r="I1154" s="26">
        <v>306</v>
      </c>
      <c r="J1154" s="26"/>
      <c r="K1154" s="26">
        <f t="shared" si="209"/>
        <v>306</v>
      </c>
      <c r="L1154" s="76"/>
      <c r="M1154" s="26"/>
      <c r="N1154" s="26"/>
      <c r="O1154" s="26">
        <f t="shared" si="210"/>
        <v>0</v>
      </c>
      <c r="P1154" s="76"/>
      <c r="Q1154" s="26">
        <f t="shared" si="213"/>
        <v>306</v>
      </c>
      <c r="R1154" s="26">
        <f t="shared" si="214"/>
        <v>0</v>
      </c>
      <c r="S1154" s="26">
        <f t="shared" si="214"/>
        <v>306</v>
      </c>
    </row>
    <row r="1155" spans="2:19" x14ac:dyDescent="0.2">
      <c r="B1155" s="75">
        <f t="shared" si="211"/>
        <v>507</v>
      </c>
      <c r="C1155" s="4"/>
      <c r="D1155" s="4"/>
      <c r="E1155" s="4"/>
      <c r="F1155" s="53" t="s">
        <v>165</v>
      </c>
      <c r="G1155" s="4">
        <v>633</v>
      </c>
      <c r="H1155" s="4" t="s">
        <v>133</v>
      </c>
      <c r="I1155" s="26">
        <v>1224</v>
      </c>
      <c r="J1155" s="26"/>
      <c r="K1155" s="26">
        <f t="shared" si="209"/>
        <v>1224</v>
      </c>
      <c r="L1155" s="76"/>
      <c r="M1155" s="26"/>
      <c r="N1155" s="26"/>
      <c r="O1155" s="26">
        <f t="shared" si="210"/>
        <v>0</v>
      </c>
      <c r="P1155" s="76"/>
      <c r="Q1155" s="26">
        <f t="shared" si="213"/>
        <v>1224</v>
      </c>
      <c r="R1155" s="26">
        <f t="shared" si="214"/>
        <v>0</v>
      </c>
      <c r="S1155" s="26">
        <f t="shared" si="214"/>
        <v>1224</v>
      </c>
    </row>
    <row r="1156" spans="2:19" x14ac:dyDescent="0.2">
      <c r="B1156" s="75">
        <f t="shared" si="211"/>
        <v>508</v>
      </c>
      <c r="C1156" s="4"/>
      <c r="D1156" s="4"/>
      <c r="E1156" s="4"/>
      <c r="F1156" s="53" t="s">
        <v>165</v>
      </c>
      <c r="G1156" s="4">
        <v>637</v>
      </c>
      <c r="H1156" s="4" t="s">
        <v>130</v>
      </c>
      <c r="I1156" s="26">
        <v>510</v>
      </c>
      <c r="J1156" s="26"/>
      <c r="K1156" s="26">
        <f t="shared" si="209"/>
        <v>510</v>
      </c>
      <c r="L1156" s="76"/>
      <c r="M1156" s="26"/>
      <c r="N1156" s="26"/>
      <c r="O1156" s="26">
        <f t="shared" si="210"/>
        <v>0</v>
      </c>
      <c r="P1156" s="76"/>
      <c r="Q1156" s="26">
        <f t="shared" si="213"/>
        <v>510</v>
      </c>
      <c r="R1156" s="26">
        <f t="shared" ref="R1156:S1171" si="215">N1156+J1156</f>
        <v>0</v>
      </c>
      <c r="S1156" s="26">
        <f t="shared" si="215"/>
        <v>510</v>
      </c>
    </row>
    <row r="1157" spans="2:19" x14ac:dyDescent="0.2">
      <c r="B1157" s="75">
        <f t="shared" si="211"/>
        <v>509</v>
      </c>
      <c r="C1157" s="15"/>
      <c r="D1157" s="15"/>
      <c r="E1157" s="15"/>
      <c r="F1157" s="52" t="s">
        <v>165</v>
      </c>
      <c r="G1157" s="15">
        <v>640</v>
      </c>
      <c r="H1157" s="15" t="s">
        <v>136</v>
      </c>
      <c r="I1157" s="49">
        <v>3210</v>
      </c>
      <c r="J1157" s="49"/>
      <c r="K1157" s="49">
        <f t="shared" si="209"/>
        <v>3210</v>
      </c>
      <c r="L1157" s="123"/>
      <c r="M1157" s="49"/>
      <c r="N1157" s="49"/>
      <c r="O1157" s="49">
        <f t="shared" si="210"/>
        <v>0</v>
      </c>
      <c r="P1157" s="123"/>
      <c r="Q1157" s="49">
        <f t="shared" si="213"/>
        <v>3210</v>
      </c>
      <c r="R1157" s="49">
        <f t="shared" si="215"/>
        <v>0</v>
      </c>
      <c r="S1157" s="49">
        <f t="shared" si="215"/>
        <v>3210</v>
      </c>
    </row>
    <row r="1158" spans="2:19" ht="15" x14ac:dyDescent="0.25">
      <c r="B1158" s="75">
        <f t="shared" si="211"/>
        <v>510</v>
      </c>
      <c r="C1158" s="18"/>
      <c r="D1158" s="18"/>
      <c r="E1158" s="18">
        <v>13</v>
      </c>
      <c r="F1158" s="50"/>
      <c r="G1158" s="18"/>
      <c r="H1158" s="18" t="s">
        <v>256</v>
      </c>
      <c r="I1158" s="47">
        <f>I1159+I1160+I1161+I1165</f>
        <v>37867</v>
      </c>
      <c r="J1158" s="47">
        <f>J1159+J1160+J1161+J1165</f>
        <v>0</v>
      </c>
      <c r="K1158" s="47">
        <f t="shared" si="209"/>
        <v>37867</v>
      </c>
      <c r="L1158" s="174"/>
      <c r="M1158" s="47">
        <f>M1159+M1160+M1161+M1165</f>
        <v>0</v>
      </c>
      <c r="N1158" s="47">
        <f>N1159+N1160+N1161+N1165</f>
        <v>0</v>
      </c>
      <c r="O1158" s="47">
        <f t="shared" si="210"/>
        <v>0</v>
      </c>
      <c r="P1158" s="174"/>
      <c r="Q1158" s="47">
        <f t="shared" si="213"/>
        <v>37867</v>
      </c>
      <c r="R1158" s="47">
        <f t="shared" si="215"/>
        <v>0</v>
      </c>
      <c r="S1158" s="47">
        <f t="shared" si="215"/>
        <v>37867</v>
      </c>
    </row>
    <row r="1159" spans="2:19" x14ac:dyDescent="0.2">
      <c r="B1159" s="75">
        <f t="shared" si="211"/>
        <v>511</v>
      </c>
      <c r="C1159" s="15"/>
      <c r="D1159" s="15"/>
      <c r="E1159" s="15"/>
      <c r="F1159" s="52" t="s">
        <v>165</v>
      </c>
      <c r="G1159" s="15">
        <v>610</v>
      </c>
      <c r="H1159" s="15" t="s">
        <v>137</v>
      </c>
      <c r="I1159" s="49">
        <v>23880</v>
      </c>
      <c r="J1159" s="49"/>
      <c r="K1159" s="49">
        <f t="shared" si="209"/>
        <v>23880</v>
      </c>
      <c r="L1159" s="123"/>
      <c r="M1159" s="49"/>
      <c r="N1159" s="49"/>
      <c r="O1159" s="49">
        <f t="shared" si="210"/>
        <v>0</v>
      </c>
      <c r="P1159" s="123"/>
      <c r="Q1159" s="49">
        <f t="shared" si="213"/>
        <v>23880</v>
      </c>
      <c r="R1159" s="49">
        <f t="shared" si="215"/>
        <v>0</v>
      </c>
      <c r="S1159" s="49">
        <f t="shared" si="215"/>
        <v>23880</v>
      </c>
    </row>
    <row r="1160" spans="2:19" x14ac:dyDescent="0.2">
      <c r="B1160" s="75">
        <f t="shared" si="211"/>
        <v>512</v>
      </c>
      <c r="C1160" s="15"/>
      <c r="D1160" s="15"/>
      <c r="E1160" s="15"/>
      <c r="F1160" s="52" t="s">
        <v>165</v>
      </c>
      <c r="G1160" s="15">
        <v>620</v>
      </c>
      <c r="H1160" s="15" t="s">
        <v>132</v>
      </c>
      <c r="I1160" s="49">
        <v>8348</v>
      </c>
      <c r="J1160" s="49"/>
      <c r="K1160" s="49">
        <f t="shared" si="209"/>
        <v>8348</v>
      </c>
      <c r="L1160" s="123"/>
      <c r="M1160" s="49"/>
      <c r="N1160" s="49"/>
      <c r="O1160" s="49">
        <f t="shared" si="210"/>
        <v>0</v>
      </c>
      <c r="P1160" s="123"/>
      <c r="Q1160" s="49">
        <f t="shared" si="213"/>
        <v>8348</v>
      </c>
      <c r="R1160" s="49">
        <f t="shared" si="215"/>
        <v>0</v>
      </c>
      <c r="S1160" s="49">
        <f t="shared" si="215"/>
        <v>8348</v>
      </c>
    </row>
    <row r="1161" spans="2:19" x14ac:dyDescent="0.2">
      <c r="B1161" s="75">
        <f t="shared" si="211"/>
        <v>513</v>
      </c>
      <c r="C1161" s="15"/>
      <c r="D1161" s="15"/>
      <c r="E1161" s="15"/>
      <c r="F1161" s="52" t="s">
        <v>165</v>
      </c>
      <c r="G1161" s="15">
        <v>630</v>
      </c>
      <c r="H1161" s="15" t="s">
        <v>129</v>
      </c>
      <c r="I1161" s="49">
        <f>I1164+I1163+I1162</f>
        <v>5589</v>
      </c>
      <c r="J1161" s="49">
        <f>J1164+J1163+J1162</f>
        <v>0</v>
      </c>
      <c r="K1161" s="49">
        <f t="shared" si="209"/>
        <v>5589</v>
      </c>
      <c r="L1161" s="123"/>
      <c r="M1161" s="49">
        <f>M1164+M1163+M1162</f>
        <v>0</v>
      </c>
      <c r="N1161" s="49">
        <f>N1164+N1163+N1162</f>
        <v>0</v>
      </c>
      <c r="O1161" s="49">
        <f t="shared" si="210"/>
        <v>0</v>
      </c>
      <c r="P1161" s="123"/>
      <c r="Q1161" s="49">
        <f t="shared" si="213"/>
        <v>5589</v>
      </c>
      <c r="R1161" s="49">
        <f t="shared" si="215"/>
        <v>0</v>
      </c>
      <c r="S1161" s="49">
        <f t="shared" si="215"/>
        <v>5589</v>
      </c>
    </row>
    <row r="1162" spans="2:19" x14ac:dyDescent="0.2">
      <c r="B1162" s="75">
        <f t="shared" si="211"/>
        <v>514</v>
      </c>
      <c r="C1162" s="4"/>
      <c r="D1162" s="4"/>
      <c r="E1162" s="4"/>
      <c r="F1162" s="53" t="s">
        <v>165</v>
      </c>
      <c r="G1162" s="4">
        <v>632</v>
      </c>
      <c r="H1162" s="4" t="s">
        <v>140</v>
      </c>
      <c r="I1162" s="26">
        <v>4865</v>
      </c>
      <c r="J1162" s="26"/>
      <c r="K1162" s="26">
        <f t="shared" si="209"/>
        <v>4865</v>
      </c>
      <c r="L1162" s="76"/>
      <c r="M1162" s="26"/>
      <c r="N1162" s="26"/>
      <c r="O1162" s="26">
        <f t="shared" si="210"/>
        <v>0</v>
      </c>
      <c r="P1162" s="76"/>
      <c r="Q1162" s="26">
        <f t="shared" si="213"/>
        <v>4865</v>
      </c>
      <c r="R1162" s="26">
        <f t="shared" si="215"/>
        <v>0</v>
      </c>
      <c r="S1162" s="26">
        <f t="shared" si="215"/>
        <v>4865</v>
      </c>
    </row>
    <row r="1163" spans="2:19" x14ac:dyDescent="0.2">
      <c r="B1163" s="75">
        <f t="shared" si="211"/>
        <v>515</v>
      </c>
      <c r="C1163" s="4"/>
      <c r="D1163" s="4"/>
      <c r="E1163" s="4"/>
      <c r="F1163" s="53" t="s">
        <v>165</v>
      </c>
      <c r="G1163" s="4">
        <v>633</v>
      </c>
      <c r="H1163" s="4" t="s">
        <v>133</v>
      </c>
      <c r="I1163" s="26">
        <v>122</v>
      </c>
      <c r="J1163" s="26"/>
      <c r="K1163" s="26">
        <f t="shared" si="209"/>
        <v>122</v>
      </c>
      <c r="L1163" s="76"/>
      <c r="M1163" s="26"/>
      <c r="N1163" s="26"/>
      <c r="O1163" s="26">
        <f t="shared" si="210"/>
        <v>0</v>
      </c>
      <c r="P1163" s="76"/>
      <c r="Q1163" s="26">
        <f t="shared" si="213"/>
        <v>122</v>
      </c>
      <c r="R1163" s="26">
        <f t="shared" si="215"/>
        <v>0</v>
      </c>
      <c r="S1163" s="26">
        <f t="shared" si="215"/>
        <v>122</v>
      </c>
    </row>
    <row r="1164" spans="2:19" x14ac:dyDescent="0.2">
      <c r="B1164" s="75">
        <f t="shared" si="211"/>
        <v>516</v>
      </c>
      <c r="C1164" s="4"/>
      <c r="D1164" s="4"/>
      <c r="E1164" s="4"/>
      <c r="F1164" s="53" t="s">
        <v>165</v>
      </c>
      <c r="G1164" s="4">
        <v>637</v>
      </c>
      <c r="H1164" s="4" t="s">
        <v>130</v>
      </c>
      <c r="I1164" s="26">
        <v>602</v>
      </c>
      <c r="J1164" s="26"/>
      <c r="K1164" s="26">
        <f t="shared" si="209"/>
        <v>602</v>
      </c>
      <c r="L1164" s="76"/>
      <c r="M1164" s="26"/>
      <c r="N1164" s="26"/>
      <c r="O1164" s="26">
        <f t="shared" si="210"/>
        <v>0</v>
      </c>
      <c r="P1164" s="76"/>
      <c r="Q1164" s="26">
        <f t="shared" si="213"/>
        <v>602</v>
      </c>
      <c r="R1164" s="26">
        <f t="shared" si="215"/>
        <v>0</v>
      </c>
      <c r="S1164" s="26">
        <f t="shared" si="215"/>
        <v>602</v>
      </c>
    </row>
    <row r="1165" spans="2:19" x14ac:dyDescent="0.2">
      <c r="B1165" s="75">
        <f t="shared" si="211"/>
        <v>517</v>
      </c>
      <c r="C1165" s="15"/>
      <c r="D1165" s="15"/>
      <c r="E1165" s="15"/>
      <c r="F1165" s="52" t="s">
        <v>165</v>
      </c>
      <c r="G1165" s="15">
        <v>640</v>
      </c>
      <c r="H1165" s="15" t="s">
        <v>136</v>
      </c>
      <c r="I1165" s="49">
        <v>50</v>
      </c>
      <c r="J1165" s="49"/>
      <c r="K1165" s="49">
        <f t="shared" si="209"/>
        <v>50</v>
      </c>
      <c r="L1165" s="123"/>
      <c r="M1165" s="49"/>
      <c r="N1165" s="49"/>
      <c r="O1165" s="49">
        <f t="shared" si="210"/>
        <v>0</v>
      </c>
      <c r="P1165" s="123"/>
      <c r="Q1165" s="49">
        <f t="shared" si="213"/>
        <v>50</v>
      </c>
      <c r="R1165" s="49">
        <f t="shared" si="215"/>
        <v>0</v>
      </c>
      <c r="S1165" s="49">
        <f t="shared" si="215"/>
        <v>50</v>
      </c>
    </row>
    <row r="1166" spans="2:19" ht="15" x14ac:dyDescent="0.25">
      <c r="B1166" s="75">
        <f t="shared" si="211"/>
        <v>518</v>
      </c>
      <c r="C1166" s="18"/>
      <c r="D1166" s="18"/>
      <c r="E1166" s="18">
        <v>14</v>
      </c>
      <c r="F1166" s="50"/>
      <c r="G1166" s="18"/>
      <c r="H1166" s="18" t="s">
        <v>266</v>
      </c>
      <c r="I1166" s="47">
        <f>I1167+I1168+I1169+I1176</f>
        <v>843146</v>
      </c>
      <c r="J1166" s="47">
        <f>J1167+J1168+J1169+J1176</f>
        <v>3650</v>
      </c>
      <c r="K1166" s="47">
        <f t="shared" si="209"/>
        <v>846796</v>
      </c>
      <c r="L1166" s="174"/>
      <c r="M1166" s="47">
        <v>0</v>
      </c>
      <c r="N1166" s="47"/>
      <c r="O1166" s="47">
        <f t="shared" si="210"/>
        <v>0</v>
      </c>
      <c r="P1166" s="174"/>
      <c r="Q1166" s="47">
        <f t="shared" si="213"/>
        <v>843146</v>
      </c>
      <c r="R1166" s="47">
        <f t="shared" si="215"/>
        <v>3650</v>
      </c>
      <c r="S1166" s="47">
        <f t="shared" si="215"/>
        <v>846796</v>
      </c>
    </row>
    <row r="1167" spans="2:19" x14ac:dyDescent="0.2">
      <c r="B1167" s="75">
        <f t="shared" si="211"/>
        <v>519</v>
      </c>
      <c r="C1167" s="15"/>
      <c r="D1167" s="15"/>
      <c r="E1167" s="15"/>
      <c r="F1167" s="52" t="s">
        <v>165</v>
      </c>
      <c r="G1167" s="15">
        <v>610</v>
      </c>
      <c r="H1167" s="15" t="s">
        <v>137</v>
      </c>
      <c r="I1167" s="49">
        <v>547819</v>
      </c>
      <c r="J1167" s="49"/>
      <c r="K1167" s="49">
        <f t="shared" si="209"/>
        <v>547819</v>
      </c>
      <c r="L1167" s="123"/>
      <c r="M1167" s="49"/>
      <c r="N1167" s="49"/>
      <c r="O1167" s="49">
        <f t="shared" si="210"/>
        <v>0</v>
      </c>
      <c r="P1167" s="123"/>
      <c r="Q1167" s="49">
        <f t="shared" si="213"/>
        <v>547819</v>
      </c>
      <c r="R1167" s="49">
        <f t="shared" si="215"/>
        <v>0</v>
      </c>
      <c r="S1167" s="49">
        <f t="shared" si="215"/>
        <v>547819</v>
      </c>
    </row>
    <row r="1168" spans="2:19" x14ac:dyDescent="0.2">
      <c r="B1168" s="75">
        <f t="shared" si="211"/>
        <v>520</v>
      </c>
      <c r="C1168" s="15"/>
      <c r="D1168" s="15"/>
      <c r="E1168" s="15"/>
      <c r="F1168" s="52" t="s">
        <v>165</v>
      </c>
      <c r="G1168" s="15">
        <v>620</v>
      </c>
      <c r="H1168" s="15" t="s">
        <v>132</v>
      </c>
      <c r="I1168" s="49">
        <v>191327</v>
      </c>
      <c r="J1168" s="49"/>
      <c r="K1168" s="49">
        <f t="shared" si="209"/>
        <v>191327</v>
      </c>
      <c r="L1168" s="123"/>
      <c r="M1168" s="49"/>
      <c r="N1168" s="49"/>
      <c r="O1168" s="49">
        <f t="shared" si="210"/>
        <v>0</v>
      </c>
      <c r="P1168" s="123"/>
      <c r="Q1168" s="49">
        <f t="shared" si="213"/>
        <v>191327</v>
      </c>
      <c r="R1168" s="49">
        <f t="shared" si="215"/>
        <v>0</v>
      </c>
      <c r="S1168" s="49">
        <f t="shared" si="215"/>
        <v>191327</v>
      </c>
    </row>
    <row r="1169" spans="2:19" x14ac:dyDescent="0.2">
      <c r="B1169" s="75">
        <f t="shared" si="211"/>
        <v>521</v>
      </c>
      <c r="C1169" s="15"/>
      <c r="D1169" s="15"/>
      <c r="E1169" s="15"/>
      <c r="F1169" s="52" t="s">
        <v>165</v>
      </c>
      <c r="G1169" s="15">
        <v>630</v>
      </c>
      <c r="H1169" s="15" t="s">
        <v>129</v>
      </c>
      <c r="I1169" s="49">
        <f>I1175+I1174+I1173+I1172+I1171+I1170</f>
        <v>97370</v>
      </c>
      <c r="J1169" s="49">
        <f>J1175+J1174+J1173+J1172+J1171+J1170</f>
        <v>0</v>
      </c>
      <c r="K1169" s="49">
        <f t="shared" si="209"/>
        <v>97370</v>
      </c>
      <c r="L1169" s="123"/>
      <c r="M1169" s="49">
        <f>M1175+M1174+M1173+M1172+M1171+M1170</f>
        <v>0</v>
      </c>
      <c r="N1169" s="49">
        <f>N1175+N1174+N1173+N1172+N1171+N1170</f>
        <v>0</v>
      </c>
      <c r="O1169" s="49">
        <f t="shared" si="210"/>
        <v>0</v>
      </c>
      <c r="P1169" s="123"/>
      <c r="Q1169" s="49">
        <f t="shared" si="213"/>
        <v>97370</v>
      </c>
      <c r="R1169" s="49">
        <f t="shared" si="215"/>
        <v>0</v>
      </c>
      <c r="S1169" s="49">
        <f t="shared" si="215"/>
        <v>97370</v>
      </c>
    </row>
    <row r="1170" spans="2:19" x14ac:dyDescent="0.2">
      <c r="B1170" s="75">
        <f t="shared" si="211"/>
        <v>522</v>
      </c>
      <c r="C1170" s="4"/>
      <c r="D1170" s="4"/>
      <c r="E1170" s="4"/>
      <c r="F1170" s="53" t="s">
        <v>165</v>
      </c>
      <c r="G1170" s="4">
        <v>631</v>
      </c>
      <c r="H1170" s="4" t="s">
        <v>135</v>
      </c>
      <c r="I1170" s="26">
        <v>408</v>
      </c>
      <c r="J1170" s="26"/>
      <c r="K1170" s="26">
        <f t="shared" si="209"/>
        <v>408</v>
      </c>
      <c r="L1170" s="76"/>
      <c r="M1170" s="26"/>
      <c r="N1170" s="26"/>
      <c r="O1170" s="26">
        <f t="shared" si="210"/>
        <v>0</v>
      </c>
      <c r="P1170" s="76"/>
      <c r="Q1170" s="26">
        <f t="shared" si="213"/>
        <v>408</v>
      </c>
      <c r="R1170" s="26">
        <f t="shared" si="215"/>
        <v>0</v>
      </c>
      <c r="S1170" s="26">
        <f t="shared" si="215"/>
        <v>408</v>
      </c>
    </row>
    <row r="1171" spans="2:19" x14ac:dyDescent="0.2">
      <c r="B1171" s="75">
        <f t="shared" si="211"/>
        <v>523</v>
      </c>
      <c r="C1171" s="4"/>
      <c r="D1171" s="4"/>
      <c r="E1171" s="4"/>
      <c r="F1171" s="53" t="s">
        <v>165</v>
      </c>
      <c r="G1171" s="4">
        <v>632</v>
      </c>
      <c r="H1171" s="4" t="s">
        <v>140</v>
      </c>
      <c r="I1171" s="26">
        <v>40066</v>
      </c>
      <c r="J1171" s="26"/>
      <c r="K1171" s="26">
        <f t="shared" si="209"/>
        <v>40066</v>
      </c>
      <c r="L1171" s="76"/>
      <c r="M1171" s="26"/>
      <c r="N1171" s="26"/>
      <c r="O1171" s="26">
        <f t="shared" si="210"/>
        <v>0</v>
      </c>
      <c r="P1171" s="76"/>
      <c r="Q1171" s="26">
        <f t="shared" si="213"/>
        <v>40066</v>
      </c>
      <c r="R1171" s="26">
        <f t="shared" si="215"/>
        <v>0</v>
      </c>
      <c r="S1171" s="26">
        <f t="shared" si="215"/>
        <v>40066</v>
      </c>
    </row>
    <row r="1172" spans="2:19" x14ac:dyDescent="0.2">
      <c r="B1172" s="75">
        <f t="shared" si="211"/>
        <v>524</v>
      </c>
      <c r="C1172" s="4"/>
      <c r="D1172" s="4"/>
      <c r="E1172" s="4"/>
      <c r="F1172" s="53" t="s">
        <v>165</v>
      </c>
      <c r="G1172" s="4">
        <v>633</v>
      </c>
      <c r="H1172" s="4" t="s">
        <v>133</v>
      </c>
      <c r="I1172" s="26">
        <v>16035</v>
      </c>
      <c r="J1172" s="26"/>
      <c r="K1172" s="26">
        <f t="shared" si="209"/>
        <v>16035</v>
      </c>
      <c r="L1172" s="76"/>
      <c r="M1172" s="26"/>
      <c r="N1172" s="26"/>
      <c r="O1172" s="26">
        <f t="shared" si="210"/>
        <v>0</v>
      </c>
      <c r="P1172" s="76"/>
      <c r="Q1172" s="26">
        <f t="shared" ref="Q1172:Q1180" si="216">M1172+I1172</f>
        <v>16035</v>
      </c>
      <c r="R1172" s="26">
        <f t="shared" ref="R1172:S1180" si="217">N1172+J1172</f>
        <v>0</v>
      </c>
      <c r="S1172" s="26">
        <f t="shared" si="217"/>
        <v>16035</v>
      </c>
    </row>
    <row r="1173" spans="2:19" x14ac:dyDescent="0.2">
      <c r="B1173" s="75">
        <f t="shared" si="211"/>
        <v>525</v>
      </c>
      <c r="C1173" s="4"/>
      <c r="D1173" s="4"/>
      <c r="E1173" s="4"/>
      <c r="F1173" s="53" t="s">
        <v>165</v>
      </c>
      <c r="G1173" s="4">
        <v>635</v>
      </c>
      <c r="H1173" s="4" t="s">
        <v>139</v>
      </c>
      <c r="I1173" s="26">
        <v>4733</v>
      </c>
      <c r="J1173" s="26"/>
      <c r="K1173" s="26">
        <f t="shared" si="209"/>
        <v>4733</v>
      </c>
      <c r="L1173" s="76"/>
      <c r="M1173" s="26"/>
      <c r="N1173" s="26"/>
      <c r="O1173" s="26">
        <f t="shared" si="210"/>
        <v>0</v>
      </c>
      <c r="P1173" s="76"/>
      <c r="Q1173" s="26">
        <f t="shared" si="216"/>
        <v>4733</v>
      </c>
      <c r="R1173" s="26">
        <f t="shared" si="217"/>
        <v>0</v>
      </c>
      <c r="S1173" s="26">
        <f t="shared" si="217"/>
        <v>4733</v>
      </c>
    </row>
    <row r="1174" spans="2:19" x14ac:dyDescent="0.2">
      <c r="B1174" s="75">
        <f t="shared" si="211"/>
        <v>526</v>
      </c>
      <c r="C1174" s="4"/>
      <c r="D1174" s="4"/>
      <c r="E1174" s="4"/>
      <c r="F1174" s="53" t="s">
        <v>165</v>
      </c>
      <c r="G1174" s="4">
        <v>636</v>
      </c>
      <c r="H1174" s="4" t="s">
        <v>134</v>
      </c>
      <c r="I1174" s="26">
        <v>102</v>
      </c>
      <c r="J1174" s="26"/>
      <c r="K1174" s="26">
        <f t="shared" ref="K1174:K1236" si="218">I1174+J1174</f>
        <v>102</v>
      </c>
      <c r="L1174" s="76"/>
      <c r="M1174" s="26"/>
      <c r="N1174" s="26"/>
      <c r="O1174" s="26">
        <f t="shared" ref="O1174:O1236" si="219">M1174+N1174</f>
        <v>0</v>
      </c>
      <c r="P1174" s="76"/>
      <c r="Q1174" s="26">
        <f t="shared" si="216"/>
        <v>102</v>
      </c>
      <c r="R1174" s="26">
        <f t="shared" si="217"/>
        <v>0</v>
      </c>
      <c r="S1174" s="26">
        <f t="shared" si="217"/>
        <v>102</v>
      </c>
    </row>
    <row r="1175" spans="2:19" x14ac:dyDescent="0.2">
      <c r="B1175" s="75">
        <f t="shared" ref="B1175:B1193" si="220">B1174+1</f>
        <v>527</v>
      </c>
      <c r="C1175" s="4"/>
      <c r="D1175" s="4"/>
      <c r="E1175" s="4"/>
      <c r="F1175" s="53" t="s">
        <v>165</v>
      </c>
      <c r="G1175" s="4">
        <v>637</v>
      </c>
      <c r="H1175" s="4" t="s">
        <v>130</v>
      </c>
      <c r="I1175" s="26">
        <v>36026</v>
      </c>
      <c r="J1175" s="26"/>
      <c r="K1175" s="26">
        <f t="shared" si="218"/>
        <v>36026</v>
      </c>
      <c r="L1175" s="76"/>
      <c r="M1175" s="26"/>
      <c r="N1175" s="26"/>
      <c r="O1175" s="26">
        <f t="shared" si="219"/>
        <v>0</v>
      </c>
      <c r="P1175" s="76"/>
      <c r="Q1175" s="26">
        <f t="shared" si="216"/>
        <v>36026</v>
      </c>
      <c r="R1175" s="26">
        <f t="shared" si="217"/>
        <v>0</v>
      </c>
      <c r="S1175" s="26">
        <f t="shared" si="217"/>
        <v>36026</v>
      </c>
    </row>
    <row r="1176" spans="2:19" x14ac:dyDescent="0.2">
      <c r="B1176" s="75">
        <f t="shared" si="220"/>
        <v>528</v>
      </c>
      <c r="C1176" s="15"/>
      <c r="D1176" s="15"/>
      <c r="E1176" s="15"/>
      <c r="F1176" s="52" t="s">
        <v>165</v>
      </c>
      <c r="G1176" s="15">
        <v>640</v>
      </c>
      <c r="H1176" s="15" t="s">
        <v>136</v>
      </c>
      <c r="I1176" s="49">
        <v>6630</v>
      </c>
      <c r="J1176" s="49">
        <f>2700+950</f>
        <v>3650</v>
      </c>
      <c r="K1176" s="49">
        <f t="shared" si="218"/>
        <v>10280</v>
      </c>
      <c r="L1176" s="123"/>
      <c r="M1176" s="49"/>
      <c r="N1176" s="49"/>
      <c r="O1176" s="49">
        <f t="shared" si="219"/>
        <v>0</v>
      </c>
      <c r="P1176" s="123"/>
      <c r="Q1176" s="49">
        <f t="shared" si="216"/>
        <v>6630</v>
      </c>
      <c r="R1176" s="49">
        <f t="shared" si="217"/>
        <v>3650</v>
      </c>
      <c r="S1176" s="49">
        <f t="shared" si="217"/>
        <v>10280</v>
      </c>
    </row>
    <row r="1177" spans="2:19" ht="15" x14ac:dyDescent="0.2">
      <c r="B1177" s="75">
        <f t="shared" si="220"/>
        <v>529</v>
      </c>
      <c r="C1177" s="164">
        <v>4</v>
      </c>
      <c r="D1177" s="230" t="s">
        <v>168</v>
      </c>
      <c r="E1177" s="228"/>
      <c r="F1177" s="228"/>
      <c r="G1177" s="228"/>
      <c r="H1177" s="229"/>
      <c r="I1177" s="45">
        <f>I1178+I1184+I1285+I1302+I1324+I1341+I1358+I1377+I1401+I1319</f>
        <v>1171729</v>
      </c>
      <c r="J1177" s="45">
        <f>J1178+J1184+J1285+J1302+J1324+J1341+J1358+J1377+J1401+J1319</f>
        <v>4507</v>
      </c>
      <c r="K1177" s="45">
        <f t="shared" si="218"/>
        <v>1176236</v>
      </c>
      <c r="L1177" s="172"/>
      <c r="M1177" s="45">
        <f>M1178+M1184+M1285+M1302+M1324+M1341+M1358+M1377+M1401+M1319</f>
        <v>40000</v>
      </c>
      <c r="N1177" s="45">
        <f>N1178+N1184+N1285+N1302+N1324+N1341+N1358+N1377+N1401+N1319</f>
        <v>0</v>
      </c>
      <c r="O1177" s="45">
        <f t="shared" si="219"/>
        <v>40000</v>
      </c>
      <c r="P1177" s="172"/>
      <c r="Q1177" s="45">
        <f t="shared" si="216"/>
        <v>1211729</v>
      </c>
      <c r="R1177" s="45">
        <f t="shared" si="217"/>
        <v>4507</v>
      </c>
      <c r="S1177" s="45">
        <f t="shared" si="217"/>
        <v>1216236</v>
      </c>
    </row>
    <row r="1178" spans="2:19" x14ac:dyDescent="0.2">
      <c r="B1178" s="75">
        <f t="shared" si="220"/>
        <v>530</v>
      </c>
      <c r="C1178" s="15"/>
      <c r="D1178" s="15"/>
      <c r="E1178" s="15"/>
      <c r="F1178" s="52" t="s">
        <v>167</v>
      </c>
      <c r="G1178" s="15">
        <v>640</v>
      </c>
      <c r="H1178" s="15" t="s">
        <v>136</v>
      </c>
      <c r="I1178" s="49">
        <f>SUM(I1179:I1183)</f>
        <v>59480</v>
      </c>
      <c r="J1178" s="49">
        <f>SUM(J1179:J1183)</f>
        <v>0</v>
      </c>
      <c r="K1178" s="49">
        <f t="shared" si="218"/>
        <v>59480</v>
      </c>
      <c r="L1178" s="123"/>
      <c r="M1178" s="49"/>
      <c r="N1178" s="49"/>
      <c r="O1178" s="49">
        <f t="shared" si="219"/>
        <v>0</v>
      </c>
      <c r="P1178" s="123"/>
      <c r="Q1178" s="49">
        <f t="shared" si="216"/>
        <v>59480</v>
      </c>
      <c r="R1178" s="49">
        <f t="shared" si="217"/>
        <v>0</v>
      </c>
      <c r="S1178" s="49">
        <f t="shared" si="217"/>
        <v>59480</v>
      </c>
    </row>
    <row r="1179" spans="2:19" x14ac:dyDescent="0.2">
      <c r="B1179" s="75">
        <f t="shared" si="220"/>
        <v>531</v>
      </c>
      <c r="C1179" s="15"/>
      <c r="D1179" s="15"/>
      <c r="E1179" s="15"/>
      <c r="F1179" s="52"/>
      <c r="G1179" s="15"/>
      <c r="H1179" s="60" t="s">
        <v>388</v>
      </c>
      <c r="I1179" s="58">
        <v>24921</v>
      </c>
      <c r="J1179" s="58"/>
      <c r="K1179" s="58">
        <f t="shared" si="218"/>
        <v>24921</v>
      </c>
      <c r="L1179" s="76"/>
      <c r="M1179" s="58"/>
      <c r="N1179" s="58"/>
      <c r="O1179" s="58">
        <f t="shared" si="219"/>
        <v>0</v>
      </c>
      <c r="P1179" s="76"/>
      <c r="Q1179" s="58">
        <f t="shared" si="216"/>
        <v>24921</v>
      </c>
      <c r="R1179" s="58">
        <f t="shared" si="217"/>
        <v>0</v>
      </c>
      <c r="S1179" s="58">
        <f t="shared" si="217"/>
        <v>24921</v>
      </c>
    </row>
    <row r="1180" spans="2:19" x14ac:dyDescent="0.2">
      <c r="B1180" s="75">
        <f t="shared" si="220"/>
        <v>532</v>
      </c>
      <c r="C1180" s="15"/>
      <c r="D1180" s="15"/>
      <c r="E1180" s="15"/>
      <c r="F1180" s="52"/>
      <c r="G1180" s="15"/>
      <c r="H1180" s="60" t="s">
        <v>389</v>
      </c>
      <c r="I1180" s="58">
        <v>20239</v>
      </c>
      <c r="J1180" s="58"/>
      <c r="K1180" s="58">
        <f t="shared" si="218"/>
        <v>20239</v>
      </c>
      <c r="L1180" s="76"/>
      <c r="M1180" s="58"/>
      <c r="N1180" s="58"/>
      <c r="O1180" s="58">
        <f t="shared" si="219"/>
        <v>0</v>
      </c>
      <c r="P1180" s="76"/>
      <c r="Q1180" s="58">
        <f t="shared" si="216"/>
        <v>20239</v>
      </c>
      <c r="R1180" s="58">
        <f t="shared" si="217"/>
        <v>0</v>
      </c>
      <c r="S1180" s="58">
        <f t="shared" si="217"/>
        <v>20239</v>
      </c>
    </row>
    <row r="1181" spans="2:19" x14ac:dyDescent="0.2">
      <c r="B1181" s="75">
        <f t="shared" si="220"/>
        <v>533</v>
      </c>
      <c r="C1181" s="15"/>
      <c r="D1181" s="15"/>
      <c r="E1181" s="15"/>
      <c r="F1181" s="52"/>
      <c r="G1181" s="15"/>
      <c r="H1181" s="60" t="s">
        <v>559</v>
      </c>
      <c r="I1181" s="58">
        <v>6334</v>
      </c>
      <c r="J1181" s="58"/>
      <c r="K1181" s="58">
        <f t="shared" si="218"/>
        <v>6334</v>
      </c>
      <c r="L1181" s="76"/>
      <c r="M1181" s="58"/>
      <c r="N1181" s="58"/>
      <c r="O1181" s="58">
        <f t="shared" si="219"/>
        <v>0</v>
      </c>
      <c r="P1181" s="76"/>
      <c r="Q1181" s="58">
        <f t="shared" ref="Q1181" si="221">M1181+I1181</f>
        <v>6334</v>
      </c>
      <c r="R1181" s="58">
        <f t="shared" ref="R1181" si="222">N1181+J1181</f>
        <v>0</v>
      </c>
      <c r="S1181" s="58">
        <f t="shared" ref="S1181" si="223">O1181+K1181</f>
        <v>6334</v>
      </c>
    </row>
    <row r="1182" spans="2:19" x14ac:dyDescent="0.2">
      <c r="B1182" s="75">
        <f t="shared" si="220"/>
        <v>534</v>
      </c>
      <c r="C1182" s="15"/>
      <c r="D1182" s="15"/>
      <c r="E1182" s="15"/>
      <c r="F1182" s="52"/>
      <c r="G1182" s="15"/>
      <c r="H1182" s="60" t="s">
        <v>249</v>
      </c>
      <c r="I1182" s="58">
        <v>6609</v>
      </c>
      <c r="J1182" s="58"/>
      <c r="K1182" s="58">
        <f t="shared" si="218"/>
        <v>6609</v>
      </c>
      <c r="L1182" s="76"/>
      <c r="M1182" s="58"/>
      <c r="N1182" s="58"/>
      <c r="O1182" s="58">
        <f t="shared" si="219"/>
        <v>0</v>
      </c>
      <c r="P1182" s="76"/>
      <c r="Q1182" s="58">
        <f t="shared" ref="Q1182:Q1245" si="224">M1182+I1182</f>
        <v>6609</v>
      </c>
      <c r="R1182" s="58">
        <f t="shared" ref="R1182:S1197" si="225">N1182+J1182</f>
        <v>0</v>
      </c>
      <c r="S1182" s="58">
        <f t="shared" si="225"/>
        <v>6609</v>
      </c>
    </row>
    <row r="1183" spans="2:19" x14ac:dyDescent="0.2">
      <c r="B1183" s="75">
        <f t="shared" si="220"/>
        <v>535</v>
      </c>
      <c r="C1183" s="15"/>
      <c r="D1183" s="15"/>
      <c r="E1183" s="15"/>
      <c r="F1183" s="52"/>
      <c r="G1183" s="15"/>
      <c r="H1183" s="60" t="s">
        <v>296</v>
      </c>
      <c r="I1183" s="58">
        <v>1377</v>
      </c>
      <c r="J1183" s="58"/>
      <c r="K1183" s="58">
        <f t="shared" si="218"/>
        <v>1377</v>
      </c>
      <c r="L1183" s="76"/>
      <c r="M1183" s="58"/>
      <c r="N1183" s="58"/>
      <c r="O1183" s="58">
        <f t="shared" si="219"/>
        <v>0</v>
      </c>
      <c r="P1183" s="76"/>
      <c r="Q1183" s="58">
        <f t="shared" si="224"/>
        <v>1377</v>
      </c>
      <c r="R1183" s="58">
        <f t="shared" si="225"/>
        <v>0</v>
      </c>
      <c r="S1183" s="58">
        <f t="shared" si="225"/>
        <v>1377</v>
      </c>
    </row>
    <row r="1184" spans="2:19" ht="15" x14ac:dyDescent="0.25">
      <c r="B1184" s="75">
        <f t="shared" si="220"/>
        <v>536</v>
      </c>
      <c r="C1184" s="18"/>
      <c r="D1184" s="18"/>
      <c r="E1184" s="18">
        <v>4</v>
      </c>
      <c r="F1184" s="50"/>
      <c r="G1184" s="18"/>
      <c r="H1184" s="18" t="s">
        <v>86</v>
      </c>
      <c r="I1184" s="47">
        <f>I1277+I1270+I1263+I1256+I1249+I1241+I1234+I1227+I1220+I1213+I1206+I1199+I1192+I1185</f>
        <v>393257</v>
      </c>
      <c r="J1184" s="47">
        <f>J1277+J1270+J1263+J1256+J1249+J1241+J1234+J1227+J1220+J1213+J1206+J1199+J1192+J1185</f>
        <v>3250</v>
      </c>
      <c r="K1184" s="47">
        <f t="shared" si="218"/>
        <v>396507</v>
      </c>
      <c r="L1184" s="174"/>
      <c r="M1184" s="47">
        <f>M1277+M1270+M1263+M1256+M1249+M1241+M1234+M1227+M1220+M1213+M1206+M1199+M1192+M1185</f>
        <v>0</v>
      </c>
      <c r="N1184" s="47">
        <f>N1277+N1270+N1263+N1256+N1249+N1241+N1234+N1227+N1220+N1213+N1206+N1199+N1192+N1185</f>
        <v>0</v>
      </c>
      <c r="O1184" s="47">
        <f t="shared" si="219"/>
        <v>0</v>
      </c>
      <c r="P1184" s="174"/>
      <c r="Q1184" s="47">
        <f t="shared" si="224"/>
        <v>393257</v>
      </c>
      <c r="R1184" s="47">
        <f t="shared" si="225"/>
        <v>3250</v>
      </c>
      <c r="S1184" s="47">
        <f t="shared" si="225"/>
        <v>396507</v>
      </c>
    </row>
    <row r="1185" spans="2:19" x14ac:dyDescent="0.2">
      <c r="B1185" s="75">
        <f t="shared" si="220"/>
        <v>537</v>
      </c>
      <c r="C1185" s="14"/>
      <c r="D1185" s="14"/>
      <c r="E1185" s="14" t="s">
        <v>96</v>
      </c>
      <c r="F1185" s="51"/>
      <c r="G1185" s="14"/>
      <c r="H1185" s="14" t="s">
        <v>65</v>
      </c>
      <c r="I1185" s="48">
        <f>I1186+I1187+I1188</f>
        <v>18530</v>
      </c>
      <c r="J1185" s="48">
        <f>J1186+J1187+J1188</f>
        <v>1900</v>
      </c>
      <c r="K1185" s="48">
        <f t="shared" si="218"/>
        <v>20430</v>
      </c>
      <c r="L1185" s="123"/>
      <c r="M1185" s="48">
        <f>M1188+M1187+M1186</f>
        <v>0</v>
      </c>
      <c r="N1185" s="48">
        <f>N1188+N1187+N1186</f>
        <v>0</v>
      </c>
      <c r="O1185" s="48">
        <f t="shared" si="219"/>
        <v>0</v>
      </c>
      <c r="P1185" s="123"/>
      <c r="Q1185" s="48">
        <f t="shared" si="224"/>
        <v>18530</v>
      </c>
      <c r="R1185" s="48">
        <f t="shared" si="225"/>
        <v>1900</v>
      </c>
      <c r="S1185" s="48">
        <f t="shared" si="225"/>
        <v>20430</v>
      </c>
    </row>
    <row r="1186" spans="2:19" x14ac:dyDescent="0.2">
      <c r="B1186" s="75">
        <f t="shared" si="220"/>
        <v>538</v>
      </c>
      <c r="C1186" s="15"/>
      <c r="D1186" s="15"/>
      <c r="E1186" s="15"/>
      <c r="F1186" s="52" t="s">
        <v>167</v>
      </c>
      <c r="G1186" s="15">
        <v>610</v>
      </c>
      <c r="H1186" s="15" t="s">
        <v>137</v>
      </c>
      <c r="I1186" s="49">
        <v>11600</v>
      </c>
      <c r="J1186" s="49">
        <v>1400</v>
      </c>
      <c r="K1186" s="49">
        <f t="shared" si="218"/>
        <v>13000</v>
      </c>
      <c r="L1186" s="123"/>
      <c r="M1186" s="49"/>
      <c r="N1186" s="49"/>
      <c r="O1186" s="49">
        <f t="shared" si="219"/>
        <v>0</v>
      </c>
      <c r="P1186" s="123"/>
      <c r="Q1186" s="49">
        <f t="shared" si="224"/>
        <v>11600</v>
      </c>
      <c r="R1186" s="49">
        <f t="shared" si="225"/>
        <v>1400</v>
      </c>
      <c r="S1186" s="49">
        <f t="shared" si="225"/>
        <v>13000</v>
      </c>
    </row>
    <row r="1187" spans="2:19" x14ac:dyDescent="0.2">
      <c r="B1187" s="75">
        <f t="shared" si="220"/>
        <v>539</v>
      </c>
      <c r="C1187" s="15"/>
      <c r="D1187" s="15"/>
      <c r="E1187" s="15"/>
      <c r="F1187" s="52" t="s">
        <v>167</v>
      </c>
      <c r="G1187" s="15">
        <v>620</v>
      </c>
      <c r="H1187" s="15" t="s">
        <v>132</v>
      </c>
      <c r="I1187" s="49">
        <v>4310</v>
      </c>
      <c r="J1187" s="49">
        <v>500</v>
      </c>
      <c r="K1187" s="49">
        <f t="shared" si="218"/>
        <v>4810</v>
      </c>
      <c r="L1187" s="123"/>
      <c r="M1187" s="49"/>
      <c r="N1187" s="49"/>
      <c r="O1187" s="49">
        <f t="shared" si="219"/>
        <v>0</v>
      </c>
      <c r="P1187" s="123"/>
      <c r="Q1187" s="49">
        <f t="shared" si="224"/>
        <v>4310</v>
      </c>
      <c r="R1187" s="49">
        <f t="shared" si="225"/>
        <v>500</v>
      </c>
      <c r="S1187" s="49">
        <f t="shared" si="225"/>
        <v>4810</v>
      </c>
    </row>
    <row r="1188" spans="2:19" x14ac:dyDescent="0.2">
      <c r="B1188" s="75">
        <f t="shared" si="220"/>
        <v>540</v>
      </c>
      <c r="C1188" s="15"/>
      <c r="D1188" s="15"/>
      <c r="E1188" s="15"/>
      <c r="F1188" s="52" t="s">
        <v>167</v>
      </c>
      <c r="G1188" s="15">
        <v>630</v>
      </c>
      <c r="H1188" s="15" t="s">
        <v>129</v>
      </c>
      <c r="I1188" s="49">
        <f>I1191+I1190+I1189</f>
        <v>2620</v>
      </c>
      <c r="J1188" s="49">
        <f>J1191+J1190+J1189</f>
        <v>0</v>
      </c>
      <c r="K1188" s="49">
        <f t="shared" si="218"/>
        <v>2620</v>
      </c>
      <c r="L1188" s="123"/>
      <c r="M1188" s="49">
        <f>M1191+M1190+M1189</f>
        <v>0</v>
      </c>
      <c r="N1188" s="49">
        <f>N1191+N1190+N1189</f>
        <v>0</v>
      </c>
      <c r="O1188" s="49">
        <f t="shared" si="219"/>
        <v>0</v>
      </c>
      <c r="P1188" s="123"/>
      <c r="Q1188" s="49">
        <f t="shared" si="224"/>
        <v>2620</v>
      </c>
      <c r="R1188" s="49">
        <f t="shared" si="225"/>
        <v>0</v>
      </c>
      <c r="S1188" s="49">
        <f t="shared" si="225"/>
        <v>2620</v>
      </c>
    </row>
    <row r="1189" spans="2:19" x14ac:dyDescent="0.2">
      <c r="B1189" s="75">
        <f t="shared" si="220"/>
        <v>541</v>
      </c>
      <c r="C1189" s="4"/>
      <c r="D1189" s="4"/>
      <c r="E1189" s="4"/>
      <c r="F1189" s="53" t="s">
        <v>167</v>
      </c>
      <c r="G1189" s="4">
        <v>633</v>
      </c>
      <c r="H1189" s="4" t="s">
        <v>133</v>
      </c>
      <c r="I1189" s="26">
        <v>1650</v>
      </c>
      <c r="J1189" s="26"/>
      <c r="K1189" s="26">
        <f t="shared" si="218"/>
        <v>1650</v>
      </c>
      <c r="L1189" s="76"/>
      <c r="M1189" s="26"/>
      <c r="N1189" s="26"/>
      <c r="O1189" s="26">
        <f t="shared" si="219"/>
        <v>0</v>
      </c>
      <c r="P1189" s="76"/>
      <c r="Q1189" s="26">
        <f t="shared" si="224"/>
        <v>1650</v>
      </c>
      <c r="R1189" s="26">
        <f t="shared" si="225"/>
        <v>0</v>
      </c>
      <c r="S1189" s="26">
        <f t="shared" si="225"/>
        <v>1650</v>
      </c>
    </row>
    <row r="1190" spans="2:19" x14ac:dyDescent="0.2">
      <c r="B1190" s="75">
        <f t="shared" si="220"/>
        <v>542</v>
      </c>
      <c r="C1190" s="4"/>
      <c r="D1190" s="4"/>
      <c r="E1190" s="4"/>
      <c r="F1190" s="53" t="s">
        <v>167</v>
      </c>
      <c r="G1190" s="4">
        <v>635</v>
      </c>
      <c r="H1190" s="4" t="s">
        <v>139</v>
      </c>
      <c r="I1190" s="26">
        <v>100</v>
      </c>
      <c r="J1190" s="26"/>
      <c r="K1190" s="26">
        <f t="shared" si="218"/>
        <v>100</v>
      </c>
      <c r="L1190" s="76"/>
      <c r="M1190" s="26"/>
      <c r="N1190" s="26"/>
      <c r="O1190" s="26">
        <f t="shared" si="219"/>
        <v>0</v>
      </c>
      <c r="P1190" s="76"/>
      <c r="Q1190" s="26">
        <f t="shared" si="224"/>
        <v>100</v>
      </c>
      <c r="R1190" s="26">
        <f t="shared" si="225"/>
        <v>0</v>
      </c>
      <c r="S1190" s="26">
        <f t="shared" si="225"/>
        <v>100</v>
      </c>
    </row>
    <row r="1191" spans="2:19" x14ac:dyDescent="0.2">
      <c r="B1191" s="75">
        <f t="shared" si="220"/>
        <v>543</v>
      </c>
      <c r="C1191" s="4"/>
      <c r="D1191" s="4"/>
      <c r="E1191" s="4"/>
      <c r="F1191" s="53" t="s">
        <v>167</v>
      </c>
      <c r="G1191" s="4">
        <v>637</v>
      </c>
      <c r="H1191" s="4" t="s">
        <v>130</v>
      </c>
      <c r="I1191" s="26">
        <v>870</v>
      </c>
      <c r="J1191" s="26"/>
      <c r="K1191" s="26">
        <f t="shared" si="218"/>
        <v>870</v>
      </c>
      <c r="L1191" s="76"/>
      <c r="M1191" s="26"/>
      <c r="N1191" s="26"/>
      <c r="O1191" s="26">
        <f t="shared" si="219"/>
        <v>0</v>
      </c>
      <c r="P1191" s="76"/>
      <c r="Q1191" s="26">
        <f t="shared" si="224"/>
        <v>870</v>
      </c>
      <c r="R1191" s="26">
        <f t="shared" si="225"/>
        <v>0</v>
      </c>
      <c r="S1191" s="26">
        <f t="shared" si="225"/>
        <v>870</v>
      </c>
    </row>
    <row r="1192" spans="2:19" x14ac:dyDescent="0.2">
      <c r="B1192" s="75">
        <f t="shared" si="220"/>
        <v>544</v>
      </c>
      <c r="C1192" s="14"/>
      <c r="D1192" s="14"/>
      <c r="E1192" s="14" t="s">
        <v>95</v>
      </c>
      <c r="F1192" s="51"/>
      <c r="G1192" s="14"/>
      <c r="H1192" s="14" t="s">
        <v>11</v>
      </c>
      <c r="I1192" s="48">
        <f>I1195+I1194+I1193</f>
        <v>25160</v>
      </c>
      <c r="J1192" s="48">
        <f>J1195+J1194+J1193</f>
        <v>0</v>
      </c>
      <c r="K1192" s="48">
        <f t="shared" si="218"/>
        <v>25160</v>
      </c>
      <c r="L1192" s="123"/>
      <c r="M1192" s="48">
        <v>0</v>
      </c>
      <c r="N1192" s="48"/>
      <c r="O1192" s="48">
        <f t="shared" si="219"/>
        <v>0</v>
      </c>
      <c r="P1192" s="123"/>
      <c r="Q1192" s="48">
        <f t="shared" si="224"/>
        <v>25160</v>
      </c>
      <c r="R1192" s="48">
        <f t="shared" si="225"/>
        <v>0</v>
      </c>
      <c r="S1192" s="48">
        <f t="shared" si="225"/>
        <v>25160</v>
      </c>
    </row>
    <row r="1193" spans="2:19" x14ac:dyDescent="0.2">
      <c r="B1193" s="75">
        <f t="shared" si="220"/>
        <v>545</v>
      </c>
      <c r="C1193" s="15"/>
      <c r="D1193" s="15"/>
      <c r="E1193" s="15"/>
      <c r="F1193" s="52" t="s">
        <v>167</v>
      </c>
      <c r="G1193" s="15">
        <v>610</v>
      </c>
      <c r="H1193" s="15" t="s">
        <v>137</v>
      </c>
      <c r="I1193" s="49">
        <v>16400</v>
      </c>
      <c r="J1193" s="49"/>
      <c r="K1193" s="49">
        <f t="shared" si="218"/>
        <v>16400</v>
      </c>
      <c r="L1193" s="123"/>
      <c r="M1193" s="49"/>
      <c r="N1193" s="49"/>
      <c r="O1193" s="49">
        <f t="shared" si="219"/>
        <v>0</v>
      </c>
      <c r="P1193" s="123"/>
      <c r="Q1193" s="49">
        <f t="shared" si="224"/>
        <v>16400</v>
      </c>
      <c r="R1193" s="49">
        <f t="shared" si="225"/>
        <v>0</v>
      </c>
      <c r="S1193" s="49">
        <f t="shared" si="225"/>
        <v>16400</v>
      </c>
    </row>
    <row r="1194" spans="2:19" x14ac:dyDescent="0.2">
      <c r="B1194" s="75">
        <f t="shared" ref="B1194:B1237" si="226">B1193+1</f>
        <v>546</v>
      </c>
      <c r="C1194" s="15"/>
      <c r="D1194" s="15"/>
      <c r="E1194" s="15"/>
      <c r="F1194" s="52" t="s">
        <v>167</v>
      </c>
      <c r="G1194" s="15">
        <v>620</v>
      </c>
      <c r="H1194" s="15" t="s">
        <v>132</v>
      </c>
      <c r="I1194" s="49">
        <v>6095</v>
      </c>
      <c r="J1194" s="49"/>
      <c r="K1194" s="49">
        <f t="shared" si="218"/>
        <v>6095</v>
      </c>
      <c r="L1194" s="123"/>
      <c r="M1194" s="49"/>
      <c r="N1194" s="49"/>
      <c r="O1194" s="49">
        <f t="shared" si="219"/>
        <v>0</v>
      </c>
      <c r="P1194" s="123"/>
      <c r="Q1194" s="49">
        <f t="shared" si="224"/>
        <v>6095</v>
      </c>
      <c r="R1194" s="49">
        <f t="shared" si="225"/>
        <v>0</v>
      </c>
      <c r="S1194" s="49">
        <f t="shared" si="225"/>
        <v>6095</v>
      </c>
    </row>
    <row r="1195" spans="2:19" x14ac:dyDescent="0.2">
      <c r="B1195" s="75">
        <f t="shared" si="226"/>
        <v>547</v>
      </c>
      <c r="C1195" s="15"/>
      <c r="D1195" s="15"/>
      <c r="E1195" s="15"/>
      <c r="F1195" s="52" t="s">
        <v>167</v>
      </c>
      <c r="G1195" s="15">
        <v>630</v>
      </c>
      <c r="H1195" s="15" t="s">
        <v>129</v>
      </c>
      <c r="I1195" s="49">
        <f>I1198+I1197+I1196</f>
        <v>2665</v>
      </c>
      <c r="J1195" s="49">
        <f>J1198+J1197+J1196</f>
        <v>0</v>
      </c>
      <c r="K1195" s="49">
        <f t="shared" si="218"/>
        <v>2665</v>
      </c>
      <c r="L1195" s="123"/>
      <c r="M1195" s="49">
        <f>M1198+M1197+M1196</f>
        <v>0</v>
      </c>
      <c r="N1195" s="49">
        <f>N1198+N1197+N1196</f>
        <v>0</v>
      </c>
      <c r="O1195" s="49">
        <f t="shared" si="219"/>
        <v>0</v>
      </c>
      <c r="P1195" s="123"/>
      <c r="Q1195" s="49">
        <f t="shared" si="224"/>
        <v>2665</v>
      </c>
      <c r="R1195" s="49">
        <f t="shared" si="225"/>
        <v>0</v>
      </c>
      <c r="S1195" s="49">
        <f t="shared" si="225"/>
        <v>2665</v>
      </c>
    </row>
    <row r="1196" spans="2:19" x14ac:dyDescent="0.2">
      <c r="B1196" s="75">
        <f t="shared" si="226"/>
        <v>548</v>
      </c>
      <c r="C1196" s="4"/>
      <c r="D1196" s="4"/>
      <c r="E1196" s="4"/>
      <c r="F1196" s="53" t="s">
        <v>167</v>
      </c>
      <c r="G1196" s="4">
        <v>633</v>
      </c>
      <c r="H1196" s="4" t="s">
        <v>133</v>
      </c>
      <c r="I1196" s="26">
        <v>1550</v>
      </c>
      <c r="J1196" s="26"/>
      <c r="K1196" s="26">
        <f t="shared" si="218"/>
        <v>1550</v>
      </c>
      <c r="L1196" s="76"/>
      <c r="M1196" s="26"/>
      <c r="N1196" s="26"/>
      <c r="O1196" s="26">
        <f t="shared" si="219"/>
        <v>0</v>
      </c>
      <c r="P1196" s="76"/>
      <c r="Q1196" s="26">
        <f t="shared" si="224"/>
        <v>1550</v>
      </c>
      <c r="R1196" s="26">
        <f t="shared" si="225"/>
        <v>0</v>
      </c>
      <c r="S1196" s="26">
        <f t="shared" si="225"/>
        <v>1550</v>
      </c>
    </row>
    <row r="1197" spans="2:19" x14ac:dyDescent="0.2">
      <c r="B1197" s="75">
        <f t="shared" si="226"/>
        <v>549</v>
      </c>
      <c r="C1197" s="4"/>
      <c r="D1197" s="4"/>
      <c r="E1197" s="4"/>
      <c r="F1197" s="53" t="s">
        <v>167</v>
      </c>
      <c r="G1197" s="4">
        <v>635</v>
      </c>
      <c r="H1197" s="4" t="s">
        <v>139</v>
      </c>
      <c r="I1197" s="26">
        <v>150</v>
      </c>
      <c r="J1197" s="26"/>
      <c r="K1197" s="26">
        <f t="shared" si="218"/>
        <v>150</v>
      </c>
      <c r="L1197" s="76"/>
      <c r="M1197" s="26"/>
      <c r="N1197" s="26"/>
      <c r="O1197" s="26">
        <f t="shared" si="219"/>
        <v>0</v>
      </c>
      <c r="P1197" s="76"/>
      <c r="Q1197" s="26">
        <f t="shared" si="224"/>
        <v>150</v>
      </c>
      <c r="R1197" s="26">
        <f t="shared" si="225"/>
        <v>0</v>
      </c>
      <c r="S1197" s="26">
        <f t="shared" si="225"/>
        <v>150</v>
      </c>
    </row>
    <row r="1198" spans="2:19" x14ac:dyDescent="0.2">
      <c r="B1198" s="75">
        <f t="shared" si="226"/>
        <v>550</v>
      </c>
      <c r="C1198" s="4"/>
      <c r="D1198" s="4"/>
      <c r="E1198" s="4"/>
      <c r="F1198" s="53" t="s">
        <v>167</v>
      </c>
      <c r="G1198" s="4">
        <v>637</v>
      </c>
      <c r="H1198" s="4" t="s">
        <v>130</v>
      </c>
      <c r="I1198" s="26">
        <v>965</v>
      </c>
      <c r="J1198" s="26"/>
      <c r="K1198" s="26">
        <f t="shared" si="218"/>
        <v>965</v>
      </c>
      <c r="L1198" s="76"/>
      <c r="M1198" s="26"/>
      <c r="N1198" s="26"/>
      <c r="O1198" s="26">
        <f t="shared" si="219"/>
        <v>0</v>
      </c>
      <c r="P1198" s="76"/>
      <c r="Q1198" s="26">
        <f t="shared" si="224"/>
        <v>965</v>
      </c>
      <c r="R1198" s="26">
        <f t="shared" ref="R1198:S1213" si="227">N1198+J1198</f>
        <v>0</v>
      </c>
      <c r="S1198" s="26">
        <f t="shared" si="227"/>
        <v>965</v>
      </c>
    </row>
    <row r="1199" spans="2:19" x14ac:dyDescent="0.2">
      <c r="B1199" s="75">
        <f t="shared" si="226"/>
        <v>551</v>
      </c>
      <c r="C1199" s="14"/>
      <c r="D1199" s="14"/>
      <c r="E1199" s="14" t="s">
        <v>89</v>
      </c>
      <c r="F1199" s="51"/>
      <c r="G1199" s="14"/>
      <c r="H1199" s="14" t="s">
        <v>64</v>
      </c>
      <c r="I1199" s="48">
        <f>I1202+I1201+I1200</f>
        <v>17879</v>
      </c>
      <c r="J1199" s="48">
        <f>J1202+J1201+J1200</f>
        <v>1000</v>
      </c>
      <c r="K1199" s="48">
        <f t="shared" si="218"/>
        <v>18879</v>
      </c>
      <c r="L1199" s="123"/>
      <c r="M1199" s="48">
        <v>0</v>
      </c>
      <c r="N1199" s="48"/>
      <c r="O1199" s="48">
        <f t="shared" si="219"/>
        <v>0</v>
      </c>
      <c r="P1199" s="123"/>
      <c r="Q1199" s="48">
        <f t="shared" si="224"/>
        <v>17879</v>
      </c>
      <c r="R1199" s="48">
        <f t="shared" si="227"/>
        <v>1000</v>
      </c>
      <c r="S1199" s="48">
        <f t="shared" si="227"/>
        <v>18879</v>
      </c>
    </row>
    <row r="1200" spans="2:19" x14ac:dyDescent="0.2">
      <c r="B1200" s="75">
        <f t="shared" si="226"/>
        <v>552</v>
      </c>
      <c r="C1200" s="15"/>
      <c r="D1200" s="15"/>
      <c r="E1200" s="15"/>
      <c r="F1200" s="52" t="s">
        <v>167</v>
      </c>
      <c r="G1200" s="15">
        <v>610</v>
      </c>
      <c r="H1200" s="15" t="s">
        <v>137</v>
      </c>
      <c r="I1200" s="49">
        <v>10924</v>
      </c>
      <c r="J1200" s="49">
        <v>1000</v>
      </c>
      <c r="K1200" s="49">
        <f t="shared" si="218"/>
        <v>11924</v>
      </c>
      <c r="L1200" s="123"/>
      <c r="M1200" s="49"/>
      <c r="N1200" s="49"/>
      <c r="O1200" s="49">
        <f t="shared" si="219"/>
        <v>0</v>
      </c>
      <c r="P1200" s="123"/>
      <c r="Q1200" s="49">
        <f t="shared" si="224"/>
        <v>10924</v>
      </c>
      <c r="R1200" s="49">
        <f t="shared" si="227"/>
        <v>1000</v>
      </c>
      <c r="S1200" s="49">
        <f t="shared" si="227"/>
        <v>11924</v>
      </c>
    </row>
    <row r="1201" spans="2:19" x14ac:dyDescent="0.2">
      <c r="B1201" s="75">
        <f t="shared" si="226"/>
        <v>553</v>
      </c>
      <c r="C1201" s="15"/>
      <c r="D1201" s="15"/>
      <c r="E1201" s="15"/>
      <c r="F1201" s="52" t="s">
        <v>167</v>
      </c>
      <c r="G1201" s="15">
        <v>620</v>
      </c>
      <c r="H1201" s="15" t="s">
        <v>132</v>
      </c>
      <c r="I1201" s="49">
        <v>4475</v>
      </c>
      <c r="J1201" s="49"/>
      <c r="K1201" s="49">
        <f t="shared" si="218"/>
        <v>4475</v>
      </c>
      <c r="L1201" s="123"/>
      <c r="M1201" s="49"/>
      <c r="N1201" s="49"/>
      <c r="O1201" s="49">
        <f t="shared" si="219"/>
        <v>0</v>
      </c>
      <c r="P1201" s="123"/>
      <c r="Q1201" s="49">
        <f t="shared" si="224"/>
        <v>4475</v>
      </c>
      <c r="R1201" s="49">
        <f t="shared" si="227"/>
        <v>0</v>
      </c>
      <c r="S1201" s="49">
        <f t="shared" si="227"/>
        <v>4475</v>
      </c>
    </row>
    <row r="1202" spans="2:19" x14ac:dyDescent="0.2">
      <c r="B1202" s="75">
        <f t="shared" si="226"/>
        <v>554</v>
      </c>
      <c r="C1202" s="15"/>
      <c r="D1202" s="15"/>
      <c r="E1202" s="15"/>
      <c r="F1202" s="52" t="s">
        <v>167</v>
      </c>
      <c r="G1202" s="15">
        <v>630</v>
      </c>
      <c r="H1202" s="15" t="s">
        <v>129</v>
      </c>
      <c r="I1202" s="49">
        <f>I1205+I1204+I1203</f>
        <v>2480</v>
      </c>
      <c r="J1202" s="49">
        <f>J1205+J1204+J1203</f>
        <v>0</v>
      </c>
      <c r="K1202" s="49">
        <f t="shared" si="218"/>
        <v>2480</v>
      </c>
      <c r="L1202" s="123"/>
      <c r="M1202" s="49">
        <f>M1205+M1204+M1203</f>
        <v>0</v>
      </c>
      <c r="N1202" s="49">
        <f>N1205+N1204+N1203</f>
        <v>0</v>
      </c>
      <c r="O1202" s="49">
        <f t="shared" si="219"/>
        <v>0</v>
      </c>
      <c r="P1202" s="123"/>
      <c r="Q1202" s="49">
        <f t="shared" si="224"/>
        <v>2480</v>
      </c>
      <c r="R1202" s="49">
        <f t="shared" si="227"/>
        <v>0</v>
      </c>
      <c r="S1202" s="49">
        <f t="shared" si="227"/>
        <v>2480</v>
      </c>
    </row>
    <row r="1203" spans="2:19" x14ac:dyDescent="0.2">
      <c r="B1203" s="75">
        <f t="shared" si="226"/>
        <v>555</v>
      </c>
      <c r="C1203" s="4"/>
      <c r="D1203" s="4"/>
      <c r="E1203" s="4"/>
      <c r="F1203" s="53" t="s">
        <v>167</v>
      </c>
      <c r="G1203" s="4">
        <v>633</v>
      </c>
      <c r="H1203" s="4" t="s">
        <v>133</v>
      </c>
      <c r="I1203" s="26">
        <v>1500</v>
      </c>
      <c r="J1203" s="26"/>
      <c r="K1203" s="26">
        <f t="shared" si="218"/>
        <v>1500</v>
      </c>
      <c r="L1203" s="76"/>
      <c r="M1203" s="26"/>
      <c r="N1203" s="26"/>
      <c r="O1203" s="26">
        <f t="shared" si="219"/>
        <v>0</v>
      </c>
      <c r="P1203" s="76"/>
      <c r="Q1203" s="26">
        <f t="shared" si="224"/>
        <v>1500</v>
      </c>
      <c r="R1203" s="26">
        <f t="shared" si="227"/>
        <v>0</v>
      </c>
      <c r="S1203" s="26">
        <f t="shared" si="227"/>
        <v>1500</v>
      </c>
    </row>
    <row r="1204" spans="2:19" x14ac:dyDescent="0.2">
      <c r="B1204" s="75">
        <f t="shared" si="226"/>
        <v>556</v>
      </c>
      <c r="C1204" s="4"/>
      <c r="D1204" s="4"/>
      <c r="E1204" s="4"/>
      <c r="F1204" s="53" t="s">
        <v>167</v>
      </c>
      <c r="G1204" s="4">
        <v>635</v>
      </c>
      <c r="H1204" s="4" t="s">
        <v>139</v>
      </c>
      <c r="I1204" s="26">
        <v>100</v>
      </c>
      <c r="J1204" s="26"/>
      <c r="K1204" s="26">
        <f t="shared" si="218"/>
        <v>100</v>
      </c>
      <c r="L1204" s="76"/>
      <c r="M1204" s="26"/>
      <c r="N1204" s="26"/>
      <c r="O1204" s="26">
        <f t="shared" si="219"/>
        <v>0</v>
      </c>
      <c r="P1204" s="76"/>
      <c r="Q1204" s="26">
        <f t="shared" si="224"/>
        <v>100</v>
      </c>
      <c r="R1204" s="26">
        <f t="shared" si="227"/>
        <v>0</v>
      </c>
      <c r="S1204" s="26">
        <f t="shared" si="227"/>
        <v>100</v>
      </c>
    </row>
    <row r="1205" spans="2:19" x14ac:dyDescent="0.2">
      <c r="B1205" s="75">
        <f t="shared" si="226"/>
        <v>557</v>
      </c>
      <c r="C1205" s="4"/>
      <c r="D1205" s="4"/>
      <c r="E1205" s="4"/>
      <c r="F1205" s="53" t="s">
        <v>167</v>
      </c>
      <c r="G1205" s="4">
        <v>637</v>
      </c>
      <c r="H1205" s="4" t="s">
        <v>130</v>
      </c>
      <c r="I1205" s="26">
        <v>880</v>
      </c>
      <c r="J1205" s="26"/>
      <c r="K1205" s="26">
        <f t="shared" si="218"/>
        <v>880</v>
      </c>
      <c r="L1205" s="76"/>
      <c r="M1205" s="26"/>
      <c r="N1205" s="26"/>
      <c r="O1205" s="26">
        <f t="shared" si="219"/>
        <v>0</v>
      </c>
      <c r="P1205" s="76"/>
      <c r="Q1205" s="26">
        <f t="shared" si="224"/>
        <v>880</v>
      </c>
      <c r="R1205" s="26">
        <f t="shared" si="227"/>
        <v>0</v>
      </c>
      <c r="S1205" s="26">
        <f t="shared" si="227"/>
        <v>880</v>
      </c>
    </row>
    <row r="1206" spans="2:19" x14ac:dyDescent="0.2">
      <c r="B1206" s="75">
        <f t="shared" si="226"/>
        <v>558</v>
      </c>
      <c r="C1206" s="14"/>
      <c r="D1206" s="14"/>
      <c r="E1206" s="14" t="s">
        <v>99</v>
      </c>
      <c r="F1206" s="51"/>
      <c r="G1206" s="14"/>
      <c r="H1206" s="14" t="s">
        <v>100</v>
      </c>
      <c r="I1206" s="48">
        <f>I1209+I1208+I1207</f>
        <v>23954</v>
      </c>
      <c r="J1206" s="48">
        <f>J1209+J1208+J1207</f>
        <v>0</v>
      </c>
      <c r="K1206" s="48">
        <f t="shared" si="218"/>
        <v>23954</v>
      </c>
      <c r="L1206" s="123"/>
      <c r="M1206" s="48">
        <f>M1209+M1208+M1207</f>
        <v>0</v>
      </c>
      <c r="N1206" s="48">
        <f>N1209+N1208+N1207</f>
        <v>0</v>
      </c>
      <c r="O1206" s="48">
        <f t="shared" si="219"/>
        <v>0</v>
      </c>
      <c r="P1206" s="123"/>
      <c r="Q1206" s="48">
        <f t="shared" si="224"/>
        <v>23954</v>
      </c>
      <c r="R1206" s="48">
        <f t="shared" si="227"/>
        <v>0</v>
      </c>
      <c r="S1206" s="48">
        <f t="shared" si="227"/>
        <v>23954</v>
      </c>
    </row>
    <row r="1207" spans="2:19" x14ac:dyDescent="0.2">
      <c r="B1207" s="75">
        <f t="shared" si="226"/>
        <v>559</v>
      </c>
      <c r="C1207" s="15"/>
      <c r="D1207" s="15"/>
      <c r="E1207" s="15"/>
      <c r="F1207" s="52" t="s">
        <v>167</v>
      </c>
      <c r="G1207" s="15">
        <v>610</v>
      </c>
      <c r="H1207" s="15" t="s">
        <v>137</v>
      </c>
      <c r="I1207" s="49">
        <v>15482</v>
      </c>
      <c r="J1207" s="49"/>
      <c r="K1207" s="49">
        <f t="shared" si="218"/>
        <v>15482</v>
      </c>
      <c r="L1207" s="123"/>
      <c r="M1207" s="49"/>
      <c r="N1207" s="49"/>
      <c r="O1207" s="49">
        <f t="shared" si="219"/>
        <v>0</v>
      </c>
      <c r="P1207" s="123"/>
      <c r="Q1207" s="49">
        <f t="shared" si="224"/>
        <v>15482</v>
      </c>
      <c r="R1207" s="49">
        <f t="shared" si="227"/>
        <v>0</v>
      </c>
      <c r="S1207" s="49">
        <f t="shared" si="227"/>
        <v>15482</v>
      </c>
    </row>
    <row r="1208" spans="2:19" x14ac:dyDescent="0.2">
      <c r="B1208" s="75">
        <f t="shared" si="226"/>
        <v>560</v>
      </c>
      <c r="C1208" s="15"/>
      <c r="D1208" s="15"/>
      <c r="E1208" s="15"/>
      <c r="F1208" s="52" t="s">
        <v>167</v>
      </c>
      <c r="G1208" s="15">
        <v>620</v>
      </c>
      <c r="H1208" s="15" t="s">
        <v>132</v>
      </c>
      <c r="I1208" s="49">
        <v>5752</v>
      </c>
      <c r="J1208" s="49"/>
      <c r="K1208" s="49">
        <f t="shared" si="218"/>
        <v>5752</v>
      </c>
      <c r="L1208" s="123"/>
      <c r="M1208" s="49"/>
      <c r="N1208" s="49"/>
      <c r="O1208" s="49">
        <f t="shared" si="219"/>
        <v>0</v>
      </c>
      <c r="P1208" s="123"/>
      <c r="Q1208" s="49">
        <f t="shared" si="224"/>
        <v>5752</v>
      </c>
      <c r="R1208" s="49">
        <f t="shared" si="227"/>
        <v>0</v>
      </c>
      <c r="S1208" s="49">
        <f t="shared" si="227"/>
        <v>5752</v>
      </c>
    </row>
    <row r="1209" spans="2:19" x14ac:dyDescent="0.2">
      <c r="B1209" s="75">
        <f t="shared" si="226"/>
        <v>561</v>
      </c>
      <c r="C1209" s="15"/>
      <c r="D1209" s="15"/>
      <c r="E1209" s="15"/>
      <c r="F1209" s="52" t="s">
        <v>167</v>
      </c>
      <c r="G1209" s="15">
        <v>630</v>
      </c>
      <c r="H1209" s="15" t="s">
        <v>129</v>
      </c>
      <c r="I1209" s="49">
        <f>I1212+I1211+I1210</f>
        <v>2720</v>
      </c>
      <c r="J1209" s="49">
        <f>J1212+J1211+J1210</f>
        <v>0</v>
      </c>
      <c r="K1209" s="49">
        <f t="shared" si="218"/>
        <v>2720</v>
      </c>
      <c r="L1209" s="123"/>
      <c r="M1209" s="49">
        <f>M1212+M1211+M1210</f>
        <v>0</v>
      </c>
      <c r="N1209" s="49">
        <f>N1212+N1211+N1210</f>
        <v>0</v>
      </c>
      <c r="O1209" s="49">
        <f t="shared" si="219"/>
        <v>0</v>
      </c>
      <c r="P1209" s="123"/>
      <c r="Q1209" s="49">
        <f t="shared" si="224"/>
        <v>2720</v>
      </c>
      <c r="R1209" s="49">
        <f t="shared" si="227"/>
        <v>0</v>
      </c>
      <c r="S1209" s="49">
        <f t="shared" si="227"/>
        <v>2720</v>
      </c>
    </row>
    <row r="1210" spans="2:19" x14ac:dyDescent="0.2">
      <c r="B1210" s="75">
        <f t="shared" si="226"/>
        <v>562</v>
      </c>
      <c r="C1210" s="4"/>
      <c r="D1210" s="4"/>
      <c r="E1210" s="4"/>
      <c r="F1210" s="53" t="s">
        <v>167</v>
      </c>
      <c r="G1210" s="4">
        <v>633</v>
      </c>
      <c r="H1210" s="4" t="s">
        <v>133</v>
      </c>
      <c r="I1210" s="26">
        <v>1760</v>
      </c>
      <c r="J1210" s="26"/>
      <c r="K1210" s="26">
        <f t="shared" si="218"/>
        <v>1760</v>
      </c>
      <c r="L1210" s="76"/>
      <c r="M1210" s="26"/>
      <c r="N1210" s="26"/>
      <c r="O1210" s="26">
        <f t="shared" si="219"/>
        <v>0</v>
      </c>
      <c r="P1210" s="76"/>
      <c r="Q1210" s="26">
        <f t="shared" si="224"/>
        <v>1760</v>
      </c>
      <c r="R1210" s="26">
        <f t="shared" si="227"/>
        <v>0</v>
      </c>
      <c r="S1210" s="26">
        <f t="shared" si="227"/>
        <v>1760</v>
      </c>
    </row>
    <row r="1211" spans="2:19" x14ac:dyDescent="0.2">
      <c r="B1211" s="75">
        <f t="shared" si="226"/>
        <v>563</v>
      </c>
      <c r="C1211" s="4"/>
      <c r="D1211" s="4"/>
      <c r="E1211" s="4"/>
      <c r="F1211" s="53" t="s">
        <v>167</v>
      </c>
      <c r="G1211" s="4">
        <v>635</v>
      </c>
      <c r="H1211" s="4" t="s">
        <v>139</v>
      </c>
      <c r="I1211" s="26">
        <v>100</v>
      </c>
      <c r="J1211" s="26"/>
      <c r="K1211" s="26">
        <f t="shared" si="218"/>
        <v>100</v>
      </c>
      <c r="L1211" s="76"/>
      <c r="M1211" s="26"/>
      <c r="N1211" s="26"/>
      <c r="O1211" s="26">
        <f t="shared" si="219"/>
        <v>0</v>
      </c>
      <c r="P1211" s="76"/>
      <c r="Q1211" s="26">
        <f t="shared" si="224"/>
        <v>100</v>
      </c>
      <c r="R1211" s="26">
        <f t="shared" si="227"/>
        <v>0</v>
      </c>
      <c r="S1211" s="26">
        <f t="shared" si="227"/>
        <v>100</v>
      </c>
    </row>
    <row r="1212" spans="2:19" x14ac:dyDescent="0.2">
      <c r="B1212" s="75">
        <f t="shared" si="226"/>
        <v>564</v>
      </c>
      <c r="C1212" s="4"/>
      <c r="D1212" s="4"/>
      <c r="E1212" s="4"/>
      <c r="F1212" s="53" t="s">
        <v>167</v>
      </c>
      <c r="G1212" s="4">
        <v>637</v>
      </c>
      <c r="H1212" s="4" t="s">
        <v>130</v>
      </c>
      <c r="I1212" s="26">
        <v>860</v>
      </c>
      <c r="J1212" s="26"/>
      <c r="K1212" s="26">
        <f t="shared" si="218"/>
        <v>860</v>
      </c>
      <c r="L1212" s="76"/>
      <c r="M1212" s="26"/>
      <c r="N1212" s="26"/>
      <c r="O1212" s="26">
        <f t="shared" si="219"/>
        <v>0</v>
      </c>
      <c r="P1212" s="76"/>
      <c r="Q1212" s="26">
        <f t="shared" si="224"/>
        <v>860</v>
      </c>
      <c r="R1212" s="26">
        <f t="shared" si="227"/>
        <v>0</v>
      </c>
      <c r="S1212" s="26">
        <f t="shared" si="227"/>
        <v>860</v>
      </c>
    </row>
    <row r="1213" spans="2:19" x14ac:dyDescent="0.2">
      <c r="B1213" s="75">
        <f t="shared" si="226"/>
        <v>565</v>
      </c>
      <c r="C1213" s="14"/>
      <c r="D1213" s="14"/>
      <c r="E1213" s="14" t="s">
        <v>102</v>
      </c>
      <c r="F1213" s="51"/>
      <c r="G1213" s="14"/>
      <c r="H1213" s="14" t="s">
        <v>103</v>
      </c>
      <c r="I1213" s="48">
        <f>I1216+I1215+I1214</f>
        <v>25578</v>
      </c>
      <c r="J1213" s="48">
        <f>J1216+J1215+J1214</f>
        <v>0</v>
      </c>
      <c r="K1213" s="48">
        <f t="shared" si="218"/>
        <v>25578</v>
      </c>
      <c r="L1213" s="123"/>
      <c r="M1213" s="48">
        <v>0</v>
      </c>
      <c r="N1213" s="48"/>
      <c r="O1213" s="48">
        <f t="shared" si="219"/>
        <v>0</v>
      </c>
      <c r="P1213" s="123"/>
      <c r="Q1213" s="48">
        <f t="shared" si="224"/>
        <v>25578</v>
      </c>
      <c r="R1213" s="48">
        <f t="shared" si="227"/>
        <v>0</v>
      </c>
      <c r="S1213" s="48">
        <f t="shared" si="227"/>
        <v>25578</v>
      </c>
    </row>
    <row r="1214" spans="2:19" x14ac:dyDescent="0.2">
      <c r="B1214" s="75">
        <f t="shared" si="226"/>
        <v>566</v>
      </c>
      <c r="C1214" s="15"/>
      <c r="D1214" s="15"/>
      <c r="E1214" s="15"/>
      <c r="F1214" s="52" t="s">
        <v>167</v>
      </c>
      <c r="G1214" s="15">
        <v>610</v>
      </c>
      <c r="H1214" s="15" t="s">
        <v>137</v>
      </c>
      <c r="I1214" s="49">
        <v>16198</v>
      </c>
      <c r="J1214" s="49"/>
      <c r="K1214" s="49">
        <f t="shared" si="218"/>
        <v>16198</v>
      </c>
      <c r="L1214" s="123"/>
      <c r="M1214" s="49"/>
      <c r="N1214" s="49"/>
      <c r="O1214" s="49">
        <f t="shared" si="219"/>
        <v>0</v>
      </c>
      <c r="P1214" s="123"/>
      <c r="Q1214" s="49">
        <f t="shared" si="224"/>
        <v>16198</v>
      </c>
      <c r="R1214" s="49">
        <f t="shared" ref="R1214:S1229" si="228">N1214+J1214</f>
        <v>0</v>
      </c>
      <c r="S1214" s="49">
        <f t="shared" si="228"/>
        <v>16198</v>
      </c>
    </row>
    <row r="1215" spans="2:19" x14ac:dyDescent="0.2">
      <c r="B1215" s="75">
        <f t="shared" si="226"/>
        <v>567</v>
      </c>
      <c r="C1215" s="15"/>
      <c r="D1215" s="15"/>
      <c r="E1215" s="15"/>
      <c r="F1215" s="52" t="s">
        <v>167</v>
      </c>
      <c r="G1215" s="15">
        <v>620</v>
      </c>
      <c r="H1215" s="15" t="s">
        <v>132</v>
      </c>
      <c r="I1215" s="49">
        <v>6020</v>
      </c>
      <c r="J1215" s="49"/>
      <c r="K1215" s="49">
        <f t="shared" si="218"/>
        <v>6020</v>
      </c>
      <c r="L1215" s="123"/>
      <c r="M1215" s="49"/>
      <c r="N1215" s="49"/>
      <c r="O1215" s="49">
        <f t="shared" si="219"/>
        <v>0</v>
      </c>
      <c r="P1215" s="123"/>
      <c r="Q1215" s="49">
        <f t="shared" si="224"/>
        <v>6020</v>
      </c>
      <c r="R1215" s="49">
        <f t="shared" si="228"/>
        <v>0</v>
      </c>
      <c r="S1215" s="49">
        <f t="shared" si="228"/>
        <v>6020</v>
      </c>
    </row>
    <row r="1216" spans="2:19" x14ac:dyDescent="0.2">
      <c r="B1216" s="75">
        <f t="shared" si="226"/>
        <v>568</v>
      </c>
      <c r="C1216" s="15"/>
      <c r="D1216" s="15"/>
      <c r="E1216" s="15"/>
      <c r="F1216" s="52" t="s">
        <v>167</v>
      </c>
      <c r="G1216" s="15">
        <v>630</v>
      </c>
      <c r="H1216" s="15" t="s">
        <v>129</v>
      </c>
      <c r="I1216" s="49">
        <f>I1219+I1218+I1217</f>
        <v>3360</v>
      </c>
      <c r="J1216" s="49">
        <f>J1219+J1218+J1217</f>
        <v>0</v>
      </c>
      <c r="K1216" s="49">
        <f t="shared" si="218"/>
        <v>3360</v>
      </c>
      <c r="L1216" s="123"/>
      <c r="M1216" s="49">
        <f>M1219+M1218+M1217</f>
        <v>0</v>
      </c>
      <c r="N1216" s="49">
        <f>N1219+N1218+N1217</f>
        <v>0</v>
      </c>
      <c r="O1216" s="49">
        <f t="shared" si="219"/>
        <v>0</v>
      </c>
      <c r="P1216" s="123"/>
      <c r="Q1216" s="49">
        <f t="shared" si="224"/>
        <v>3360</v>
      </c>
      <c r="R1216" s="49">
        <f t="shared" si="228"/>
        <v>0</v>
      </c>
      <c r="S1216" s="49">
        <f t="shared" si="228"/>
        <v>3360</v>
      </c>
    </row>
    <row r="1217" spans="2:19" x14ac:dyDescent="0.2">
      <c r="B1217" s="75">
        <f t="shared" si="226"/>
        <v>569</v>
      </c>
      <c r="C1217" s="4"/>
      <c r="D1217" s="4"/>
      <c r="E1217" s="4"/>
      <c r="F1217" s="53" t="s">
        <v>167</v>
      </c>
      <c r="G1217" s="4">
        <v>633</v>
      </c>
      <c r="H1217" s="4" t="s">
        <v>133</v>
      </c>
      <c r="I1217" s="26">
        <v>2000</v>
      </c>
      <c r="J1217" s="26"/>
      <c r="K1217" s="26">
        <f t="shared" si="218"/>
        <v>2000</v>
      </c>
      <c r="L1217" s="76"/>
      <c r="M1217" s="26"/>
      <c r="N1217" s="26"/>
      <c r="O1217" s="26">
        <f t="shared" si="219"/>
        <v>0</v>
      </c>
      <c r="P1217" s="76"/>
      <c r="Q1217" s="26">
        <f t="shared" si="224"/>
        <v>2000</v>
      </c>
      <c r="R1217" s="26">
        <f t="shared" si="228"/>
        <v>0</v>
      </c>
      <c r="S1217" s="26">
        <f t="shared" si="228"/>
        <v>2000</v>
      </c>
    </row>
    <row r="1218" spans="2:19" x14ac:dyDescent="0.2">
      <c r="B1218" s="75">
        <f t="shared" si="226"/>
        <v>570</v>
      </c>
      <c r="C1218" s="4"/>
      <c r="D1218" s="4"/>
      <c r="E1218" s="4"/>
      <c r="F1218" s="53" t="s">
        <v>167</v>
      </c>
      <c r="G1218" s="4">
        <v>635</v>
      </c>
      <c r="H1218" s="4" t="s">
        <v>139</v>
      </c>
      <c r="I1218" s="26">
        <v>200</v>
      </c>
      <c r="J1218" s="26"/>
      <c r="K1218" s="26">
        <f t="shared" si="218"/>
        <v>200</v>
      </c>
      <c r="L1218" s="76"/>
      <c r="M1218" s="26"/>
      <c r="N1218" s="26"/>
      <c r="O1218" s="26">
        <f t="shared" si="219"/>
        <v>0</v>
      </c>
      <c r="P1218" s="76"/>
      <c r="Q1218" s="26">
        <f t="shared" si="224"/>
        <v>200</v>
      </c>
      <c r="R1218" s="26">
        <f t="shared" si="228"/>
        <v>0</v>
      </c>
      <c r="S1218" s="26">
        <f t="shared" si="228"/>
        <v>200</v>
      </c>
    </row>
    <row r="1219" spans="2:19" x14ac:dyDescent="0.2">
      <c r="B1219" s="75">
        <f t="shared" si="226"/>
        <v>571</v>
      </c>
      <c r="C1219" s="4"/>
      <c r="D1219" s="4"/>
      <c r="E1219" s="4"/>
      <c r="F1219" s="53" t="s">
        <v>167</v>
      </c>
      <c r="G1219" s="4">
        <v>637</v>
      </c>
      <c r="H1219" s="4" t="s">
        <v>130</v>
      </c>
      <c r="I1219" s="26">
        <v>1160</v>
      </c>
      <c r="J1219" s="26"/>
      <c r="K1219" s="26">
        <f t="shared" si="218"/>
        <v>1160</v>
      </c>
      <c r="L1219" s="76"/>
      <c r="M1219" s="26"/>
      <c r="N1219" s="26"/>
      <c r="O1219" s="26">
        <f t="shared" si="219"/>
        <v>0</v>
      </c>
      <c r="P1219" s="76"/>
      <c r="Q1219" s="26">
        <f t="shared" si="224"/>
        <v>1160</v>
      </c>
      <c r="R1219" s="26">
        <f t="shared" si="228"/>
        <v>0</v>
      </c>
      <c r="S1219" s="26">
        <f t="shared" si="228"/>
        <v>1160</v>
      </c>
    </row>
    <row r="1220" spans="2:19" x14ac:dyDescent="0.2">
      <c r="B1220" s="75">
        <f t="shared" si="226"/>
        <v>572</v>
      </c>
      <c r="C1220" s="14"/>
      <c r="D1220" s="14"/>
      <c r="E1220" s="14" t="s">
        <v>87</v>
      </c>
      <c r="F1220" s="51"/>
      <c r="G1220" s="14"/>
      <c r="H1220" s="14" t="s">
        <v>88</v>
      </c>
      <c r="I1220" s="48">
        <f>I1223+I1222+I1221</f>
        <v>39490</v>
      </c>
      <c r="J1220" s="48">
        <f>J1223+J1222+J1221</f>
        <v>0</v>
      </c>
      <c r="K1220" s="48">
        <f t="shared" si="218"/>
        <v>39490</v>
      </c>
      <c r="L1220" s="123"/>
      <c r="M1220" s="48">
        <v>0</v>
      </c>
      <c r="N1220" s="48"/>
      <c r="O1220" s="48">
        <f t="shared" si="219"/>
        <v>0</v>
      </c>
      <c r="P1220" s="123"/>
      <c r="Q1220" s="48">
        <f t="shared" si="224"/>
        <v>39490</v>
      </c>
      <c r="R1220" s="48">
        <f t="shared" si="228"/>
        <v>0</v>
      </c>
      <c r="S1220" s="48">
        <f t="shared" si="228"/>
        <v>39490</v>
      </c>
    </row>
    <row r="1221" spans="2:19" x14ac:dyDescent="0.2">
      <c r="B1221" s="75">
        <f t="shared" si="226"/>
        <v>573</v>
      </c>
      <c r="C1221" s="15"/>
      <c r="D1221" s="15"/>
      <c r="E1221" s="15"/>
      <c r="F1221" s="52" t="s">
        <v>167</v>
      </c>
      <c r="G1221" s="15">
        <v>610</v>
      </c>
      <c r="H1221" s="15" t="s">
        <v>137</v>
      </c>
      <c r="I1221" s="49">
        <v>24710</v>
      </c>
      <c r="J1221" s="49"/>
      <c r="K1221" s="49">
        <f t="shared" si="218"/>
        <v>24710</v>
      </c>
      <c r="L1221" s="123"/>
      <c r="M1221" s="49"/>
      <c r="N1221" s="49"/>
      <c r="O1221" s="49">
        <f t="shared" si="219"/>
        <v>0</v>
      </c>
      <c r="P1221" s="123"/>
      <c r="Q1221" s="49">
        <f t="shared" si="224"/>
        <v>24710</v>
      </c>
      <c r="R1221" s="49">
        <f t="shared" si="228"/>
        <v>0</v>
      </c>
      <c r="S1221" s="49">
        <f t="shared" si="228"/>
        <v>24710</v>
      </c>
    </row>
    <row r="1222" spans="2:19" x14ac:dyDescent="0.2">
      <c r="B1222" s="75">
        <f t="shared" si="226"/>
        <v>574</v>
      </c>
      <c r="C1222" s="15"/>
      <c r="D1222" s="15"/>
      <c r="E1222" s="15"/>
      <c r="F1222" s="52" t="s">
        <v>167</v>
      </c>
      <c r="G1222" s="15">
        <v>620</v>
      </c>
      <c r="H1222" s="15" t="s">
        <v>132</v>
      </c>
      <c r="I1222" s="49">
        <v>9180</v>
      </c>
      <c r="J1222" s="49"/>
      <c r="K1222" s="49">
        <f t="shared" si="218"/>
        <v>9180</v>
      </c>
      <c r="L1222" s="123"/>
      <c r="M1222" s="49"/>
      <c r="N1222" s="49"/>
      <c r="O1222" s="49">
        <f t="shared" si="219"/>
        <v>0</v>
      </c>
      <c r="P1222" s="123"/>
      <c r="Q1222" s="49">
        <f t="shared" si="224"/>
        <v>9180</v>
      </c>
      <c r="R1222" s="49">
        <f t="shared" si="228"/>
        <v>0</v>
      </c>
      <c r="S1222" s="49">
        <f t="shared" si="228"/>
        <v>9180</v>
      </c>
    </row>
    <row r="1223" spans="2:19" x14ac:dyDescent="0.2">
      <c r="B1223" s="75">
        <f t="shared" si="226"/>
        <v>575</v>
      </c>
      <c r="C1223" s="15"/>
      <c r="D1223" s="15"/>
      <c r="E1223" s="15"/>
      <c r="F1223" s="52" t="s">
        <v>167</v>
      </c>
      <c r="G1223" s="15">
        <v>630</v>
      </c>
      <c r="H1223" s="15" t="s">
        <v>129</v>
      </c>
      <c r="I1223" s="49">
        <f>I1226+I1225+I1224</f>
        <v>5600</v>
      </c>
      <c r="J1223" s="49">
        <f>J1226+J1225+J1224</f>
        <v>0</v>
      </c>
      <c r="K1223" s="49">
        <f t="shared" si="218"/>
        <v>5600</v>
      </c>
      <c r="L1223" s="123"/>
      <c r="M1223" s="49">
        <f>M1226+M1225+M1224</f>
        <v>0</v>
      </c>
      <c r="N1223" s="49">
        <f>N1226+N1225+N1224</f>
        <v>0</v>
      </c>
      <c r="O1223" s="49">
        <f t="shared" si="219"/>
        <v>0</v>
      </c>
      <c r="P1223" s="123"/>
      <c r="Q1223" s="49">
        <f t="shared" si="224"/>
        <v>5600</v>
      </c>
      <c r="R1223" s="49">
        <f t="shared" si="228"/>
        <v>0</v>
      </c>
      <c r="S1223" s="49">
        <f t="shared" si="228"/>
        <v>5600</v>
      </c>
    </row>
    <row r="1224" spans="2:19" x14ac:dyDescent="0.2">
      <c r="B1224" s="75">
        <f t="shared" si="226"/>
        <v>576</v>
      </c>
      <c r="C1224" s="4"/>
      <c r="D1224" s="4"/>
      <c r="E1224" s="4"/>
      <c r="F1224" s="53" t="s">
        <v>167</v>
      </c>
      <c r="G1224" s="4">
        <v>633</v>
      </c>
      <c r="H1224" s="4" t="s">
        <v>133</v>
      </c>
      <c r="I1224" s="26">
        <v>4000</v>
      </c>
      <c r="J1224" s="26"/>
      <c r="K1224" s="26">
        <f t="shared" si="218"/>
        <v>4000</v>
      </c>
      <c r="L1224" s="76"/>
      <c r="M1224" s="26"/>
      <c r="N1224" s="26"/>
      <c r="O1224" s="26">
        <f t="shared" si="219"/>
        <v>0</v>
      </c>
      <c r="P1224" s="76"/>
      <c r="Q1224" s="26">
        <f t="shared" si="224"/>
        <v>4000</v>
      </c>
      <c r="R1224" s="26">
        <f t="shared" si="228"/>
        <v>0</v>
      </c>
      <c r="S1224" s="26">
        <f t="shared" si="228"/>
        <v>4000</v>
      </c>
    </row>
    <row r="1225" spans="2:19" x14ac:dyDescent="0.2">
      <c r="B1225" s="75">
        <f t="shared" si="226"/>
        <v>577</v>
      </c>
      <c r="C1225" s="4"/>
      <c r="D1225" s="4"/>
      <c r="E1225" s="4"/>
      <c r="F1225" s="53" t="s">
        <v>167</v>
      </c>
      <c r="G1225" s="4">
        <v>635</v>
      </c>
      <c r="H1225" s="4" t="s">
        <v>139</v>
      </c>
      <c r="I1225" s="26">
        <v>150</v>
      </c>
      <c r="J1225" s="26"/>
      <c r="K1225" s="26">
        <f t="shared" si="218"/>
        <v>150</v>
      </c>
      <c r="L1225" s="76"/>
      <c r="M1225" s="26"/>
      <c r="N1225" s="26"/>
      <c r="O1225" s="26">
        <f t="shared" si="219"/>
        <v>0</v>
      </c>
      <c r="P1225" s="76"/>
      <c r="Q1225" s="26">
        <f t="shared" si="224"/>
        <v>150</v>
      </c>
      <c r="R1225" s="26">
        <f t="shared" si="228"/>
        <v>0</v>
      </c>
      <c r="S1225" s="26">
        <f t="shared" si="228"/>
        <v>150</v>
      </c>
    </row>
    <row r="1226" spans="2:19" x14ac:dyDescent="0.2">
      <c r="B1226" s="75">
        <f t="shared" si="226"/>
        <v>578</v>
      </c>
      <c r="C1226" s="4"/>
      <c r="D1226" s="4"/>
      <c r="E1226" s="4"/>
      <c r="F1226" s="53" t="s">
        <v>167</v>
      </c>
      <c r="G1226" s="4">
        <v>637</v>
      </c>
      <c r="H1226" s="4" t="s">
        <v>130</v>
      </c>
      <c r="I1226" s="26">
        <v>1450</v>
      </c>
      <c r="J1226" s="26"/>
      <c r="K1226" s="26">
        <f t="shared" si="218"/>
        <v>1450</v>
      </c>
      <c r="L1226" s="76"/>
      <c r="M1226" s="26"/>
      <c r="N1226" s="26"/>
      <c r="O1226" s="26">
        <f t="shared" si="219"/>
        <v>0</v>
      </c>
      <c r="P1226" s="76"/>
      <c r="Q1226" s="26">
        <f t="shared" si="224"/>
        <v>1450</v>
      </c>
      <c r="R1226" s="26">
        <f t="shared" si="228"/>
        <v>0</v>
      </c>
      <c r="S1226" s="26">
        <f t="shared" si="228"/>
        <v>1450</v>
      </c>
    </row>
    <row r="1227" spans="2:19" x14ac:dyDescent="0.2">
      <c r="B1227" s="75">
        <f t="shared" si="226"/>
        <v>579</v>
      </c>
      <c r="C1227" s="14"/>
      <c r="D1227" s="14"/>
      <c r="E1227" s="14" t="s">
        <v>84</v>
      </c>
      <c r="F1227" s="51"/>
      <c r="G1227" s="14"/>
      <c r="H1227" s="14" t="s">
        <v>85</v>
      </c>
      <c r="I1227" s="48">
        <f>I1230+I1229+I1228</f>
        <v>42440</v>
      </c>
      <c r="J1227" s="48">
        <f>J1230+J1229+J1228</f>
        <v>0</v>
      </c>
      <c r="K1227" s="48">
        <f t="shared" si="218"/>
        <v>42440</v>
      </c>
      <c r="L1227" s="123"/>
      <c r="M1227" s="48">
        <v>0</v>
      </c>
      <c r="N1227" s="48"/>
      <c r="O1227" s="48">
        <f t="shared" si="219"/>
        <v>0</v>
      </c>
      <c r="P1227" s="123"/>
      <c r="Q1227" s="48">
        <f t="shared" si="224"/>
        <v>42440</v>
      </c>
      <c r="R1227" s="48">
        <f t="shared" si="228"/>
        <v>0</v>
      </c>
      <c r="S1227" s="48">
        <f t="shared" si="228"/>
        <v>42440</v>
      </c>
    </row>
    <row r="1228" spans="2:19" x14ac:dyDescent="0.2">
      <c r="B1228" s="75">
        <f t="shared" si="226"/>
        <v>580</v>
      </c>
      <c r="C1228" s="15"/>
      <c r="D1228" s="15"/>
      <c r="E1228" s="15"/>
      <c r="F1228" s="52" t="s">
        <v>167</v>
      </c>
      <c r="G1228" s="15">
        <v>610</v>
      </c>
      <c r="H1228" s="15" t="s">
        <v>137</v>
      </c>
      <c r="I1228" s="49">
        <v>27000</v>
      </c>
      <c r="J1228" s="49"/>
      <c r="K1228" s="49">
        <f t="shared" si="218"/>
        <v>27000</v>
      </c>
      <c r="L1228" s="123"/>
      <c r="M1228" s="49"/>
      <c r="N1228" s="49"/>
      <c r="O1228" s="49">
        <f t="shared" si="219"/>
        <v>0</v>
      </c>
      <c r="P1228" s="123"/>
      <c r="Q1228" s="49">
        <f t="shared" si="224"/>
        <v>27000</v>
      </c>
      <c r="R1228" s="49">
        <f t="shared" si="228"/>
        <v>0</v>
      </c>
      <c r="S1228" s="49">
        <f t="shared" si="228"/>
        <v>27000</v>
      </c>
    </row>
    <row r="1229" spans="2:19" x14ac:dyDescent="0.2">
      <c r="B1229" s="75">
        <f t="shared" si="226"/>
        <v>581</v>
      </c>
      <c r="C1229" s="15"/>
      <c r="D1229" s="15"/>
      <c r="E1229" s="15"/>
      <c r="F1229" s="52" t="s">
        <v>167</v>
      </c>
      <c r="G1229" s="15">
        <v>620</v>
      </c>
      <c r="H1229" s="15" t="s">
        <v>132</v>
      </c>
      <c r="I1229" s="49">
        <v>10030</v>
      </c>
      <c r="J1229" s="49"/>
      <c r="K1229" s="49">
        <f t="shared" si="218"/>
        <v>10030</v>
      </c>
      <c r="L1229" s="123"/>
      <c r="M1229" s="49"/>
      <c r="N1229" s="49"/>
      <c r="O1229" s="49">
        <f t="shared" si="219"/>
        <v>0</v>
      </c>
      <c r="P1229" s="123"/>
      <c r="Q1229" s="49">
        <f t="shared" si="224"/>
        <v>10030</v>
      </c>
      <c r="R1229" s="49">
        <f t="shared" si="228"/>
        <v>0</v>
      </c>
      <c r="S1229" s="49">
        <f t="shared" si="228"/>
        <v>10030</v>
      </c>
    </row>
    <row r="1230" spans="2:19" x14ac:dyDescent="0.2">
      <c r="B1230" s="75">
        <f t="shared" si="226"/>
        <v>582</v>
      </c>
      <c r="C1230" s="15"/>
      <c r="D1230" s="15"/>
      <c r="E1230" s="15"/>
      <c r="F1230" s="52" t="s">
        <v>167</v>
      </c>
      <c r="G1230" s="15">
        <v>630</v>
      </c>
      <c r="H1230" s="15" t="s">
        <v>129</v>
      </c>
      <c r="I1230" s="49">
        <f>I1233+I1232+I1231</f>
        <v>5410</v>
      </c>
      <c r="J1230" s="49">
        <f>J1233+J1232+J1231</f>
        <v>0</v>
      </c>
      <c r="K1230" s="49">
        <f t="shared" si="218"/>
        <v>5410</v>
      </c>
      <c r="L1230" s="123"/>
      <c r="M1230" s="49">
        <f>M1233+M1232+M1231</f>
        <v>0</v>
      </c>
      <c r="N1230" s="49">
        <f>N1233+N1232+N1231</f>
        <v>0</v>
      </c>
      <c r="O1230" s="49">
        <f t="shared" si="219"/>
        <v>0</v>
      </c>
      <c r="P1230" s="123"/>
      <c r="Q1230" s="49">
        <f t="shared" si="224"/>
        <v>5410</v>
      </c>
      <c r="R1230" s="49">
        <f t="shared" ref="R1230:S1245" si="229">N1230+J1230</f>
        <v>0</v>
      </c>
      <c r="S1230" s="49">
        <f t="shared" si="229"/>
        <v>5410</v>
      </c>
    </row>
    <row r="1231" spans="2:19" x14ac:dyDescent="0.2">
      <c r="B1231" s="75">
        <f t="shared" si="226"/>
        <v>583</v>
      </c>
      <c r="C1231" s="4"/>
      <c r="D1231" s="4"/>
      <c r="E1231" s="4"/>
      <c r="F1231" s="53" t="s">
        <v>167</v>
      </c>
      <c r="G1231" s="4">
        <v>633</v>
      </c>
      <c r="H1231" s="4" t="s">
        <v>133</v>
      </c>
      <c r="I1231" s="26">
        <v>4050</v>
      </c>
      <c r="J1231" s="26"/>
      <c r="K1231" s="26">
        <f t="shared" si="218"/>
        <v>4050</v>
      </c>
      <c r="L1231" s="76"/>
      <c r="M1231" s="26"/>
      <c r="N1231" s="26"/>
      <c r="O1231" s="26">
        <f t="shared" si="219"/>
        <v>0</v>
      </c>
      <c r="P1231" s="76"/>
      <c r="Q1231" s="26">
        <f t="shared" si="224"/>
        <v>4050</v>
      </c>
      <c r="R1231" s="26">
        <f t="shared" si="229"/>
        <v>0</v>
      </c>
      <c r="S1231" s="26">
        <f t="shared" si="229"/>
        <v>4050</v>
      </c>
    </row>
    <row r="1232" spans="2:19" x14ac:dyDescent="0.2">
      <c r="B1232" s="75">
        <f t="shared" si="226"/>
        <v>584</v>
      </c>
      <c r="C1232" s="4"/>
      <c r="D1232" s="4"/>
      <c r="E1232" s="4"/>
      <c r="F1232" s="53" t="s">
        <v>167</v>
      </c>
      <c r="G1232" s="4">
        <v>635</v>
      </c>
      <c r="H1232" s="4" t="s">
        <v>139</v>
      </c>
      <c r="I1232" s="26">
        <v>200</v>
      </c>
      <c r="J1232" s="26"/>
      <c r="K1232" s="26">
        <f t="shared" si="218"/>
        <v>200</v>
      </c>
      <c r="L1232" s="76"/>
      <c r="M1232" s="26"/>
      <c r="N1232" s="26"/>
      <c r="O1232" s="26">
        <f t="shared" si="219"/>
        <v>0</v>
      </c>
      <c r="P1232" s="76"/>
      <c r="Q1232" s="26">
        <f t="shared" si="224"/>
        <v>200</v>
      </c>
      <c r="R1232" s="26">
        <f t="shared" si="229"/>
        <v>0</v>
      </c>
      <c r="S1232" s="26">
        <f t="shared" si="229"/>
        <v>200</v>
      </c>
    </row>
    <row r="1233" spans="2:19" x14ac:dyDescent="0.2">
      <c r="B1233" s="75">
        <f t="shared" si="226"/>
        <v>585</v>
      </c>
      <c r="C1233" s="4"/>
      <c r="D1233" s="4"/>
      <c r="E1233" s="4"/>
      <c r="F1233" s="53" t="s">
        <v>167</v>
      </c>
      <c r="G1233" s="4">
        <v>637</v>
      </c>
      <c r="H1233" s="4" t="s">
        <v>130</v>
      </c>
      <c r="I1233" s="26">
        <v>1160</v>
      </c>
      <c r="J1233" s="26"/>
      <c r="K1233" s="26">
        <f t="shared" si="218"/>
        <v>1160</v>
      </c>
      <c r="L1233" s="76"/>
      <c r="M1233" s="26"/>
      <c r="N1233" s="26"/>
      <c r="O1233" s="26">
        <f t="shared" si="219"/>
        <v>0</v>
      </c>
      <c r="P1233" s="76"/>
      <c r="Q1233" s="26">
        <f t="shared" si="224"/>
        <v>1160</v>
      </c>
      <c r="R1233" s="26">
        <f t="shared" si="229"/>
        <v>0</v>
      </c>
      <c r="S1233" s="26">
        <f t="shared" si="229"/>
        <v>1160</v>
      </c>
    </row>
    <row r="1234" spans="2:19" x14ac:dyDescent="0.2">
      <c r="B1234" s="75">
        <f t="shared" si="226"/>
        <v>586</v>
      </c>
      <c r="C1234" s="14"/>
      <c r="D1234" s="14"/>
      <c r="E1234" s="14" t="s">
        <v>106</v>
      </c>
      <c r="F1234" s="51"/>
      <c r="G1234" s="14"/>
      <c r="H1234" s="14" t="s">
        <v>107</v>
      </c>
      <c r="I1234" s="48">
        <f>I1237+I1236+I1235</f>
        <v>25805</v>
      </c>
      <c r="J1234" s="48">
        <f>J1237+J1236+J1235</f>
        <v>0</v>
      </c>
      <c r="K1234" s="48">
        <f t="shared" si="218"/>
        <v>25805</v>
      </c>
      <c r="L1234" s="123"/>
      <c r="M1234" s="48">
        <f>M1237+M1236+M1235</f>
        <v>0</v>
      </c>
      <c r="N1234" s="48">
        <f>N1237+N1236+N1235</f>
        <v>0</v>
      </c>
      <c r="O1234" s="48">
        <f t="shared" si="219"/>
        <v>0</v>
      </c>
      <c r="P1234" s="123"/>
      <c r="Q1234" s="48">
        <f t="shared" si="224"/>
        <v>25805</v>
      </c>
      <c r="R1234" s="48">
        <f t="shared" si="229"/>
        <v>0</v>
      </c>
      <c r="S1234" s="48">
        <f t="shared" si="229"/>
        <v>25805</v>
      </c>
    </row>
    <row r="1235" spans="2:19" x14ac:dyDescent="0.2">
      <c r="B1235" s="75">
        <f t="shared" si="226"/>
        <v>587</v>
      </c>
      <c r="C1235" s="15"/>
      <c r="D1235" s="15"/>
      <c r="E1235" s="15"/>
      <c r="F1235" s="52" t="s">
        <v>167</v>
      </c>
      <c r="G1235" s="15">
        <v>610</v>
      </c>
      <c r="H1235" s="15" t="s">
        <v>137</v>
      </c>
      <c r="I1235" s="49">
        <v>16175</v>
      </c>
      <c r="J1235" s="49"/>
      <c r="K1235" s="49">
        <f t="shared" si="218"/>
        <v>16175</v>
      </c>
      <c r="L1235" s="123"/>
      <c r="M1235" s="49"/>
      <c r="N1235" s="49"/>
      <c r="O1235" s="49">
        <f t="shared" si="219"/>
        <v>0</v>
      </c>
      <c r="P1235" s="123"/>
      <c r="Q1235" s="49">
        <f t="shared" si="224"/>
        <v>16175</v>
      </c>
      <c r="R1235" s="49">
        <f t="shared" si="229"/>
        <v>0</v>
      </c>
      <c r="S1235" s="49">
        <f t="shared" si="229"/>
        <v>16175</v>
      </c>
    </row>
    <row r="1236" spans="2:19" x14ac:dyDescent="0.2">
      <c r="B1236" s="75">
        <f t="shared" si="226"/>
        <v>588</v>
      </c>
      <c r="C1236" s="15"/>
      <c r="D1236" s="15"/>
      <c r="E1236" s="15"/>
      <c r="F1236" s="52" t="s">
        <v>167</v>
      </c>
      <c r="G1236" s="15">
        <v>620</v>
      </c>
      <c r="H1236" s="15" t="s">
        <v>132</v>
      </c>
      <c r="I1236" s="49">
        <v>6010</v>
      </c>
      <c r="J1236" s="49"/>
      <c r="K1236" s="49">
        <f t="shared" si="218"/>
        <v>6010</v>
      </c>
      <c r="L1236" s="123"/>
      <c r="M1236" s="49"/>
      <c r="N1236" s="49"/>
      <c r="O1236" s="49">
        <f t="shared" si="219"/>
        <v>0</v>
      </c>
      <c r="P1236" s="123"/>
      <c r="Q1236" s="49">
        <f t="shared" si="224"/>
        <v>6010</v>
      </c>
      <c r="R1236" s="49">
        <f t="shared" si="229"/>
        <v>0</v>
      </c>
      <c r="S1236" s="49">
        <f t="shared" si="229"/>
        <v>6010</v>
      </c>
    </row>
    <row r="1237" spans="2:19" x14ac:dyDescent="0.2">
      <c r="B1237" s="75">
        <f t="shared" si="226"/>
        <v>589</v>
      </c>
      <c r="C1237" s="15"/>
      <c r="D1237" s="15"/>
      <c r="E1237" s="15"/>
      <c r="F1237" s="52" t="s">
        <v>167</v>
      </c>
      <c r="G1237" s="15">
        <v>630</v>
      </c>
      <c r="H1237" s="15" t="s">
        <v>129</v>
      </c>
      <c r="I1237" s="49">
        <f>I1240+I1239+I1238</f>
        <v>3620</v>
      </c>
      <c r="J1237" s="49">
        <f>J1240+J1239+J1238</f>
        <v>0</v>
      </c>
      <c r="K1237" s="49">
        <f t="shared" ref="K1237:K1300" si="230">I1237+J1237</f>
        <v>3620</v>
      </c>
      <c r="L1237" s="123"/>
      <c r="M1237" s="49">
        <f>M1240+M1239+M1238</f>
        <v>0</v>
      </c>
      <c r="N1237" s="49">
        <f>N1240+N1239+N1238</f>
        <v>0</v>
      </c>
      <c r="O1237" s="49">
        <f t="shared" ref="O1237:O1300" si="231">M1237+N1237</f>
        <v>0</v>
      </c>
      <c r="P1237" s="123"/>
      <c r="Q1237" s="49">
        <f t="shared" si="224"/>
        <v>3620</v>
      </c>
      <c r="R1237" s="49">
        <f t="shared" si="229"/>
        <v>0</v>
      </c>
      <c r="S1237" s="49">
        <f t="shared" si="229"/>
        <v>3620</v>
      </c>
    </row>
    <row r="1238" spans="2:19" x14ac:dyDescent="0.2">
      <c r="B1238" s="75">
        <f t="shared" ref="B1238:B1301" si="232">B1237+1</f>
        <v>590</v>
      </c>
      <c r="C1238" s="4"/>
      <c r="D1238" s="4"/>
      <c r="E1238" s="4"/>
      <c r="F1238" s="53" t="s">
        <v>167</v>
      </c>
      <c r="G1238" s="4">
        <v>633</v>
      </c>
      <c r="H1238" s="4" t="s">
        <v>133</v>
      </c>
      <c r="I1238" s="26">
        <v>2590</v>
      </c>
      <c r="J1238" s="26"/>
      <c r="K1238" s="26">
        <f t="shared" si="230"/>
        <v>2590</v>
      </c>
      <c r="L1238" s="76"/>
      <c r="M1238" s="26"/>
      <c r="N1238" s="26"/>
      <c r="O1238" s="26">
        <f t="shared" si="231"/>
        <v>0</v>
      </c>
      <c r="P1238" s="76"/>
      <c r="Q1238" s="26">
        <f t="shared" si="224"/>
        <v>2590</v>
      </c>
      <c r="R1238" s="26">
        <f t="shared" si="229"/>
        <v>0</v>
      </c>
      <c r="S1238" s="26">
        <f t="shared" si="229"/>
        <v>2590</v>
      </c>
    </row>
    <row r="1239" spans="2:19" x14ac:dyDescent="0.2">
      <c r="B1239" s="75">
        <f t="shared" si="232"/>
        <v>591</v>
      </c>
      <c r="C1239" s="4"/>
      <c r="D1239" s="4"/>
      <c r="E1239" s="4"/>
      <c r="F1239" s="53" t="s">
        <v>167</v>
      </c>
      <c r="G1239" s="4">
        <v>635</v>
      </c>
      <c r="H1239" s="4" t="s">
        <v>139</v>
      </c>
      <c r="I1239" s="26">
        <v>200</v>
      </c>
      <c r="J1239" s="26"/>
      <c r="K1239" s="26">
        <f t="shared" si="230"/>
        <v>200</v>
      </c>
      <c r="L1239" s="76"/>
      <c r="M1239" s="26"/>
      <c r="N1239" s="26"/>
      <c r="O1239" s="26">
        <f t="shared" si="231"/>
        <v>0</v>
      </c>
      <c r="P1239" s="76"/>
      <c r="Q1239" s="26">
        <f t="shared" si="224"/>
        <v>200</v>
      </c>
      <c r="R1239" s="26">
        <f t="shared" si="229"/>
        <v>0</v>
      </c>
      <c r="S1239" s="26">
        <f t="shared" si="229"/>
        <v>200</v>
      </c>
    </row>
    <row r="1240" spans="2:19" x14ac:dyDescent="0.2">
      <c r="B1240" s="75">
        <f t="shared" si="232"/>
        <v>592</v>
      </c>
      <c r="C1240" s="4"/>
      <c r="D1240" s="4"/>
      <c r="E1240" s="4"/>
      <c r="F1240" s="53" t="s">
        <v>167</v>
      </c>
      <c r="G1240" s="4">
        <v>637</v>
      </c>
      <c r="H1240" s="4" t="s">
        <v>130</v>
      </c>
      <c r="I1240" s="26">
        <v>830</v>
      </c>
      <c r="J1240" s="26"/>
      <c r="K1240" s="26">
        <f t="shared" si="230"/>
        <v>830</v>
      </c>
      <c r="L1240" s="76"/>
      <c r="M1240" s="26"/>
      <c r="N1240" s="26"/>
      <c r="O1240" s="26">
        <f t="shared" si="231"/>
        <v>0</v>
      </c>
      <c r="P1240" s="76"/>
      <c r="Q1240" s="26">
        <f t="shared" si="224"/>
        <v>830</v>
      </c>
      <c r="R1240" s="26">
        <f t="shared" si="229"/>
        <v>0</v>
      </c>
      <c r="S1240" s="26">
        <f t="shared" si="229"/>
        <v>830</v>
      </c>
    </row>
    <row r="1241" spans="2:19" x14ac:dyDescent="0.2">
      <c r="B1241" s="75">
        <f t="shared" si="232"/>
        <v>593</v>
      </c>
      <c r="C1241" s="14"/>
      <c r="D1241" s="14"/>
      <c r="E1241" s="14" t="s">
        <v>105</v>
      </c>
      <c r="F1241" s="51"/>
      <c r="G1241" s="14"/>
      <c r="H1241" s="14" t="s">
        <v>252</v>
      </c>
      <c r="I1241" s="48">
        <f>I1248+I1244+I1243+I1242</f>
        <v>31927</v>
      </c>
      <c r="J1241" s="48">
        <f>J1248+J1244+J1243+J1242</f>
        <v>350</v>
      </c>
      <c r="K1241" s="48">
        <f t="shared" si="230"/>
        <v>32277</v>
      </c>
      <c r="L1241" s="123"/>
      <c r="M1241" s="48">
        <f>M1248+M1244+M1243+M1242</f>
        <v>0</v>
      </c>
      <c r="N1241" s="48">
        <f>N1248+N1244+N1243+N1242</f>
        <v>0</v>
      </c>
      <c r="O1241" s="48">
        <f t="shared" si="231"/>
        <v>0</v>
      </c>
      <c r="P1241" s="123"/>
      <c r="Q1241" s="48">
        <f t="shared" si="224"/>
        <v>31927</v>
      </c>
      <c r="R1241" s="48">
        <f t="shared" si="229"/>
        <v>350</v>
      </c>
      <c r="S1241" s="48">
        <f t="shared" si="229"/>
        <v>32277</v>
      </c>
    </row>
    <row r="1242" spans="2:19" x14ac:dyDescent="0.2">
      <c r="B1242" s="75">
        <f t="shared" si="232"/>
        <v>594</v>
      </c>
      <c r="C1242" s="15"/>
      <c r="D1242" s="15"/>
      <c r="E1242" s="15"/>
      <c r="F1242" s="52" t="s">
        <v>167</v>
      </c>
      <c r="G1242" s="15">
        <v>610</v>
      </c>
      <c r="H1242" s="15" t="s">
        <v>137</v>
      </c>
      <c r="I1242" s="49">
        <v>18251</v>
      </c>
      <c r="J1242" s="49"/>
      <c r="K1242" s="49">
        <f t="shared" si="230"/>
        <v>18251</v>
      </c>
      <c r="L1242" s="123"/>
      <c r="M1242" s="49"/>
      <c r="N1242" s="49"/>
      <c r="O1242" s="49">
        <f t="shared" si="231"/>
        <v>0</v>
      </c>
      <c r="P1242" s="123"/>
      <c r="Q1242" s="49">
        <f t="shared" si="224"/>
        <v>18251</v>
      </c>
      <c r="R1242" s="49">
        <f t="shared" si="229"/>
        <v>0</v>
      </c>
      <c r="S1242" s="49">
        <f t="shared" si="229"/>
        <v>18251</v>
      </c>
    </row>
    <row r="1243" spans="2:19" x14ac:dyDescent="0.2">
      <c r="B1243" s="75">
        <f t="shared" si="232"/>
        <v>595</v>
      </c>
      <c r="C1243" s="15"/>
      <c r="D1243" s="15"/>
      <c r="E1243" s="15"/>
      <c r="F1243" s="52" t="s">
        <v>167</v>
      </c>
      <c r="G1243" s="15">
        <v>620</v>
      </c>
      <c r="H1243" s="15" t="s">
        <v>132</v>
      </c>
      <c r="I1243" s="49">
        <v>6781</v>
      </c>
      <c r="J1243" s="49"/>
      <c r="K1243" s="49">
        <f t="shared" si="230"/>
        <v>6781</v>
      </c>
      <c r="L1243" s="123"/>
      <c r="M1243" s="49"/>
      <c r="N1243" s="49"/>
      <c r="O1243" s="49">
        <f t="shared" si="231"/>
        <v>0</v>
      </c>
      <c r="P1243" s="123"/>
      <c r="Q1243" s="49">
        <f t="shared" si="224"/>
        <v>6781</v>
      </c>
      <c r="R1243" s="49">
        <f t="shared" si="229"/>
        <v>0</v>
      </c>
      <c r="S1243" s="49">
        <f t="shared" si="229"/>
        <v>6781</v>
      </c>
    </row>
    <row r="1244" spans="2:19" x14ac:dyDescent="0.2">
      <c r="B1244" s="75">
        <f t="shared" si="232"/>
        <v>596</v>
      </c>
      <c r="C1244" s="15"/>
      <c r="D1244" s="15"/>
      <c r="E1244" s="15"/>
      <c r="F1244" s="52" t="s">
        <v>167</v>
      </c>
      <c r="G1244" s="15">
        <v>630</v>
      </c>
      <c r="H1244" s="15" t="s">
        <v>129</v>
      </c>
      <c r="I1244" s="49">
        <f>I1247+I1246+I1245</f>
        <v>6445</v>
      </c>
      <c r="J1244" s="49">
        <f>J1247+J1246+J1245</f>
        <v>350</v>
      </c>
      <c r="K1244" s="49">
        <f t="shared" si="230"/>
        <v>6795</v>
      </c>
      <c r="L1244" s="123"/>
      <c r="M1244" s="49">
        <f>M1247+M1246+M1245</f>
        <v>0</v>
      </c>
      <c r="N1244" s="49">
        <f>N1247+N1246+N1245</f>
        <v>0</v>
      </c>
      <c r="O1244" s="49">
        <f t="shared" si="231"/>
        <v>0</v>
      </c>
      <c r="P1244" s="123"/>
      <c r="Q1244" s="49">
        <f t="shared" si="224"/>
        <v>6445</v>
      </c>
      <c r="R1244" s="49">
        <f t="shared" si="229"/>
        <v>350</v>
      </c>
      <c r="S1244" s="49">
        <f t="shared" si="229"/>
        <v>6795</v>
      </c>
    </row>
    <row r="1245" spans="2:19" x14ac:dyDescent="0.2">
      <c r="B1245" s="75">
        <f t="shared" si="232"/>
        <v>597</v>
      </c>
      <c r="C1245" s="4"/>
      <c r="D1245" s="4"/>
      <c r="E1245" s="4"/>
      <c r="F1245" s="53" t="s">
        <v>167</v>
      </c>
      <c r="G1245" s="4">
        <v>633</v>
      </c>
      <c r="H1245" s="4" t="s">
        <v>133</v>
      </c>
      <c r="I1245" s="26">
        <v>5200</v>
      </c>
      <c r="J1245" s="26">
        <v>350</v>
      </c>
      <c r="K1245" s="26">
        <f t="shared" si="230"/>
        <v>5550</v>
      </c>
      <c r="L1245" s="76"/>
      <c r="M1245" s="26"/>
      <c r="N1245" s="26"/>
      <c r="O1245" s="26">
        <f t="shared" si="231"/>
        <v>0</v>
      </c>
      <c r="P1245" s="76"/>
      <c r="Q1245" s="26">
        <f t="shared" si="224"/>
        <v>5200</v>
      </c>
      <c r="R1245" s="26">
        <f t="shared" si="229"/>
        <v>350</v>
      </c>
      <c r="S1245" s="26">
        <f t="shared" si="229"/>
        <v>5550</v>
      </c>
    </row>
    <row r="1246" spans="2:19" x14ac:dyDescent="0.2">
      <c r="B1246" s="75">
        <f t="shared" si="232"/>
        <v>598</v>
      </c>
      <c r="C1246" s="4"/>
      <c r="D1246" s="4"/>
      <c r="E1246" s="4"/>
      <c r="F1246" s="53" t="s">
        <v>167</v>
      </c>
      <c r="G1246" s="4">
        <v>635</v>
      </c>
      <c r="H1246" s="4" t="s">
        <v>139</v>
      </c>
      <c r="I1246" s="26">
        <v>150</v>
      </c>
      <c r="J1246" s="26"/>
      <c r="K1246" s="26">
        <f t="shared" si="230"/>
        <v>150</v>
      </c>
      <c r="L1246" s="76"/>
      <c r="M1246" s="26"/>
      <c r="N1246" s="26"/>
      <c r="O1246" s="26">
        <f t="shared" si="231"/>
        <v>0</v>
      </c>
      <c r="P1246" s="76"/>
      <c r="Q1246" s="26">
        <f t="shared" ref="Q1246:Q1309" si="233">M1246+I1246</f>
        <v>150</v>
      </c>
      <c r="R1246" s="26">
        <f t="shared" ref="R1246:S1261" si="234">N1246+J1246</f>
        <v>0</v>
      </c>
      <c r="S1246" s="26">
        <f t="shared" si="234"/>
        <v>150</v>
      </c>
    </row>
    <row r="1247" spans="2:19" x14ac:dyDescent="0.2">
      <c r="B1247" s="75">
        <f t="shared" si="232"/>
        <v>599</v>
      </c>
      <c r="C1247" s="4"/>
      <c r="D1247" s="4"/>
      <c r="E1247" s="4"/>
      <c r="F1247" s="53" t="s">
        <v>167</v>
      </c>
      <c r="G1247" s="4">
        <v>637</v>
      </c>
      <c r="H1247" s="4" t="s">
        <v>130</v>
      </c>
      <c r="I1247" s="26">
        <v>1095</v>
      </c>
      <c r="J1247" s="26"/>
      <c r="K1247" s="26">
        <f t="shared" si="230"/>
        <v>1095</v>
      </c>
      <c r="L1247" s="76"/>
      <c r="M1247" s="26"/>
      <c r="N1247" s="26"/>
      <c r="O1247" s="26">
        <f t="shared" si="231"/>
        <v>0</v>
      </c>
      <c r="P1247" s="76"/>
      <c r="Q1247" s="26">
        <f t="shared" si="233"/>
        <v>1095</v>
      </c>
      <c r="R1247" s="26">
        <f t="shared" si="234"/>
        <v>0</v>
      </c>
      <c r="S1247" s="26">
        <f t="shared" si="234"/>
        <v>1095</v>
      </c>
    </row>
    <row r="1248" spans="2:19" x14ac:dyDescent="0.2">
      <c r="B1248" s="75">
        <f t="shared" si="232"/>
        <v>600</v>
      </c>
      <c r="C1248" s="15"/>
      <c r="D1248" s="15"/>
      <c r="E1248" s="15"/>
      <c r="F1248" s="52" t="s">
        <v>167</v>
      </c>
      <c r="G1248" s="15">
        <v>640</v>
      </c>
      <c r="H1248" s="15" t="s">
        <v>136</v>
      </c>
      <c r="I1248" s="49">
        <v>450</v>
      </c>
      <c r="J1248" s="49"/>
      <c r="K1248" s="49">
        <f t="shared" si="230"/>
        <v>450</v>
      </c>
      <c r="L1248" s="123"/>
      <c r="M1248" s="49"/>
      <c r="N1248" s="49"/>
      <c r="O1248" s="49">
        <f t="shared" si="231"/>
        <v>0</v>
      </c>
      <c r="P1248" s="123"/>
      <c r="Q1248" s="49">
        <f t="shared" si="233"/>
        <v>450</v>
      </c>
      <c r="R1248" s="49">
        <f t="shared" si="234"/>
        <v>0</v>
      </c>
      <c r="S1248" s="49">
        <f t="shared" si="234"/>
        <v>450</v>
      </c>
    </row>
    <row r="1249" spans="2:19" x14ac:dyDescent="0.2">
      <c r="B1249" s="75">
        <f t="shared" si="232"/>
        <v>601</v>
      </c>
      <c r="C1249" s="14"/>
      <c r="D1249" s="14"/>
      <c r="E1249" s="14" t="s">
        <v>101</v>
      </c>
      <c r="F1249" s="51"/>
      <c r="G1249" s="14"/>
      <c r="H1249" s="14" t="s">
        <v>66</v>
      </c>
      <c r="I1249" s="48">
        <f>I1252+I1251+I1250</f>
        <v>33805</v>
      </c>
      <c r="J1249" s="48">
        <f>J1252+J1251+J1250</f>
        <v>0</v>
      </c>
      <c r="K1249" s="48">
        <f t="shared" si="230"/>
        <v>33805</v>
      </c>
      <c r="L1249" s="123"/>
      <c r="M1249" s="48">
        <f>M1252+M1251+M1250</f>
        <v>0</v>
      </c>
      <c r="N1249" s="48">
        <f>N1252+N1251+N1250</f>
        <v>0</v>
      </c>
      <c r="O1249" s="48">
        <f t="shared" si="231"/>
        <v>0</v>
      </c>
      <c r="P1249" s="123"/>
      <c r="Q1249" s="48">
        <f t="shared" si="233"/>
        <v>33805</v>
      </c>
      <c r="R1249" s="48">
        <f t="shared" si="234"/>
        <v>0</v>
      </c>
      <c r="S1249" s="48">
        <f t="shared" si="234"/>
        <v>33805</v>
      </c>
    </row>
    <row r="1250" spans="2:19" x14ac:dyDescent="0.2">
      <c r="B1250" s="75">
        <f t="shared" si="232"/>
        <v>602</v>
      </c>
      <c r="C1250" s="15"/>
      <c r="D1250" s="15"/>
      <c r="E1250" s="15"/>
      <c r="F1250" s="52" t="s">
        <v>167</v>
      </c>
      <c r="G1250" s="15">
        <v>610</v>
      </c>
      <c r="H1250" s="15" t="s">
        <v>137</v>
      </c>
      <c r="I1250" s="49">
        <v>21020</v>
      </c>
      <c r="J1250" s="49"/>
      <c r="K1250" s="49">
        <f t="shared" si="230"/>
        <v>21020</v>
      </c>
      <c r="L1250" s="123"/>
      <c r="M1250" s="49"/>
      <c r="N1250" s="49"/>
      <c r="O1250" s="49">
        <f t="shared" si="231"/>
        <v>0</v>
      </c>
      <c r="P1250" s="123"/>
      <c r="Q1250" s="49">
        <f t="shared" si="233"/>
        <v>21020</v>
      </c>
      <c r="R1250" s="49">
        <f t="shared" si="234"/>
        <v>0</v>
      </c>
      <c r="S1250" s="49">
        <f t="shared" si="234"/>
        <v>21020</v>
      </c>
    </row>
    <row r="1251" spans="2:19" x14ac:dyDescent="0.2">
      <c r="B1251" s="75">
        <f t="shared" si="232"/>
        <v>603</v>
      </c>
      <c r="C1251" s="15"/>
      <c r="D1251" s="15"/>
      <c r="E1251" s="15"/>
      <c r="F1251" s="52" t="s">
        <v>167</v>
      </c>
      <c r="G1251" s="15">
        <v>620</v>
      </c>
      <c r="H1251" s="15" t="s">
        <v>132</v>
      </c>
      <c r="I1251" s="49">
        <v>7810</v>
      </c>
      <c r="J1251" s="49"/>
      <c r="K1251" s="49">
        <f t="shared" si="230"/>
        <v>7810</v>
      </c>
      <c r="L1251" s="123"/>
      <c r="M1251" s="49"/>
      <c r="N1251" s="49"/>
      <c r="O1251" s="49">
        <f t="shared" si="231"/>
        <v>0</v>
      </c>
      <c r="P1251" s="123"/>
      <c r="Q1251" s="49">
        <f t="shared" si="233"/>
        <v>7810</v>
      </c>
      <c r="R1251" s="49">
        <f t="shared" si="234"/>
        <v>0</v>
      </c>
      <c r="S1251" s="49">
        <f t="shared" si="234"/>
        <v>7810</v>
      </c>
    </row>
    <row r="1252" spans="2:19" x14ac:dyDescent="0.2">
      <c r="B1252" s="75">
        <f t="shared" si="232"/>
        <v>604</v>
      </c>
      <c r="C1252" s="15"/>
      <c r="D1252" s="15"/>
      <c r="E1252" s="15"/>
      <c r="F1252" s="52" t="s">
        <v>167</v>
      </c>
      <c r="G1252" s="15">
        <v>630</v>
      </c>
      <c r="H1252" s="15" t="s">
        <v>129</v>
      </c>
      <c r="I1252" s="49">
        <f>I1255+I1254+I1253</f>
        <v>4975</v>
      </c>
      <c r="J1252" s="49">
        <f>J1255+J1254+J1253</f>
        <v>0</v>
      </c>
      <c r="K1252" s="49">
        <f t="shared" si="230"/>
        <v>4975</v>
      </c>
      <c r="L1252" s="123"/>
      <c r="M1252" s="49">
        <f>M1255+M1254+M1253</f>
        <v>0</v>
      </c>
      <c r="N1252" s="49">
        <f>N1255+N1254+N1253</f>
        <v>0</v>
      </c>
      <c r="O1252" s="49">
        <f t="shared" si="231"/>
        <v>0</v>
      </c>
      <c r="P1252" s="123"/>
      <c r="Q1252" s="49">
        <f t="shared" si="233"/>
        <v>4975</v>
      </c>
      <c r="R1252" s="49">
        <f t="shared" si="234"/>
        <v>0</v>
      </c>
      <c r="S1252" s="49">
        <f t="shared" si="234"/>
        <v>4975</v>
      </c>
    </row>
    <row r="1253" spans="2:19" x14ac:dyDescent="0.2">
      <c r="B1253" s="75">
        <f t="shared" si="232"/>
        <v>605</v>
      </c>
      <c r="C1253" s="4"/>
      <c r="D1253" s="4"/>
      <c r="E1253" s="4"/>
      <c r="F1253" s="53" t="s">
        <v>167</v>
      </c>
      <c r="G1253" s="4">
        <v>633</v>
      </c>
      <c r="H1253" s="4" t="s">
        <v>133</v>
      </c>
      <c r="I1253" s="26">
        <v>3200</v>
      </c>
      <c r="J1253" s="26"/>
      <c r="K1253" s="26">
        <f t="shared" si="230"/>
        <v>3200</v>
      </c>
      <c r="L1253" s="76"/>
      <c r="M1253" s="26"/>
      <c r="N1253" s="26"/>
      <c r="O1253" s="26">
        <f t="shared" si="231"/>
        <v>0</v>
      </c>
      <c r="P1253" s="76"/>
      <c r="Q1253" s="26">
        <f t="shared" si="233"/>
        <v>3200</v>
      </c>
      <c r="R1253" s="26">
        <f t="shared" si="234"/>
        <v>0</v>
      </c>
      <c r="S1253" s="26">
        <f t="shared" si="234"/>
        <v>3200</v>
      </c>
    </row>
    <row r="1254" spans="2:19" x14ac:dyDescent="0.2">
      <c r="B1254" s="75">
        <f t="shared" si="232"/>
        <v>606</v>
      </c>
      <c r="C1254" s="4"/>
      <c r="D1254" s="4"/>
      <c r="E1254" s="4"/>
      <c r="F1254" s="53" t="s">
        <v>167</v>
      </c>
      <c r="G1254" s="4">
        <v>635</v>
      </c>
      <c r="H1254" s="4" t="s">
        <v>139</v>
      </c>
      <c r="I1254" s="26">
        <v>150</v>
      </c>
      <c r="J1254" s="26"/>
      <c r="K1254" s="26">
        <f t="shared" si="230"/>
        <v>150</v>
      </c>
      <c r="L1254" s="76"/>
      <c r="M1254" s="26"/>
      <c r="N1254" s="26"/>
      <c r="O1254" s="26">
        <f t="shared" si="231"/>
        <v>0</v>
      </c>
      <c r="P1254" s="76"/>
      <c r="Q1254" s="26">
        <f t="shared" si="233"/>
        <v>150</v>
      </c>
      <c r="R1254" s="26">
        <f t="shared" si="234"/>
        <v>0</v>
      </c>
      <c r="S1254" s="26">
        <f t="shared" si="234"/>
        <v>150</v>
      </c>
    </row>
    <row r="1255" spans="2:19" x14ac:dyDescent="0.2">
      <c r="B1255" s="75">
        <f t="shared" si="232"/>
        <v>607</v>
      </c>
      <c r="C1255" s="4"/>
      <c r="D1255" s="4"/>
      <c r="E1255" s="4"/>
      <c r="F1255" s="53" t="s">
        <v>167</v>
      </c>
      <c r="G1255" s="4">
        <v>637</v>
      </c>
      <c r="H1255" s="4" t="s">
        <v>130</v>
      </c>
      <c r="I1255" s="26">
        <v>1625</v>
      </c>
      <c r="J1255" s="26"/>
      <c r="K1255" s="26">
        <f t="shared" si="230"/>
        <v>1625</v>
      </c>
      <c r="L1255" s="76"/>
      <c r="M1255" s="26"/>
      <c r="N1255" s="26"/>
      <c r="O1255" s="26">
        <f t="shared" si="231"/>
        <v>0</v>
      </c>
      <c r="P1255" s="76"/>
      <c r="Q1255" s="26">
        <f t="shared" si="233"/>
        <v>1625</v>
      </c>
      <c r="R1255" s="26">
        <f t="shared" si="234"/>
        <v>0</v>
      </c>
      <c r="S1255" s="26">
        <f t="shared" si="234"/>
        <v>1625</v>
      </c>
    </row>
    <row r="1256" spans="2:19" x14ac:dyDescent="0.2">
      <c r="B1256" s="75">
        <f t="shared" si="232"/>
        <v>608</v>
      </c>
      <c r="C1256" s="14"/>
      <c r="D1256" s="14"/>
      <c r="E1256" s="14" t="s">
        <v>104</v>
      </c>
      <c r="F1256" s="51"/>
      <c r="G1256" s="14"/>
      <c r="H1256" s="14" t="s">
        <v>67</v>
      </c>
      <c r="I1256" s="48">
        <f>I1259+I1258+I1257</f>
        <v>25635</v>
      </c>
      <c r="J1256" s="48">
        <f>J1259+J1258+J1257</f>
        <v>0</v>
      </c>
      <c r="K1256" s="48">
        <f t="shared" si="230"/>
        <v>25635</v>
      </c>
      <c r="L1256" s="123"/>
      <c r="M1256" s="48">
        <f>M1259+M1258+M1257</f>
        <v>0</v>
      </c>
      <c r="N1256" s="48">
        <f>N1259+N1258+N1257</f>
        <v>0</v>
      </c>
      <c r="O1256" s="48">
        <f t="shared" si="231"/>
        <v>0</v>
      </c>
      <c r="P1256" s="123"/>
      <c r="Q1256" s="48">
        <f t="shared" si="233"/>
        <v>25635</v>
      </c>
      <c r="R1256" s="48">
        <f t="shared" si="234"/>
        <v>0</v>
      </c>
      <c r="S1256" s="48">
        <f t="shared" si="234"/>
        <v>25635</v>
      </c>
    </row>
    <row r="1257" spans="2:19" x14ac:dyDescent="0.2">
      <c r="B1257" s="75">
        <f t="shared" si="232"/>
        <v>609</v>
      </c>
      <c r="C1257" s="15"/>
      <c r="D1257" s="15"/>
      <c r="E1257" s="15"/>
      <c r="F1257" s="52" t="s">
        <v>167</v>
      </c>
      <c r="G1257" s="15">
        <v>610</v>
      </c>
      <c r="H1257" s="15" t="s">
        <v>137</v>
      </c>
      <c r="I1257" s="49">
        <v>16400</v>
      </c>
      <c r="J1257" s="49"/>
      <c r="K1257" s="49">
        <f t="shared" si="230"/>
        <v>16400</v>
      </c>
      <c r="L1257" s="123"/>
      <c r="M1257" s="49"/>
      <c r="N1257" s="49"/>
      <c r="O1257" s="49">
        <f t="shared" si="231"/>
        <v>0</v>
      </c>
      <c r="P1257" s="123"/>
      <c r="Q1257" s="49">
        <f t="shared" si="233"/>
        <v>16400</v>
      </c>
      <c r="R1257" s="49">
        <f t="shared" si="234"/>
        <v>0</v>
      </c>
      <c r="S1257" s="49">
        <f t="shared" si="234"/>
        <v>16400</v>
      </c>
    </row>
    <row r="1258" spans="2:19" x14ac:dyDescent="0.2">
      <c r="B1258" s="75">
        <f t="shared" si="232"/>
        <v>610</v>
      </c>
      <c r="C1258" s="15"/>
      <c r="D1258" s="15"/>
      <c r="E1258" s="15"/>
      <c r="F1258" s="52" t="s">
        <v>167</v>
      </c>
      <c r="G1258" s="15">
        <v>620</v>
      </c>
      <c r="H1258" s="15" t="s">
        <v>132</v>
      </c>
      <c r="I1258" s="49">
        <v>6095</v>
      </c>
      <c r="J1258" s="49"/>
      <c r="K1258" s="49">
        <f t="shared" si="230"/>
        <v>6095</v>
      </c>
      <c r="L1258" s="123"/>
      <c r="M1258" s="49"/>
      <c r="N1258" s="49"/>
      <c r="O1258" s="49">
        <f t="shared" si="231"/>
        <v>0</v>
      </c>
      <c r="P1258" s="123"/>
      <c r="Q1258" s="49">
        <f t="shared" si="233"/>
        <v>6095</v>
      </c>
      <c r="R1258" s="49">
        <f t="shared" si="234"/>
        <v>0</v>
      </c>
      <c r="S1258" s="49">
        <f t="shared" si="234"/>
        <v>6095</v>
      </c>
    </row>
    <row r="1259" spans="2:19" x14ac:dyDescent="0.2">
      <c r="B1259" s="75">
        <f t="shared" si="232"/>
        <v>611</v>
      </c>
      <c r="C1259" s="15"/>
      <c r="D1259" s="15"/>
      <c r="E1259" s="15"/>
      <c r="F1259" s="52" t="s">
        <v>167</v>
      </c>
      <c r="G1259" s="15">
        <v>630</v>
      </c>
      <c r="H1259" s="15" t="s">
        <v>129</v>
      </c>
      <c r="I1259" s="49">
        <f>I1262+I1261+I1260</f>
        <v>3140</v>
      </c>
      <c r="J1259" s="49">
        <f>J1262+J1261+J1260</f>
        <v>0</v>
      </c>
      <c r="K1259" s="49">
        <f t="shared" si="230"/>
        <v>3140</v>
      </c>
      <c r="L1259" s="123"/>
      <c r="M1259" s="49">
        <f>M1262+M1261+M1260</f>
        <v>0</v>
      </c>
      <c r="N1259" s="49">
        <f>N1262+N1261+N1260</f>
        <v>0</v>
      </c>
      <c r="O1259" s="49">
        <f t="shared" si="231"/>
        <v>0</v>
      </c>
      <c r="P1259" s="123"/>
      <c r="Q1259" s="49">
        <f t="shared" si="233"/>
        <v>3140</v>
      </c>
      <c r="R1259" s="49">
        <f t="shared" si="234"/>
        <v>0</v>
      </c>
      <c r="S1259" s="49">
        <f t="shared" si="234"/>
        <v>3140</v>
      </c>
    </row>
    <row r="1260" spans="2:19" x14ac:dyDescent="0.2">
      <c r="B1260" s="75">
        <f t="shared" si="232"/>
        <v>612</v>
      </c>
      <c r="C1260" s="4"/>
      <c r="D1260" s="4"/>
      <c r="E1260" s="4"/>
      <c r="F1260" s="53" t="s">
        <v>167</v>
      </c>
      <c r="G1260" s="4">
        <v>633</v>
      </c>
      <c r="H1260" s="4" t="s">
        <v>133</v>
      </c>
      <c r="I1260" s="26">
        <v>1500</v>
      </c>
      <c r="J1260" s="26"/>
      <c r="K1260" s="26">
        <f t="shared" si="230"/>
        <v>1500</v>
      </c>
      <c r="L1260" s="76"/>
      <c r="M1260" s="26"/>
      <c r="N1260" s="26"/>
      <c r="O1260" s="26">
        <f t="shared" si="231"/>
        <v>0</v>
      </c>
      <c r="P1260" s="76"/>
      <c r="Q1260" s="26">
        <f t="shared" si="233"/>
        <v>1500</v>
      </c>
      <c r="R1260" s="26">
        <f t="shared" si="234"/>
        <v>0</v>
      </c>
      <c r="S1260" s="26">
        <f t="shared" si="234"/>
        <v>1500</v>
      </c>
    </row>
    <row r="1261" spans="2:19" x14ac:dyDescent="0.2">
      <c r="B1261" s="75">
        <f t="shared" si="232"/>
        <v>613</v>
      </c>
      <c r="C1261" s="4"/>
      <c r="D1261" s="4"/>
      <c r="E1261" s="4"/>
      <c r="F1261" s="53" t="s">
        <v>167</v>
      </c>
      <c r="G1261" s="4">
        <v>635</v>
      </c>
      <c r="H1261" s="4" t="s">
        <v>139</v>
      </c>
      <c r="I1261" s="26">
        <v>200</v>
      </c>
      <c r="J1261" s="26"/>
      <c r="K1261" s="26">
        <f t="shared" si="230"/>
        <v>200</v>
      </c>
      <c r="L1261" s="76"/>
      <c r="M1261" s="26"/>
      <c r="N1261" s="26"/>
      <c r="O1261" s="26">
        <f t="shared" si="231"/>
        <v>0</v>
      </c>
      <c r="P1261" s="76"/>
      <c r="Q1261" s="26">
        <f t="shared" si="233"/>
        <v>200</v>
      </c>
      <c r="R1261" s="26">
        <f t="shared" si="234"/>
        <v>0</v>
      </c>
      <c r="S1261" s="26">
        <f t="shared" si="234"/>
        <v>200</v>
      </c>
    </row>
    <row r="1262" spans="2:19" x14ac:dyDescent="0.2">
      <c r="B1262" s="75">
        <f t="shared" si="232"/>
        <v>614</v>
      </c>
      <c r="C1262" s="4"/>
      <c r="D1262" s="4"/>
      <c r="E1262" s="4"/>
      <c r="F1262" s="53" t="s">
        <v>167</v>
      </c>
      <c r="G1262" s="4">
        <v>637</v>
      </c>
      <c r="H1262" s="4" t="s">
        <v>130</v>
      </c>
      <c r="I1262" s="26">
        <v>1440</v>
      </c>
      <c r="J1262" s="26"/>
      <c r="K1262" s="26">
        <f t="shared" si="230"/>
        <v>1440</v>
      </c>
      <c r="L1262" s="76"/>
      <c r="M1262" s="26"/>
      <c r="N1262" s="26"/>
      <c r="O1262" s="26">
        <f t="shared" si="231"/>
        <v>0</v>
      </c>
      <c r="P1262" s="76"/>
      <c r="Q1262" s="26">
        <f t="shared" si="233"/>
        <v>1440</v>
      </c>
      <c r="R1262" s="26">
        <f t="shared" ref="R1262:S1277" si="235">N1262+J1262</f>
        <v>0</v>
      </c>
      <c r="S1262" s="26">
        <f t="shared" si="235"/>
        <v>1440</v>
      </c>
    </row>
    <row r="1263" spans="2:19" x14ac:dyDescent="0.2">
      <c r="B1263" s="75">
        <f t="shared" si="232"/>
        <v>615</v>
      </c>
      <c r="C1263" s="14"/>
      <c r="D1263" s="14"/>
      <c r="E1263" s="14" t="s">
        <v>97</v>
      </c>
      <c r="F1263" s="51"/>
      <c r="G1263" s="14"/>
      <c r="H1263" s="14" t="s">
        <v>98</v>
      </c>
      <c r="I1263" s="48">
        <f>I1266+I1265+I1264</f>
        <v>15992</v>
      </c>
      <c r="J1263" s="48">
        <f>J1266+J1265+J1264</f>
        <v>0</v>
      </c>
      <c r="K1263" s="48">
        <f t="shared" si="230"/>
        <v>15992</v>
      </c>
      <c r="L1263" s="123"/>
      <c r="M1263" s="48">
        <f>M1266+M1265+M1264</f>
        <v>0</v>
      </c>
      <c r="N1263" s="48">
        <f>N1266+N1265+N1264</f>
        <v>0</v>
      </c>
      <c r="O1263" s="48">
        <f t="shared" si="231"/>
        <v>0</v>
      </c>
      <c r="P1263" s="123"/>
      <c r="Q1263" s="48">
        <f t="shared" si="233"/>
        <v>15992</v>
      </c>
      <c r="R1263" s="48">
        <f t="shared" si="235"/>
        <v>0</v>
      </c>
      <c r="S1263" s="48">
        <f t="shared" si="235"/>
        <v>15992</v>
      </c>
    </row>
    <row r="1264" spans="2:19" x14ac:dyDescent="0.2">
      <c r="B1264" s="75">
        <f t="shared" si="232"/>
        <v>616</v>
      </c>
      <c r="C1264" s="15"/>
      <c r="D1264" s="15"/>
      <c r="E1264" s="15"/>
      <c r="F1264" s="52" t="s">
        <v>167</v>
      </c>
      <c r="G1264" s="15">
        <v>610</v>
      </c>
      <c r="H1264" s="15" t="s">
        <v>137</v>
      </c>
      <c r="I1264" s="49">
        <v>8831</v>
      </c>
      <c r="J1264" s="49"/>
      <c r="K1264" s="49">
        <f t="shared" si="230"/>
        <v>8831</v>
      </c>
      <c r="L1264" s="123"/>
      <c r="M1264" s="49"/>
      <c r="N1264" s="49"/>
      <c r="O1264" s="49">
        <f t="shared" si="231"/>
        <v>0</v>
      </c>
      <c r="P1264" s="123"/>
      <c r="Q1264" s="49">
        <f t="shared" si="233"/>
        <v>8831</v>
      </c>
      <c r="R1264" s="49">
        <f t="shared" si="235"/>
        <v>0</v>
      </c>
      <c r="S1264" s="49">
        <f t="shared" si="235"/>
        <v>8831</v>
      </c>
    </row>
    <row r="1265" spans="2:19" x14ac:dyDescent="0.2">
      <c r="B1265" s="75">
        <f t="shared" si="232"/>
        <v>617</v>
      </c>
      <c r="C1265" s="15"/>
      <c r="D1265" s="15"/>
      <c r="E1265" s="15"/>
      <c r="F1265" s="52" t="s">
        <v>167</v>
      </c>
      <c r="G1265" s="15">
        <v>620</v>
      </c>
      <c r="H1265" s="15" t="s">
        <v>132</v>
      </c>
      <c r="I1265" s="49">
        <v>3281</v>
      </c>
      <c r="J1265" s="49"/>
      <c r="K1265" s="49">
        <f t="shared" si="230"/>
        <v>3281</v>
      </c>
      <c r="L1265" s="123"/>
      <c r="M1265" s="49"/>
      <c r="N1265" s="49"/>
      <c r="O1265" s="49">
        <f t="shared" si="231"/>
        <v>0</v>
      </c>
      <c r="P1265" s="123"/>
      <c r="Q1265" s="49">
        <f t="shared" si="233"/>
        <v>3281</v>
      </c>
      <c r="R1265" s="49">
        <f t="shared" si="235"/>
        <v>0</v>
      </c>
      <c r="S1265" s="49">
        <f t="shared" si="235"/>
        <v>3281</v>
      </c>
    </row>
    <row r="1266" spans="2:19" x14ac:dyDescent="0.2">
      <c r="B1266" s="75">
        <f t="shared" si="232"/>
        <v>618</v>
      </c>
      <c r="C1266" s="15"/>
      <c r="D1266" s="15"/>
      <c r="E1266" s="15"/>
      <c r="F1266" s="52" t="s">
        <v>167</v>
      </c>
      <c r="G1266" s="15">
        <v>630</v>
      </c>
      <c r="H1266" s="15" t="s">
        <v>129</v>
      </c>
      <c r="I1266" s="49">
        <f>I1269+I1268+I1267</f>
        <v>3880</v>
      </c>
      <c r="J1266" s="49">
        <f>J1269+J1268+J1267</f>
        <v>0</v>
      </c>
      <c r="K1266" s="49">
        <f t="shared" si="230"/>
        <v>3880</v>
      </c>
      <c r="L1266" s="123"/>
      <c r="M1266" s="49">
        <f>M1269+M1268+M1267</f>
        <v>0</v>
      </c>
      <c r="N1266" s="49">
        <f>N1269+N1268+N1267</f>
        <v>0</v>
      </c>
      <c r="O1266" s="49">
        <f t="shared" si="231"/>
        <v>0</v>
      </c>
      <c r="P1266" s="123"/>
      <c r="Q1266" s="49">
        <f t="shared" si="233"/>
        <v>3880</v>
      </c>
      <c r="R1266" s="49">
        <f t="shared" si="235"/>
        <v>0</v>
      </c>
      <c r="S1266" s="49">
        <f t="shared" si="235"/>
        <v>3880</v>
      </c>
    </row>
    <row r="1267" spans="2:19" x14ac:dyDescent="0.2">
      <c r="B1267" s="75">
        <f t="shared" si="232"/>
        <v>619</v>
      </c>
      <c r="C1267" s="4"/>
      <c r="D1267" s="4"/>
      <c r="E1267" s="4"/>
      <c r="F1267" s="53" t="s">
        <v>167</v>
      </c>
      <c r="G1267" s="4">
        <v>633</v>
      </c>
      <c r="H1267" s="4" t="s">
        <v>133</v>
      </c>
      <c r="I1267" s="26">
        <v>2780</v>
      </c>
      <c r="J1267" s="26"/>
      <c r="K1267" s="26">
        <f t="shared" si="230"/>
        <v>2780</v>
      </c>
      <c r="L1267" s="76"/>
      <c r="M1267" s="26"/>
      <c r="N1267" s="26"/>
      <c r="O1267" s="26">
        <f t="shared" si="231"/>
        <v>0</v>
      </c>
      <c r="P1267" s="76"/>
      <c r="Q1267" s="26">
        <f t="shared" si="233"/>
        <v>2780</v>
      </c>
      <c r="R1267" s="26">
        <f t="shared" si="235"/>
        <v>0</v>
      </c>
      <c r="S1267" s="26">
        <f t="shared" si="235"/>
        <v>2780</v>
      </c>
    </row>
    <row r="1268" spans="2:19" x14ac:dyDescent="0.2">
      <c r="B1268" s="75">
        <f t="shared" si="232"/>
        <v>620</v>
      </c>
      <c r="C1268" s="4"/>
      <c r="D1268" s="4"/>
      <c r="E1268" s="4"/>
      <c r="F1268" s="53" t="s">
        <v>167</v>
      </c>
      <c r="G1268" s="4">
        <v>635</v>
      </c>
      <c r="H1268" s="4" t="s">
        <v>139</v>
      </c>
      <c r="I1268" s="26">
        <v>200</v>
      </c>
      <c r="J1268" s="26"/>
      <c r="K1268" s="26">
        <f t="shared" si="230"/>
        <v>200</v>
      </c>
      <c r="L1268" s="76"/>
      <c r="M1268" s="26"/>
      <c r="N1268" s="26"/>
      <c r="O1268" s="26">
        <f t="shared" si="231"/>
        <v>0</v>
      </c>
      <c r="P1268" s="76"/>
      <c r="Q1268" s="26">
        <f t="shared" si="233"/>
        <v>200</v>
      </c>
      <c r="R1268" s="26">
        <f t="shared" si="235"/>
        <v>0</v>
      </c>
      <c r="S1268" s="26">
        <f t="shared" si="235"/>
        <v>200</v>
      </c>
    </row>
    <row r="1269" spans="2:19" x14ac:dyDescent="0.2">
      <c r="B1269" s="75">
        <f t="shared" si="232"/>
        <v>621</v>
      </c>
      <c r="C1269" s="4"/>
      <c r="D1269" s="4"/>
      <c r="E1269" s="4"/>
      <c r="F1269" s="53" t="s">
        <v>167</v>
      </c>
      <c r="G1269" s="4">
        <v>637</v>
      </c>
      <c r="H1269" s="4" t="s">
        <v>130</v>
      </c>
      <c r="I1269" s="26">
        <v>900</v>
      </c>
      <c r="J1269" s="26"/>
      <c r="K1269" s="26">
        <f t="shared" si="230"/>
        <v>900</v>
      </c>
      <c r="L1269" s="76"/>
      <c r="M1269" s="26"/>
      <c r="N1269" s="26"/>
      <c r="O1269" s="26">
        <f t="shared" si="231"/>
        <v>0</v>
      </c>
      <c r="P1269" s="76"/>
      <c r="Q1269" s="26">
        <f t="shared" si="233"/>
        <v>900</v>
      </c>
      <c r="R1269" s="26">
        <f t="shared" si="235"/>
        <v>0</v>
      </c>
      <c r="S1269" s="26">
        <f t="shared" si="235"/>
        <v>900</v>
      </c>
    </row>
    <row r="1270" spans="2:19" x14ac:dyDescent="0.2">
      <c r="B1270" s="75">
        <f t="shared" si="232"/>
        <v>622</v>
      </c>
      <c r="C1270" s="14"/>
      <c r="D1270" s="14"/>
      <c r="E1270" s="14" t="s">
        <v>90</v>
      </c>
      <c r="F1270" s="51"/>
      <c r="G1270" s="14"/>
      <c r="H1270" s="14" t="s">
        <v>210</v>
      </c>
      <c r="I1270" s="48">
        <f>I1273+I1272+I1271</f>
        <v>21353</v>
      </c>
      <c r="J1270" s="48">
        <f>J1273+J1272+J1271</f>
        <v>0</v>
      </c>
      <c r="K1270" s="48">
        <f t="shared" si="230"/>
        <v>21353</v>
      </c>
      <c r="L1270" s="123"/>
      <c r="M1270" s="48">
        <f>M1273+M1272+M1271</f>
        <v>0</v>
      </c>
      <c r="N1270" s="48">
        <f>N1273+N1272+N1271</f>
        <v>0</v>
      </c>
      <c r="O1270" s="48">
        <f t="shared" si="231"/>
        <v>0</v>
      </c>
      <c r="P1270" s="123"/>
      <c r="Q1270" s="48">
        <f t="shared" si="233"/>
        <v>21353</v>
      </c>
      <c r="R1270" s="48">
        <f t="shared" si="235"/>
        <v>0</v>
      </c>
      <c r="S1270" s="48">
        <f t="shared" si="235"/>
        <v>21353</v>
      </c>
    </row>
    <row r="1271" spans="2:19" x14ac:dyDescent="0.2">
      <c r="B1271" s="75">
        <f t="shared" si="232"/>
        <v>623</v>
      </c>
      <c r="C1271" s="15"/>
      <c r="D1271" s="15"/>
      <c r="E1271" s="15"/>
      <c r="F1271" s="52" t="s">
        <v>167</v>
      </c>
      <c r="G1271" s="15">
        <v>610</v>
      </c>
      <c r="H1271" s="15" t="s">
        <v>137</v>
      </c>
      <c r="I1271" s="49">
        <v>13458</v>
      </c>
      <c r="J1271" s="49"/>
      <c r="K1271" s="49">
        <f t="shared" si="230"/>
        <v>13458</v>
      </c>
      <c r="L1271" s="123"/>
      <c r="M1271" s="49"/>
      <c r="N1271" s="49"/>
      <c r="O1271" s="49">
        <f t="shared" si="231"/>
        <v>0</v>
      </c>
      <c r="P1271" s="123"/>
      <c r="Q1271" s="49">
        <f t="shared" si="233"/>
        <v>13458</v>
      </c>
      <c r="R1271" s="49">
        <f t="shared" si="235"/>
        <v>0</v>
      </c>
      <c r="S1271" s="49">
        <f t="shared" si="235"/>
        <v>13458</v>
      </c>
    </row>
    <row r="1272" spans="2:19" x14ac:dyDescent="0.2">
      <c r="B1272" s="75">
        <f t="shared" si="232"/>
        <v>624</v>
      </c>
      <c r="C1272" s="15"/>
      <c r="D1272" s="15"/>
      <c r="E1272" s="15"/>
      <c r="F1272" s="52" t="s">
        <v>167</v>
      </c>
      <c r="G1272" s="15">
        <v>620</v>
      </c>
      <c r="H1272" s="15" t="s">
        <v>132</v>
      </c>
      <c r="I1272" s="49">
        <v>5000</v>
      </c>
      <c r="J1272" s="49"/>
      <c r="K1272" s="49">
        <f t="shared" si="230"/>
        <v>5000</v>
      </c>
      <c r="L1272" s="123"/>
      <c r="M1272" s="49"/>
      <c r="N1272" s="49"/>
      <c r="O1272" s="49">
        <f t="shared" si="231"/>
        <v>0</v>
      </c>
      <c r="P1272" s="123"/>
      <c r="Q1272" s="49">
        <f t="shared" si="233"/>
        <v>5000</v>
      </c>
      <c r="R1272" s="49">
        <f t="shared" si="235"/>
        <v>0</v>
      </c>
      <c r="S1272" s="49">
        <f t="shared" si="235"/>
        <v>5000</v>
      </c>
    </row>
    <row r="1273" spans="2:19" x14ac:dyDescent="0.2">
      <c r="B1273" s="75">
        <f t="shared" si="232"/>
        <v>625</v>
      </c>
      <c r="C1273" s="15"/>
      <c r="D1273" s="15"/>
      <c r="E1273" s="15"/>
      <c r="F1273" s="52" t="s">
        <v>167</v>
      </c>
      <c r="G1273" s="15">
        <v>630</v>
      </c>
      <c r="H1273" s="15" t="s">
        <v>129</v>
      </c>
      <c r="I1273" s="49">
        <f>I1276+I1275+I1274</f>
        <v>2895</v>
      </c>
      <c r="J1273" s="49">
        <f>J1276+J1275+J1274</f>
        <v>0</v>
      </c>
      <c r="K1273" s="49">
        <f t="shared" si="230"/>
        <v>2895</v>
      </c>
      <c r="L1273" s="123"/>
      <c r="M1273" s="49">
        <f>M1276+M1275+M1274</f>
        <v>0</v>
      </c>
      <c r="N1273" s="49">
        <f>N1276+N1275+N1274</f>
        <v>0</v>
      </c>
      <c r="O1273" s="49">
        <f t="shared" si="231"/>
        <v>0</v>
      </c>
      <c r="P1273" s="123"/>
      <c r="Q1273" s="49">
        <f t="shared" si="233"/>
        <v>2895</v>
      </c>
      <c r="R1273" s="49">
        <f t="shared" si="235"/>
        <v>0</v>
      </c>
      <c r="S1273" s="49">
        <f t="shared" si="235"/>
        <v>2895</v>
      </c>
    </row>
    <row r="1274" spans="2:19" x14ac:dyDescent="0.2">
      <c r="B1274" s="75">
        <f t="shared" si="232"/>
        <v>626</v>
      </c>
      <c r="C1274" s="4"/>
      <c r="D1274" s="4"/>
      <c r="E1274" s="4"/>
      <c r="F1274" s="53" t="s">
        <v>167</v>
      </c>
      <c r="G1274" s="4">
        <v>633</v>
      </c>
      <c r="H1274" s="4" t="s">
        <v>133</v>
      </c>
      <c r="I1274" s="26">
        <v>1720</v>
      </c>
      <c r="J1274" s="26"/>
      <c r="K1274" s="26">
        <f t="shared" si="230"/>
        <v>1720</v>
      </c>
      <c r="L1274" s="76"/>
      <c r="M1274" s="26"/>
      <c r="N1274" s="26"/>
      <c r="O1274" s="26">
        <f t="shared" si="231"/>
        <v>0</v>
      </c>
      <c r="P1274" s="76"/>
      <c r="Q1274" s="26">
        <f t="shared" si="233"/>
        <v>1720</v>
      </c>
      <c r="R1274" s="26">
        <f t="shared" si="235"/>
        <v>0</v>
      </c>
      <c r="S1274" s="26">
        <f t="shared" si="235"/>
        <v>1720</v>
      </c>
    </row>
    <row r="1275" spans="2:19" x14ac:dyDescent="0.2">
      <c r="B1275" s="75">
        <f t="shared" si="232"/>
        <v>627</v>
      </c>
      <c r="C1275" s="4"/>
      <c r="D1275" s="4"/>
      <c r="E1275" s="4"/>
      <c r="F1275" s="53" t="s">
        <v>167</v>
      </c>
      <c r="G1275" s="4">
        <v>635</v>
      </c>
      <c r="H1275" s="4" t="s">
        <v>139</v>
      </c>
      <c r="I1275" s="26">
        <v>50</v>
      </c>
      <c r="J1275" s="26"/>
      <c r="K1275" s="26">
        <f t="shared" si="230"/>
        <v>50</v>
      </c>
      <c r="L1275" s="76"/>
      <c r="M1275" s="26"/>
      <c r="N1275" s="26"/>
      <c r="O1275" s="26">
        <f t="shared" si="231"/>
        <v>0</v>
      </c>
      <c r="P1275" s="76"/>
      <c r="Q1275" s="26">
        <f t="shared" si="233"/>
        <v>50</v>
      </c>
      <c r="R1275" s="26">
        <f t="shared" si="235"/>
        <v>0</v>
      </c>
      <c r="S1275" s="26">
        <f t="shared" si="235"/>
        <v>50</v>
      </c>
    </row>
    <row r="1276" spans="2:19" x14ac:dyDescent="0.2">
      <c r="B1276" s="75">
        <f t="shared" si="232"/>
        <v>628</v>
      </c>
      <c r="C1276" s="4"/>
      <c r="D1276" s="4"/>
      <c r="E1276" s="4"/>
      <c r="F1276" s="53" t="s">
        <v>167</v>
      </c>
      <c r="G1276" s="4">
        <v>637</v>
      </c>
      <c r="H1276" s="4" t="s">
        <v>130</v>
      </c>
      <c r="I1276" s="26">
        <v>1125</v>
      </c>
      <c r="J1276" s="26"/>
      <c r="K1276" s="26">
        <f t="shared" si="230"/>
        <v>1125</v>
      </c>
      <c r="L1276" s="76"/>
      <c r="M1276" s="26"/>
      <c r="N1276" s="26"/>
      <c r="O1276" s="26">
        <f t="shared" si="231"/>
        <v>0</v>
      </c>
      <c r="P1276" s="76"/>
      <c r="Q1276" s="26">
        <f t="shared" si="233"/>
        <v>1125</v>
      </c>
      <c r="R1276" s="26">
        <f t="shared" si="235"/>
        <v>0</v>
      </c>
      <c r="S1276" s="26">
        <f t="shared" si="235"/>
        <v>1125</v>
      </c>
    </row>
    <row r="1277" spans="2:19" x14ac:dyDescent="0.2">
      <c r="B1277" s="75">
        <f t="shared" si="232"/>
        <v>629</v>
      </c>
      <c r="C1277" s="14"/>
      <c r="D1277" s="14"/>
      <c r="E1277" s="14" t="s">
        <v>91</v>
      </c>
      <c r="F1277" s="51"/>
      <c r="G1277" s="14"/>
      <c r="H1277" s="14" t="s">
        <v>92</v>
      </c>
      <c r="I1277" s="48">
        <f>I1280+I1279+I1278</f>
        <v>45709</v>
      </c>
      <c r="J1277" s="48">
        <f>J1280+J1279+J1278</f>
        <v>0</v>
      </c>
      <c r="K1277" s="48">
        <f t="shared" si="230"/>
        <v>45709</v>
      </c>
      <c r="L1277" s="123"/>
      <c r="M1277" s="48">
        <f>M1280+M1279+M1278</f>
        <v>0</v>
      </c>
      <c r="N1277" s="48">
        <f>N1280+N1279+N1278</f>
        <v>0</v>
      </c>
      <c r="O1277" s="48">
        <f t="shared" si="231"/>
        <v>0</v>
      </c>
      <c r="P1277" s="123"/>
      <c r="Q1277" s="48">
        <f t="shared" si="233"/>
        <v>45709</v>
      </c>
      <c r="R1277" s="48">
        <f t="shared" si="235"/>
        <v>0</v>
      </c>
      <c r="S1277" s="48">
        <f t="shared" si="235"/>
        <v>45709</v>
      </c>
    </row>
    <row r="1278" spans="2:19" x14ac:dyDescent="0.2">
      <c r="B1278" s="75">
        <f t="shared" si="232"/>
        <v>630</v>
      </c>
      <c r="C1278" s="15"/>
      <c r="D1278" s="15"/>
      <c r="E1278" s="15"/>
      <c r="F1278" s="52" t="s">
        <v>167</v>
      </c>
      <c r="G1278" s="15">
        <v>610</v>
      </c>
      <c r="H1278" s="15" t="s">
        <v>137</v>
      </c>
      <c r="I1278" s="49">
        <v>27677</v>
      </c>
      <c r="J1278" s="49"/>
      <c r="K1278" s="49">
        <f t="shared" si="230"/>
        <v>27677</v>
      </c>
      <c r="L1278" s="123"/>
      <c r="M1278" s="49"/>
      <c r="N1278" s="49"/>
      <c r="O1278" s="49">
        <f t="shared" si="231"/>
        <v>0</v>
      </c>
      <c r="P1278" s="123"/>
      <c r="Q1278" s="49">
        <f t="shared" si="233"/>
        <v>27677</v>
      </c>
      <c r="R1278" s="49">
        <f t="shared" ref="R1278:S1293" si="236">N1278+J1278</f>
        <v>0</v>
      </c>
      <c r="S1278" s="49">
        <f t="shared" si="236"/>
        <v>27677</v>
      </c>
    </row>
    <row r="1279" spans="2:19" x14ac:dyDescent="0.2">
      <c r="B1279" s="75">
        <f t="shared" si="232"/>
        <v>631</v>
      </c>
      <c r="C1279" s="15"/>
      <c r="D1279" s="15"/>
      <c r="E1279" s="15"/>
      <c r="F1279" s="52" t="s">
        <v>167</v>
      </c>
      <c r="G1279" s="15">
        <v>620</v>
      </c>
      <c r="H1279" s="15" t="s">
        <v>132</v>
      </c>
      <c r="I1279" s="49">
        <v>10282</v>
      </c>
      <c r="J1279" s="49"/>
      <c r="K1279" s="49">
        <f t="shared" si="230"/>
        <v>10282</v>
      </c>
      <c r="L1279" s="123"/>
      <c r="M1279" s="49"/>
      <c r="N1279" s="49"/>
      <c r="O1279" s="49">
        <f t="shared" si="231"/>
        <v>0</v>
      </c>
      <c r="P1279" s="123"/>
      <c r="Q1279" s="49">
        <f t="shared" si="233"/>
        <v>10282</v>
      </c>
      <c r="R1279" s="49">
        <f t="shared" si="236"/>
        <v>0</v>
      </c>
      <c r="S1279" s="49">
        <f t="shared" si="236"/>
        <v>10282</v>
      </c>
    </row>
    <row r="1280" spans="2:19" x14ac:dyDescent="0.2">
      <c r="B1280" s="75">
        <f t="shared" si="232"/>
        <v>632</v>
      </c>
      <c r="C1280" s="15"/>
      <c r="D1280" s="15"/>
      <c r="E1280" s="15"/>
      <c r="F1280" s="52" t="s">
        <v>167</v>
      </c>
      <c r="G1280" s="15">
        <v>630</v>
      </c>
      <c r="H1280" s="15" t="s">
        <v>129</v>
      </c>
      <c r="I1280" s="49">
        <f>I1284+I1283+I1282+I1281</f>
        <v>7750</v>
      </c>
      <c r="J1280" s="49">
        <f>J1284+J1283+J1282+J1281</f>
        <v>0</v>
      </c>
      <c r="K1280" s="49">
        <f t="shared" si="230"/>
        <v>7750</v>
      </c>
      <c r="L1280" s="123"/>
      <c r="M1280" s="49">
        <f>M1284+M1283+M1282+M1281</f>
        <v>0</v>
      </c>
      <c r="N1280" s="49">
        <f>N1284+N1283+N1282+N1281</f>
        <v>0</v>
      </c>
      <c r="O1280" s="49">
        <f t="shared" si="231"/>
        <v>0</v>
      </c>
      <c r="P1280" s="123"/>
      <c r="Q1280" s="49">
        <f t="shared" si="233"/>
        <v>7750</v>
      </c>
      <c r="R1280" s="49">
        <f t="shared" si="236"/>
        <v>0</v>
      </c>
      <c r="S1280" s="49">
        <f t="shared" si="236"/>
        <v>7750</v>
      </c>
    </row>
    <row r="1281" spans="2:19" x14ac:dyDescent="0.2">
      <c r="B1281" s="75">
        <f t="shared" si="232"/>
        <v>633</v>
      </c>
      <c r="C1281" s="4"/>
      <c r="D1281" s="4"/>
      <c r="E1281" s="4"/>
      <c r="F1281" s="53" t="s">
        <v>167</v>
      </c>
      <c r="G1281" s="4">
        <v>632</v>
      </c>
      <c r="H1281" s="4" t="s">
        <v>140</v>
      </c>
      <c r="I1281" s="26">
        <v>580</v>
      </c>
      <c r="J1281" s="26"/>
      <c r="K1281" s="26">
        <f t="shared" si="230"/>
        <v>580</v>
      </c>
      <c r="L1281" s="76"/>
      <c r="M1281" s="26"/>
      <c r="N1281" s="26"/>
      <c r="O1281" s="26">
        <f t="shared" si="231"/>
        <v>0</v>
      </c>
      <c r="P1281" s="76"/>
      <c r="Q1281" s="26">
        <f t="shared" si="233"/>
        <v>580</v>
      </c>
      <c r="R1281" s="26">
        <f t="shared" si="236"/>
        <v>0</v>
      </c>
      <c r="S1281" s="26">
        <f t="shared" si="236"/>
        <v>580</v>
      </c>
    </row>
    <row r="1282" spans="2:19" x14ac:dyDescent="0.2">
      <c r="B1282" s="75">
        <f t="shared" si="232"/>
        <v>634</v>
      </c>
      <c r="C1282" s="4"/>
      <c r="D1282" s="4"/>
      <c r="E1282" s="4"/>
      <c r="F1282" s="53" t="s">
        <v>167</v>
      </c>
      <c r="G1282" s="4">
        <v>633</v>
      </c>
      <c r="H1282" s="4" t="s">
        <v>133</v>
      </c>
      <c r="I1282" s="26">
        <v>4150</v>
      </c>
      <c r="J1282" s="26"/>
      <c r="K1282" s="26">
        <f t="shared" si="230"/>
        <v>4150</v>
      </c>
      <c r="L1282" s="76"/>
      <c r="M1282" s="26"/>
      <c r="N1282" s="26"/>
      <c r="O1282" s="26">
        <f t="shared" si="231"/>
        <v>0</v>
      </c>
      <c r="P1282" s="76"/>
      <c r="Q1282" s="26">
        <f t="shared" si="233"/>
        <v>4150</v>
      </c>
      <c r="R1282" s="26">
        <f t="shared" si="236"/>
        <v>0</v>
      </c>
      <c r="S1282" s="26">
        <f t="shared" si="236"/>
        <v>4150</v>
      </c>
    </row>
    <row r="1283" spans="2:19" x14ac:dyDescent="0.2">
      <c r="B1283" s="75">
        <f t="shared" si="232"/>
        <v>635</v>
      </c>
      <c r="C1283" s="4"/>
      <c r="D1283" s="4"/>
      <c r="E1283" s="4"/>
      <c r="F1283" s="53" t="s">
        <v>167</v>
      </c>
      <c r="G1283" s="4">
        <v>635</v>
      </c>
      <c r="H1283" s="4" t="s">
        <v>139</v>
      </c>
      <c r="I1283" s="26">
        <v>100</v>
      </c>
      <c r="J1283" s="26"/>
      <c r="K1283" s="26">
        <f t="shared" si="230"/>
        <v>100</v>
      </c>
      <c r="L1283" s="76"/>
      <c r="M1283" s="26"/>
      <c r="N1283" s="26"/>
      <c r="O1283" s="26">
        <f t="shared" si="231"/>
        <v>0</v>
      </c>
      <c r="P1283" s="76"/>
      <c r="Q1283" s="26">
        <f t="shared" si="233"/>
        <v>100</v>
      </c>
      <c r="R1283" s="26">
        <f t="shared" si="236"/>
        <v>0</v>
      </c>
      <c r="S1283" s="26">
        <f t="shared" si="236"/>
        <v>100</v>
      </c>
    </row>
    <row r="1284" spans="2:19" x14ac:dyDescent="0.2">
      <c r="B1284" s="75">
        <f t="shared" si="232"/>
        <v>636</v>
      </c>
      <c r="C1284" s="4"/>
      <c r="D1284" s="4"/>
      <c r="E1284" s="4"/>
      <c r="F1284" s="53" t="s">
        <v>167</v>
      </c>
      <c r="G1284" s="4">
        <v>637</v>
      </c>
      <c r="H1284" s="4" t="s">
        <v>130</v>
      </c>
      <c r="I1284" s="26">
        <v>2920</v>
      </c>
      <c r="J1284" s="26"/>
      <c r="K1284" s="26">
        <f t="shared" si="230"/>
        <v>2920</v>
      </c>
      <c r="L1284" s="76"/>
      <c r="M1284" s="26"/>
      <c r="N1284" s="26"/>
      <c r="O1284" s="26">
        <f t="shared" si="231"/>
        <v>0</v>
      </c>
      <c r="P1284" s="76"/>
      <c r="Q1284" s="26">
        <f t="shared" si="233"/>
        <v>2920</v>
      </c>
      <c r="R1284" s="26">
        <f t="shared" si="236"/>
        <v>0</v>
      </c>
      <c r="S1284" s="26">
        <f t="shared" si="236"/>
        <v>2920</v>
      </c>
    </row>
    <row r="1285" spans="2:19" ht="15" x14ac:dyDescent="0.25">
      <c r="B1285" s="75">
        <f t="shared" si="232"/>
        <v>637</v>
      </c>
      <c r="C1285" s="18"/>
      <c r="D1285" s="18"/>
      <c r="E1285" s="18">
        <v>6</v>
      </c>
      <c r="F1285" s="50"/>
      <c r="G1285" s="18"/>
      <c r="H1285" s="18" t="s">
        <v>83</v>
      </c>
      <c r="I1285" s="47">
        <f>I1286+I1287+I1288+I1293+I1294+I1295+I1296+I1301</f>
        <v>68669</v>
      </c>
      <c r="J1285" s="47">
        <f>J1286+J1287+J1288+J1293+J1294+J1295+J1296+J1301</f>
        <v>0</v>
      </c>
      <c r="K1285" s="47">
        <f t="shared" si="230"/>
        <v>68669</v>
      </c>
      <c r="L1285" s="174"/>
      <c r="M1285" s="47">
        <f>M1286+M1287+M1288+M1293+M1294+M1295+M1296+M1301</f>
        <v>0</v>
      </c>
      <c r="N1285" s="47">
        <f>N1286+N1287+N1288+N1293+N1294+N1295+N1296+N1301</f>
        <v>0</v>
      </c>
      <c r="O1285" s="47">
        <f t="shared" si="231"/>
        <v>0</v>
      </c>
      <c r="P1285" s="174"/>
      <c r="Q1285" s="47">
        <f t="shared" si="233"/>
        <v>68669</v>
      </c>
      <c r="R1285" s="47">
        <f t="shared" si="236"/>
        <v>0</v>
      </c>
      <c r="S1285" s="47">
        <f t="shared" si="236"/>
        <v>68669</v>
      </c>
    </row>
    <row r="1286" spans="2:19" x14ac:dyDescent="0.2">
      <c r="B1286" s="75">
        <f t="shared" si="232"/>
        <v>638</v>
      </c>
      <c r="C1286" s="15"/>
      <c r="D1286" s="15"/>
      <c r="E1286" s="15"/>
      <c r="F1286" s="52" t="s">
        <v>82</v>
      </c>
      <c r="G1286" s="15">
        <v>610</v>
      </c>
      <c r="H1286" s="15" t="s">
        <v>137</v>
      </c>
      <c r="I1286" s="49">
        <v>20231</v>
      </c>
      <c r="J1286" s="49"/>
      <c r="K1286" s="49">
        <f t="shared" si="230"/>
        <v>20231</v>
      </c>
      <c r="L1286" s="123"/>
      <c r="M1286" s="49"/>
      <c r="N1286" s="49"/>
      <c r="O1286" s="49">
        <f t="shared" si="231"/>
        <v>0</v>
      </c>
      <c r="P1286" s="123"/>
      <c r="Q1286" s="49">
        <f t="shared" si="233"/>
        <v>20231</v>
      </c>
      <c r="R1286" s="49">
        <f t="shared" si="236"/>
        <v>0</v>
      </c>
      <c r="S1286" s="49">
        <f t="shared" si="236"/>
        <v>20231</v>
      </c>
    </row>
    <row r="1287" spans="2:19" x14ac:dyDescent="0.2">
      <c r="B1287" s="75">
        <f t="shared" si="232"/>
        <v>639</v>
      </c>
      <c r="C1287" s="15"/>
      <c r="D1287" s="15"/>
      <c r="E1287" s="15"/>
      <c r="F1287" s="52" t="s">
        <v>82</v>
      </c>
      <c r="G1287" s="15">
        <v>620</v>
      </c>
      <c r="H1287" s="15" t="s">
        <v>132</v>
      </c>
      <c r="I1287" s="49">
        <v>7616</v>
      </c>
      <c r="J1287" s="49"/>
      <c r="K1287" s="49">
        <f t="shared" si="230"/>
        <v>7616</v>
      </c>
      <c r="L1287" s="123"/>
      <c r="M1287" s="49"/>
      <c r="N1287" s="49"/>
      <c r="O1287" s="49">
        <f t="shared" si="231"/>
        <v>0</v>
      </c>
      <c r="P1287" s="123"/>
      <c r="Q1287" s="49">
        <f t="shared" si="233"/>
        <v>7616</v>
      </c>
      <c r="R1287" s="49">
        <f t="shared" si="236"/>
        <v>0</v>
      </c>
      <c r="S1287" s="49">
        <f t="shared" si="236"/>
        <v>7616</v>
      </c>
    </row>
    <row r="1288" spans="2:19" x14ac:dyDescent="0.2">
      <c r="B1288" s="75">
        <f t="shared" si="232"/>
        <v>640</v>
      </c>
      <c r="C1288" s="15"/>
      <c r="D1288" s="15"/>
      <c r="E1288" s="15"/>
      <c r="F1288" s="52" t="s">
        <v>82</v>
      </c>
      <c r="G1288" s="15">
        <v>630</v>
      </c>
      <c r="H1288" s="15" t="s">
        <v>129</v>
      </c>
      <c r="I1288" s="49">
        <f>I1292+I1291+I1290+I1289</f>
        <v>6380</v>
      </c>
      <c r="J1288" s="49">
        <f>J1292+J1291+J1290+J1289</f>
        <v>0</v>
      </c>
      <c r="K1288" s="49">
        <f t="shared" si="230"/>
        <v>6380</v>
      </c>
      <c r="L1288" s="123"/>
      <c r="M1288" s="49">
        <f>M1292+M1291+M1290+M1289</f>
        <v>0</v>
      </c>
      <c r="N1288" s="49">
        <f>N1292+N1291+N1290+N1289</f>
        <v>0</v>
      </c>
      <c r="O1288" s="49">
        <f t="shared" si="231"/>
        <v>0</v>
      </c>
      <c r="P1288" s="123"/>
      <c r="Q1288" s="49">
        <f t="shared" si="233"/>
        <v>6380</v>
      </c>
      <c r="R1288" s="49">
        <f t="shared" si="236"/>
        <v>0</v>
      </c>
      <c r="S1288" s="49">
        <f t="shared" si="236"/>
        <v>6380</v>
      </c>
    </row>
    <row r="1289" spans="2:19" x14ac:dyDescent="0.2">
      <c r="B1289" s="75">
        <f t="shared" si="232"/>
        <v>641</v>
      </c>
      <c r="C1289" s="4"/>
      <c r="D1289" s="4"/>
      <c r="E1289" s="4"/>
      <c r="F1289" s="53" t="s">
        <v>82</v>
      </c>
      <c r="G1289" s="4">
        <v>632</v>
      </c>
      <c r="H1289" s="4" t="s">
        <v>140</v>
      </c>
      <c r="I1289" s="26">
        <v>4534</v>
      </c>
      <c r="J1289" s="26"/>
      <c r="K1289" s="26">
        <f t="shared" si="230"/>
        <v>4534</v>
      </c>
      <c r="L1289" s="76"/>
      <c r="M1289" s="26"/>
      <c r="N1289" s="26"/>
      <c r="O1289" s="26">
        <f t="shared" si="231"/>
        <v>0</v>
      </c>
      <c r="P1289" s="76"/>
      <c r="Q1289" s="26">
        <f t="shared" si="233"/>
        <v>4534</v>
      </c>
      <c r="R1289" s="26">
        <f t="shared" si="236"/>
        <v>0</v>
      </c>
      <c r="S1289" s="26">
        <f t="shared" si="236"/>
        <v>4534</v>
      </c>
    </row>
    <row r="1290" spans="2:19" x14ac:dyDescent="0.2">
      <c r="B1290" s="75">
        <f t="shared" si="232"/>
        <v>642</v>
      </c>
      <c r="C1290" s="4"/>
      <c r="D1290" s="4"/>
      <c r="E1290" s="4"/>
      <c r="F1290" s="53" t="s">
        <v>82</v>
      </c>
      <c r="G1290" s="4">
        <v>633</v>
      </c>
      <c r="H1290" s="4" t="s">
        <v>133</v>
      </c>
      <c r="I1290" s="26">
        <v>510</v>
      </c>
      <c r="J1290" s="26"/>
      <c r="K1290" s="26">
        <f t="shared" si="230"/>
        <v>510</v>
      </c>
      <c r="L1290" s="76"/>
      <c r="M1290" s="26"/>
      <c r="N1290" s="26"/>
      <c r="O1290" s="26">
        <f t="shared" si="231"/>
        <v>0</v>
      </c>
      <c r="P1290" s="76"/>
      <c r="Q1290" s="26">
        <f t="shared" si="233"/>
        <v>510</v>
      </c>
      <c r="R1290" s="26">
        <f t="shared" si="236"/>
        <v>0</v>
      </c>
      <c r="S1290" s="26">
        <f t="shared" si="236"/>
        <v>510</v>
      </c>
    </row>
    <row r="1291" spans="2:19" x14ac:dyDescent="0.2">
      <c r="B1291" s="75">
        <f t="shared" si="232"/>
        <v>643</v>
      </c>
      <c r="C1291" s="4"/>
      <c r="D1291" s="4"/>
      <c r="E1291" s="4"/>
      <c r="F1291" s="53" t="s">
        <v>82</v>
      </c>
      <c r="G1291" s="4">
        <v>635</v>
      </c>
      <c r="H1291" s="4" t="s">
        <v>139</v>
      </c>
      <c r="I1291" s="26">
        <v>204</v>
      </c>
      <c r="J1291" s="26"/>
      <c r="K1291" s="26">
        <f t="shared" si="230"/>
        <v>204</v>
      </c>
      <c r="L1291" s="76"/>
      <c r="M1291" s="26"/>
      <c r="N1291" s="26"/>
      <c r="O1291" s="26">
        <f t="shared" si="231"/>
        <v>0</v>
      </c>
      <c r="P1291" s="76"/>
      <c r="Q1291" s="26">
        <f t="shared" si="233"/>
        <v>204</v>
      </c>
      <c r="R1291" s="26">
        <f t="shared" si="236"/>
        <v>0</v>
      </c>
      <c r="S1291" s="26">
        <f t="shared" si="236"/>
        <v>204</v>
      </c>
    </row>
    <row r="1292" spans="2:19" x14ac:dyDescent="0.2">
      <c r="B1292" s="75">
        <f t="shared" si="232"/>
        <v>644</v>
      </c>
      <c r="C1292" s="4"/>
      <c r="D1292" s="4"/>
      <c r="E1292" s="4"/>
      <c r="F1292" s="53" t="s">
        <v>82</v>
      </c>
      <c r="G1292" s="4">
        <v>637</v>
      </c>
      <c r="H1292" s="4" t="s">
        <v>130</v>
      </c>
      <c r="I1292" s="26">
        <v>1132</v>
      </c>
      <c r="J1292" s="26"/>
      <c r="K1292" s="26">
        <f t="shared" si="230"/>
        <v>1132</v>
      </c>
      <c r="L1292" s="76"/>
      <c r="M1292" s="26"/>
      <c r="N1292" s="26"/>
      <c r="O1292" s="26">
        <f t="shared" si="231"/>
        <v>0</v>
      </c>
      <c r="P1292" s="76"/>
      <c r="Q1292" s="26">
        <f t="shared" si="233"/>
        <v>1132</v>
      </c>
      <c r="R1292" s="26">
        <f t="shared" si="236"/>
        <v>0</v>
      </c>
      <c r="S1292" s="26">
        <f t="shared" si="236"/>
        <v>1132</v>
      </c>
    </row>
    <row r="1293" spans="2:19" x14ac:dyDescent="0.2">
      <c r="B1293" s="75">
        <f t="shared" si="232"/>
        <v>645</v>
      </c>
      <c r="C1293" s="15"/>
      <c r="D1293" s="15"/>
      <c r="E1293" s="15"/>
      <c r="F1293" s="52" t="s">
        <v>82</v>
      </c>
      <c r="G1293" s="15">
        <v>640</v>
      </c>
      <c r="H1293" s="15" t="s">
        <v>136</v>
      </c>
      <c r="I1293" s="49">
        <v>107</v>
      </c>
      <c r="J1293" s="49"/>
      <c r="K1293" s="49">
        <f t="shared" si="230"/>
        <v>107</v>
      </c>
      <c r="L1293" s="123"/>
      <c r="M1293" s="49"/>
      <c r="N1293" s="49"/>
      <c r="O1293" s="49">
        <f t="shared" si="231"/>
        <v>0</v>
      </c>
      <c r="P1293" s="123"/>
      <c r="Q1293" s="49">
        <f t="shared" si="233"/>
        <v>107</v>
      </c>
      <c r="R1293" s="49">
        <f t="shared" si="236"/>
        <v>0</v>
      </c>
      <c r="S1293" s="49">
        <f t="shared" si="236"/>
        <v>107</v>
      </c>
    </row>
    <row r="1294" spans="2:19" x14ac:dyDescent="0.2">
      <c r="B1294" s="75">
        <f t="shared" si="232"/>
        <v>646</v>
      </c>
      <c r="C1294" s="15"/>
      <c r="D1294" s="15"/>
      <c r="E1294" s="15"/>
      <c r="F1294" s="52" t="s">
        <v>273</v>
      </c>
      <c r="G1294" s="15">
        <v>610</v>
      </c>
      <c r="H1294" s="15" t="s">
        <v>137</v>
      </c>
      <c r="I1294" s="49">
        <v>20232</v>
      </c>
      <c r="J1294" s="49"/>
      <c r="K1294" s="49">
        <f t="shared" si="230"/>
        <v>20232</v>
      </c>
      <c r="L1294" s="123"/>
      <c r="M1294" s="49"/>
      <c r="N1294" s="49"/>
      <c r="O1294" s="49">
        <f t="shared" si="231"/>
        <v>0</v>
      </c>
      <c r="P1294" s="123"/>
      <c r="Q1294" s="49">
        <f t="shared" si="233"/>
        <v>20232</v>
      </c>
      <c r="R1294" s="49">
        <f t="shared" ref="R1294:S1309" si="237">N1294+J1294</f>
        <v>0</v>
      </c>
      <c r="S1294" s="49">
        <f t="shared" si="237"/>
        <v>20232</v>
      </c>
    </row>
    <row r="1295" spans="2:19" x14ac:dyDescent="0.2">
      <c r="B1295" s="75">
        <f t="shared" si="232"/>
        <v>647</v>
      </c>
      <c r="C1295" s="15"/>
      <c r="D1295" s="15"/>
      <c r="E1295" s="15"/>
      <c r="F1295" s="52" t="s">
        <v>273</v>
      </c>
      <c r="G1295" s="15">
        <v>620</v>
      </c>
      <c r="H1295" s="15" t="s">
        <v>132</v>
      </c>
      <c r="I1295" s="49">
        <v>7616</v>
      </c>
      <c r="J1295" s="49"/>
      <c r="K1295" s="49">
        <f t="shared" si="230"/>
        <v>7616</v>
      </c>
      <c r="L1295" s="123"/>
      <c r="M1295" s="49"/>
      <c r="N1295" s="49"/>
      <c r="O1295" s="49">
        <f t="shared" si="231"/>
        <v>0</v>
      </c>
      <c r="P1295" s="123"/>
      <c r="Q1295" s="49">
        <f t="shared" si="233"/>
        <v>7616</v>
      </c>
      <c r="R1295" s="49">
        <f t="shared" si="237"/>
        <v>0</v>
      </c>
      <c r="S1295" s="49">
        <f t="shared" si="237"/>
        <v>7616</v>
      </c>
    </row>
    <row r="1296" spans="2:19" x14ac:dyDescent="0.2">
      <c r="B1296" s="75">
        <f t="shared" si="232"/>
        <v>648</v>
      </c>
      <c r="C1296" s="15"/>
      <c r="D1296" s="15"/>
      <c r="E1296" s="15"/>
      <c r="F1296" s="52" t="s">
        <v>273</v>
      </c>
      <c r="G1296" s="15">
        <v>630</v>
      </c>
      <c r="H1296" s="15" t="s">
        <v>129</v>
      </c>
      <c r="I1296" s="49">
        <f>I1300+I1299+I1298+I1297</f>
        <v>6380</v>
      </c>
      <c r="J1296" s="49">
        <f>J1300+J1299+J1298+J1297</f>
        <v>0</v>
      </c>
      <c r="K1296" s="49">
        <f t="shared" si="230"/>
        <v>6380</v>
      </c>
      <c r="L1296" s="123"/>
      <c r="M1296" s="49">
        <f>M1300+M1299+M1298+M1297</f>
        <v>0</v>
      </c>
      <c r="N1296" s="49">
        <f>N1300+N1299+N1298+N1297</f>
        <v>0</v>
      </c>
      <c r="O1296" s="49">
        <f t="shared" si="231"/>
        <v>0</v>
      </c>
      <c r="P1296" s="123"/>
      <c r="Q1296" s="49">
        <f t="shared" si="233"/>
        <v>6380</v>
      </c>
      <c r="R1296" s="49">
        <f t="shared" si="237"/>
        <v>0</v>
      </c>
      <c r="S1296" s="49">
        <f t="shared" si="237"/>
        <v>6380</v>
      </c>
    </row>
    <row r="1297" spans="2:19" x14ac:dyDescent="0.2">
      <c r="B1297" s="75">
        <f t="shared" si="232"/>
        <v>649</v>
      </c>
      <c r="C1297" s="4"/>
      <c r="D1297" s="4"/>
      <c r="E1297" s="4"/>
      <c r="F1297" s="53" t="s">
        <v>273</v>
      </c>
      <c r="G1297" s="4">
        <v>632</v>
      </c>
      <c r="H1297" s="4" t="s">
        <v>140</v>
      </c>
      <c r="I1297" s="26">
        <v>4534</v>
      </c>
      <c r="J1297" s="26"/>
      <c r="K1297" s="26">
        <f t="shared" si="230"/>
        <v>4534</v>
      </c>
      <c r="L1297" s="76"/>
      <c r="M1297" s="26"/>
      <c r="N1297" s="26"/>
      <c r="O1297" s="26">
        <f t="shared" si="231"/>
        <v>0</v>
      </c>
      <c r="P1297" s="76"/>
      <c r="Q1297" s="26">
        <f t="shared" si="233"/>
        <v>4534</v>
      </c>
      <c r="R1297" s="26">
        <f t="shared" si="237"/>
        <v>0</v>
      </c>
      <c r="S1297" s="26">
        <f t="shared" si="237"/>
        <v>4534</v>
      </c>
    </row>
    <row r="1298" spans="2:19" x14ac:dyDescent="0.2">
      <c r="B1298" s="75">
        <f t="shared" si="232"/>
        <v>650</v>
      </c>
      <c r="C1298" s="4"/>
      <c r="D1298" s="4"/>
      <c r="E1298" s="4"/>
      <c r="F1298" s="53" t="s">
        <v>273</v>
      </c>
      <c r="G1298" s="4">
        <v>633</v>
      </c>
      <c r="H1298" s="4" t="s">
        <v>133</v>
      </c>
      <c r="I1298" s="26">
        <v>510</v>
      </c>
      <c r="J1298" s="26"/>
      <c r="K1298" s="26">
        <f t="shared" si="230"/>
        <v>510</v>
      </c>
      <c r="L1298" s="76"/>
      <c r="M1298" s="26"/>
      <c r="N1298" s="26"/>
      <c r="O1298" s="26">
        <f t="shared" si="231"/>
        <v>0</v>
      </c>
      <c r="P1298" s="76"/>
      <c r="Q1298" s="26">
        <f t="shared" si="233"/>
        <v>510</v>
      </c>
      <c r="R1298" s="26">
        <f t="shared" si="237"/>
        <v>0</v>
      </c>
      <c r="S1298" s="26">
        <f t="shared" si="237"/>
        <v>510</v>
      </c>
    </row>
    <row r="1299" spans="2:19" x14ac:dyDescent="0.2">
      <c r="B1299" s="75">
        <f t="shared" si="232"/>
        <v>651</v>
      </c>
      <c r="C1299" s="4"/>
      <c r="D1299" s="4"/>
      <c r="E1299" s="4"/>
      <c r="F1299" s="53" t="s">
        <v>273</v>
      </c>
      <c r="G1299" s="4">
        <v>635</v>
      </c>
      <c r="H1299" s="4" t="s">
        <v>139</v>
      </c>
      <c r="I1299" s="26">
        <v>204</v>
      </c>
      <c r="J1299" s="26"/>
      <c r="K1299" s="26">
        <f t="shared" si="230"/>
        <v>204</v>
      </c>
      <c r="L1299" s="76"/>
      <c r="M1299" s="26"/>
      <c r="N1299" s="26"/>
      <c r="O1299" s="26">
        <f t="shared" si="231"/>
        <v>0</v>
      </c>
      <c r="P1299" s="76"/>
      <c r="Q1299" s="26">
        <f t="shared" si="233"/>
        <v>204</v>
      </c>
      <c r="R1299" s="26">
        <f t="shared" si="237"/>
        <v>0</v>
      </c>
      <c r="S1299" s="26">
        <f t="shared" si="237"/>
        <v>204</v>
      </c>
    </row>
    <row r="1300" spans="2:19" x14ac:dyDescent="0.2">
      <c r="B1300" s="75">
        <f t="shared" si="232"/>
        <v>652</v>
      </c>
      <c r="C1300" s="4"/>
      <c r="D1300" s="4"/>
      <c r="E1300" s="4"/>
      <c r="F1300" s="53" t="s">
        <v>273</v>
      </c>
      <c r="G1300" s="4">
        <v>637</v>
      </c>
      <c r="H1300" s="4" t="s">
        <v>130</v>
      </c>
      <c r="I1300" s="26">
        <v>1132</v>
      </c>
      <c r="J1300" s="26"/>
      <c r="K1300" s="26">
        <f t="shared" si="230"/>
        <v>1132</v>
      </c>
      <c r="L1300" s="76"/>
      <c r="M1300" s="26"/>
      <c r="N1300" s="26"/>
      <c r="O1300" s="26">
        <f t="shared" si="231"/>
        <v>0</v>
      </c>
      <c r="P1300" s="76"/>
      <c r="Q1300" s="26">
        <f t="shared" si="233"/>
        <v>1132</v>
      </c>
      <c r="R1300" s="26">
        <f t="shared" si="237"/>
        <v>0</v>
      </c>
      <c r="S1300" s="26">
        <f t="shared" si="237"/>
        <v>1132</v>
      </c>
    </row>
    <row r="1301" spans="2:19" x14ac:dyDescent="0.2">
      <c r="B1301" s="75">
        <f t="shared" si="232"/>
        <v>653</v>
      </c>
      <c r="C1301" s="15"/>
      <c r="D1301" s="15"/>
      <c r="E1301" s="15"/>
      <c r="F1301" s="52" t="s">
        <v>273</v>
      </c>
      <c r="G1301" s="15">
        <v>640</v>
      </c>
      <c r="H1301" s="15" t="s">
        <v>136</v>
      </c>
      <c r="I1301" s="49">
        <v>107</v>
      </c>
      <c r="J1301" s="49"/>
      <c r="K1301" s="49">
        <f t="shared" ref="K1301:K1366" si="238">I1301+J1301</f>
        <v>107</v>
      </c>
      <c r="L1301" s="123"/>
      <c r="M1301" s="49"/>
      <c r="N1301" s="49"/>
      <c r="O1301" s="49">
        <f t="shared" ref="O1301:O1366" si="239">M1301+N1301</f>
        <v>0</v>
      </c>
      <c r="P1301" s="123"/>
      <c r="Q1301" s="49">
        <f t="shared" si="233"/>
        <v>107</v>
      </c>
      <c r="R1301" s="49">
        <f t="shared" si="237"/>
        <v>0</v>
      </c>
      <c r="S1301" s="49">
        <f t="shared" si="237"/>
        <v>107</v>
      </c>
    </row>
    <row r="1302" spans="2:19" ht="15" x14ac:dyDescent="0.25">
      <c r="B1302" s="75">
        <f t="shared" ref="B1302:B1367" si="240">B1301+1</f>
        <v>654</v>
      </c>
      <c r="C1302" s="18"/>
      <c r="D1302" s="18"/>
      <c r="E1302" s="18">
        <v>7</v>
      </c>
      <c r="F1302" s="50"/>
      <c r="G1302" s="18"/>
      <c r="H1302" s="18" t="s">
        <v>324</v>
      </c>
      <c r="I1302" s="47">
        <f>I1303+I1304+I1305+I1310+I1311+I1312+I1313+I1318</f>
        <v>92856</v>
      </c>
      <c r="J1302" s="47">
        <f>J1303+J1304+J1305+J1310+J1311+J1312+J1313+J1318</f>
        <v>745</v>
      </c>
      <c r="K1302" s="47">
        <f t="shared" si="238"/>
        <v>93601</v>
      </c>
      <c r="L1302" s="174"/>
      <c r="M1302" s="47">
        <f>M1303+M1304+M1305+M1310+M1311+M1312+M1313+M1318</f>
        <v>0</v>
      </c>
      <c r="N1302" s="47">
        <f>N1303+N1304+N1305+N1310+N1311+N1312+N1313+N1318</f>
        <v>0</v>
      </c>
      <c r="O1302" s="47">
        <f t="shared" si="239"/>
        <v>0</v>
      </c>
      <c r="P1302" s="174"/>
      <c r="Q1302" s="47">
        <f t="shared" si="233"/>
        <v>92856</v>
      </c>
      <c r="R1302" s="47">
        <f t="shared" si="237"/>
        <v>745</v>
      </c>
      <c r="S1302" s="47">
        <f t="shared" si="237"/>
        <v>93601</v>
      </c>
    </row>
    <row r="1303" spans="2:19" x14ac:dyDescent="0.2">
      <c r="B1303" s="75">
        <f t="shared" si="240"/>
        <v>655</v>
      </c>
      <c r="C1303" s="15"/>
      <c r="D1303" s="15"/>
      <c r="E1303" s="15"/>
      <c r="F1303" s="52" t="s">
        <v>82</v>
      </c>
      <c r="G1303" s="15">
        <v>610</v>
      </c>
      <c r="H1303" s="15" t="s">
        <v>137</v>
      </c>
      <c r="I1303" s="49">
        <f>21509+3470</f>
        <v>24979</v>
      </c>
      <c r="J1303" s="49"/>
      <c r="K1303" s="49">
        <f t="shared" si="238"/>
        <v>24979</v>
      </c>
      <c r="L1303" s="123"/>
      <c r="M1303" s="49"/>
      <c r="N1303" s="49"/>
      <c r="O1303" s="49">
        <f t="shared" si="239"/>
        <v>0</v>
      </c>
      <c r="P1303" s="123"/>
      <c r="Q1303" s="49">
        <f t="shared" si="233"/>
        <v>24979</v>
      </c>
      <c r="R1303" s="49">
        <f t="shared" si="237"/>
        <v>0</v>
      </c>
      <c r="S1303" s="49">
        <f t="shared" si="237"/>
        <v>24979</v>
      </c>
    </row>
    <row r="1304" spans="2:19" x14ac:dyDescent="0.2">
      <c r="B1304" s="75">
        <f t="shared" si="240"/>
        <v>656</v>
      </c>
      <c r="C1304" s="15"/>
      <c r="D1304" s="15"/>
      <c r="E1304" s="15"/>
      <c r="F1304" s="52" t="s">
        <v>82</v>
      </c>
      <c r="G1304" s="15">
        <v>620</v>
      </c>
      <c r="H1304" s="15" t="s">
        <v>132</v>
      </c>
      <c r="I1304" s="49">
        <f>7983+1221</f>
        <v>9204</v>
      </c>
      <c r="J1304" s="49"/>
      <c r="K1304" s="49">
        <f t="shared" si="238"/>
        <v>9204</v>
      </c>
      <c r="L1304" s="123"/>
      <c r="M1304" s="49"/>
      <c r="N1304" s="49"/>
      <c r="O1304" s="49">
        <f t="shared" si="239"/>
        <v>0</v>
      </c>
      <c r="P1304" s="123"/>
      <c r="Q1304" s="49">
        <f t="shared" si="233"/>
        <v>9204</v>
      </c>
      <c r="R1304" s="49">
        <f t="shared" si="237"/>
        <v>0</v>
      </c>
      <c r="S1304" s="49">
        <f t="shared" si="237"/>
        <v>9204</v>
      </c>
    </row>
    <row r="1305" spans="2:19" x14ac:dyDescent="0.2">
      <c r="B1305" s="75">
        <f t="shared" si="240"/>
        <v>657</v>
      </c>
      <c r="C1305" s="15"/>
      <c r="D1305" s="15"/>
      <c r="E1305" s="15"/>
      <c r="F1305" s="52" t="s">
        <v>82</v>
      </c>
      <c r="G1305" s="15">
        <v>630</v>
      </c>
      <c r="H1305" s="15" t="s">
        <v>129</v>
      </c>
      <c r="I1305" s="49">
        <f>I1309+I1308+I1307+I1306</f>
        <v>4756</v>
      </c>
      <c r="J1305" s="49">
        <f>J1309+J1308+J1307+J1306</f>
        <v>0</v>
      </c>
      <c r="K1305" s="49">
        <f t="shared" si="238"/>
        <v>4756</v>
      </c>
      <c r="L1305" s="123"/>
      <c r="M1305" s="49">
        <f>M1309+M1308+M1307+M1306</f>
        <v>0</v>
      </c>
      <c r="N1305" s="49">
        <f>N1309+N1308+N1307+N1306</f>
        <v>0</v>
      </c>
      <c r="O1305" s="49">
        <f t="shared" si="239"/>
        <v>0</v>
      </c>
      <c r="P1305" s="123"/>
      <c r="Q1305" s="49">
        <f t="shared" si="233"/>
        <v>4756</v>
      </c>
      <c r="R1305" s="49">
        <f t="shared" si="237"/>
        <v>0</v>
      </c>
      <c r="S1305" s="49">
        <f t="shared" si="237"/>
        <v>4756</v>
      </c>
    </row>
    <row r="1306" spans="2:19" x14ac:dyDescent="0.2">
      <c r="B1306" s="75">
        <f t="shared" si="240"/>
        <v>658</v>
      </c>
      <c r="C1306" s="4"/>
      <c r="D1306" s="4"/>
      <c r="E1306" s="4"/>
      <c r="F1306" s="53" t="s">
        <v>82</v>
      </c>
      <c r="G1306" s="4">
        <v>632</v>
      </c>
      <c r="H1306" s="4" t="s">
        <v>140</v>
      </c>
      <c r="I1306" s="26">
        <v>1290</v>
      </c>
      <c r="J1306" s="26"/>
      <c r="K1306" s="26">
        <f t="shared" si="238"/>
        <v>1290</v>
      </c>
      <c r="L1306" s="76"/>
      <c r="M1306" s="26"/>
      <c r="N1306" s="26"/>
      <c r="O1306" s="26">
        <f t="shared" si="239"/>
        <v>0</v>
      </c>
      <c r="P1306" s="76"/>
      <c r="Q1306" s="26">
        <f t="shared" si="233"/>
        <v>1290</v>
      </c>
      <c r="R1306" s="26">
        <f t="shared" si="237"/>
        <v>0</v>
      </c>
      <c r="S1306" s="26">
        <f t="shared" si="237"/>
        <v>1290</v>
      </c>
    </row>
    <row r="1307" spans="2:19" x14ac:dyDescent="0.2">
      <c r="B1307" s="75">
        <f t="shared" si="240"/>
        <v>659</v>
      </c>
      <c r="C1307" s="4"/>
      <c r="D1307" s="4"/>
      <c r="E1307" s="4"/>
      <c r="F1307" s="53" t="s">
        <v>82</v>
      </c>
      <c r="G1307" s="4">
        <v>633</v>
      </c>
      <c r="H1307" s="4" t="s">
        <v>133</v>
      </c>
      <c r="I1307" s="26">
        <v>1316</v>
      </c>
      <c r="J1307" s="26"/>
      <c r="K1307" s="26">
        <f t="shared" si="238"/>
        <v>1316</v>
      </c>
      <c r="L1307" s="76"/>
      <c r="M1307" s="26"/>
      <c r="N1307" s="26"/>
      <c r="O1307" s="26">
        <f t="shared" si="239"/>
        <v>0</v>
      </c>
      <c r="P1307" s="76"/>
      <c r="Q1307" s="26">
        <f t="shared" si="233"/>
        <v>1316</v>
      </c>
      <c r="R1307" s="26">
        <f t="shared" si="237"/>
        <v>0</v>
      </c>
      <c r="S1307" s="26">
        <f t="shared" si="237"/>
        <v>1316</v>
      </c>
    </row>
    <row r="1308" spans="2:19" x14ac:dyDescent="0.2">
      <c r="B1308" s="75">
        <f t="shared" si="240"/>
        <v>660</v>
      </c>
      <c r="C1308" s="4"/>
      <c r="D1308" s="4"/>
      <c r="E1308" s="4"/>
      <c r="F1308" s="53" t="s">
        <v>82</v>
      </c>
      <c r="G1308" s="4">
        <v>635</v>
      </c>
      <c r="H1308" s="4" t="s">
        <v>139</v>
      </c>
      <c r="I1308" s="26">
        <v>645</v>
      </c>
      <c r="J1308" s="26"/>
      <c r="K1308" s="26">
        <f t="shared" si="238"/>
        <v>645</v>
      </c>
      <c r="L1308" s="76"/>
      <c r="M1308" s="26"/>
      <c r="N1308" s="26"/>
      <c r="O1308" s="26">
        <f t="shared" si="239"/>
        <v>0</v>
      </c>
      <c r="P1308" s="76"/>
      <c r="Q1308" s="26">
        <f t="shared" si="233"/>
        <v>645</v>
      </c>
      <c r="R1308" s="26">
        <f t="shared" si="237"/>
        <v>0</v>
      </c>
      <c r="S1308" s="26">
        <f t="shared" si="237"/>
        <v>645</v>
      </c>
    </row>
    <row r="1309" spans="2:19" x14ac:dyDescent="0.2">
      <c r="B1309" s="75">
        <f t="shared" si="240"/>
        <v>661</v>
      </c>
      <c r="C1309" s="4"/>
      <c r="D1309" s="4"/>
      <c r="E1309" s="4"/>
      <c r="F1309" s="53" t="s">
        <v>82</v>
      </c>
      <c r="G1309" s="4">
        <v>637</v>
      </c>
      <c r="H1309" s="4" t="s">
        <v>130</v>
      </c>
      <c r="I1309" s="26">
        <v>1505</v>
      </c>
      <c r="J1309" s="26"/>
      <c r="K1309" s="26">
        <f t="shared" si="238"/>
        <v>1505</v>
      </c>
      <c r="L1309" s="76"/>
      <c r="M1309" s="26"/>
      <c r="N1309" s="26"/>
      <c r="O1309" s="26">
        <f t="shared" si="239"/>
        <v>0</v>
      </c>
      <c r="P1309" s="76"/>
      <c r="Q1309" s="26">
        <f t="shared" si="233"/>
        <v>1505</v>
      </c>
      <c r="R1309" s="26">
        <f t="shared" si="237"/>
        <v>0</v>
      </c>
      <c r="S1309" s="26">
        <f t="shared" si="237"/>
        <v>1505</v>
      </c>
    </row>
    <row r="1310" spans="2:19" x14ac:dyDescent="0.2">
      <c r="B1310" s="75">
        <f t="shared" si="240"/>
        <v>662</v>
      </c>
      <c r="C1310" s="15"/>
      <c r="D1310" s="15"/>
      <c r="E1310" s="15"/>
      <c r="F1310" s="52" t="s">
        <v>82</v>
      </c>
      <c r="G1310" s="15">
        <v>640</v>
      </c>
      <c r="H1310" s="15" t="s">
        <v>136</v>
      </c>
      <c r="I1310" s="49">
        <v>758</v>
      </c>
      <c r="J1310" s="49"/>
      <c r="K1310" s="49">
        <f t="shared" si="238"/>
        <v>758</v>
      </c>
      <c r="L1310" s="123"/>
      <c r="M1310" s="49"/>
      <c r="N1310" s="49"/>
      <c r="O1310" s="49">
        <f t="shared" si="239"/>
        <v>0</v>
      </c>
      <c r="P1310" s="123"/>
      <c r="Q1310" s="49">
        <f t="shared" ref="Q1310:Q1375" si="241">M1310+I1310</f>
        <v>758</v>
      </c>
      <c r="R1310" s="49">
        <f t="shared" ref="R1310:S1325" si="242">N1310+J1310</f>
        <v>0</v>
      </c>
      <c r="S1310" s="49">
        <f t="shared" si="242"/>
        <v>758</v>
      </c>
    </row>
    <row r="1311" spans="2:19" x14ac:dyDescent="0.2">
      <c r="B1311" s="75">
        <f t="shared" si="240"/>
        <v>663</v>
      </c>
      <c r="C1311" s="15"/>
      <c r="D1311" s="15"/>
      <c r="E1311" s="15"/>
      <c r="F1311" s="52" t="s">
        <v>273</v>
      </c>
      <c r="G1311" s="15">
        <v>610</v>
      </c>
      <c r="H1311" s="15" t="s">
        <v>137</v>
      </c>
      <c r="I1311" s="49">
        <f>28512+5015</f>
        <v>33527</v>
      </c>
      <c r="J1311" s="49"/>
      <c r="K1311" s="49">
        <f t="shared" si="238"/>
        <v>33527</v>
      </c>
      <c r="L1311" s="123"/>
      <c r="M1311" s="49"/>
      <c r="N1311" s="49"/>
      <c r="O1311" s="49">
        <f t="shared" si="239"/>
        <v>0</v>
      </c>
      <c r="P1311" s="123"/>
      <c r="Q1311" s="49">
        <f t="shared" si="241"/>
        <v>33527</v>
      </c>
      <c r="R1311" s="49">
        <f t="shared" si="242"/>
        <v>0</v>
      </c>
      <c r="S1311" s="49">
        <f t="shared" si="242"/>
        <v>33527</v>
      </c>
    </row>
    <row r="1312" spans="2:19" x14ac:dyDescent="0.2">
      <c r="B1312" s="75">
        <f t="shared" si="240"/>
        <v>664</v>
      </c>
      <c r="C1312" s="15"/>
      <c r="D1312" s="15"/>
      <c r="E1312" s="15"/>
      <c r="F1312" s="52" t="s">
        <v>273</v>
      </c>
      <c r="G1312" s="15">
        <v>620</v>
      </c>
      <c r="H1312" s="15" t="s">
        <v>132</v>
      </c>
      <c r="I1312" s="49">
        <f>10581+1765</f>
        <v>12346</v>
      </c>
      <c r="J1312" s="49"/>
      <c r="K1312" s="49">
        <f t="shared" si="238"/>
        <v>12346</v>
      </c>
      <c r="L1312" s="123"/>
      <c r="M1312" s="49"/>
      <c r="N1312" s="49"/>
      <c r="O1312" s="49">
        <f t="shared" si="239"/>
        <v>0</v>
      </c>
      <c r="P1312" s="123"/>
      <c r="Q1312" s="49">
        <f t="shared" si="241"/>
        <v>12346</v>
      </c>
      <c r="R1312" s="49">
        <f t="shared" si="242"/>
        <v>0</v>
      </c>
      <c r="S1312" s="49">
        <f t="shared" si="242"/>
        <v>12346</v>
      </c>
    </row>
    <row r="1313" spans="2:19" x14ac:dyDescent="0.2">
      <c r="B1313" s="75">
        <f t="shared" si="240"/>
        <v>665</v>
      </c>
      <c r="C1313" s="15"/>
      <c r="D1313" s="15"/>
      <c r="E1313" s="15"/>
      <c r="F1313" s="52" t="s">
        <v>273</v>
      </c>
      <c r="G1313" s="15">
        <v>630</v>
      </c>
      <c r="H1313" s="15" t="s">
        <v>129</v>
      </c>
      <c r="I1313" s="49">
        <f>I1317+I1316+I1315+I1314</f>
        <v>6304</v>
      </c>
      <c r="J1313" s="49">
        <f>J1317+J1316+J1315+J1314</f>
        <v>745</v>
      </c>
      <c r="K1313" s="49">
        <f t="shared" si="238"/>
        <v>7049</v>
      </c>
      <c r="L1313" s="123"/>
      <c r="M1313" s="49">
        <f>M1317+M1316+M1315+M1314</f>
        <v>0</v>
      </c>
      <c r="N1313" s="49">
        <f>N1317+N1316+N1315+N1314</f>
        <v>0</v>
      </c>
      <c r="O1313" s="49">
        <f t="shared" si="239"/>
        <v>0</v>
      </c>
      <c r="P1313" s="123"/>
      <c r="Q1313" s="49">
        <f t="shared" si="241"/>
        <v>6304</v>
      </c>
      <c r="R1313" s="49">
        <f t="shared" si="242"/>
        <v>745</v>
      </c>
      <c r="S1313" s="49">
        <f t="shared" si="242"/>
        <v>7049</v>
      </c>
    </row>
    <row r="1314" spans="2:19" x14ac:dyDescent="0.2">
      <c r="B1314" s="75">
        <f t="shared" si="240"/>
        <v>666</v>
      </c>
      <c r="C1314" s="4"/>
      <c r="D1314" s="4"/>
      <c r="E1314" s="4"/>
      <c r="F1314" s="53" t="s">
        <v>273</v>
      </c>
      <c r="G1314" s="4">
        <v>632</v>
      </c>
      <c r="H1314" s="4" t="s">
        <v>140</v>
      </c>
      <c r="I1314" s="26">
        <v>1710</v>
      </c>
      <c r="J1314" s="26"/>
      <c r="K1314" s="26">
        <f t="shared" si="238"/>
        <v>1710</v>
      </c>
      <c r="L1314" s="76"/>
      <c r="M1314" s="26"/>
      <c r="N1314" s="26"/>
      <c r="O1314" s="26">
        <f t="shared" si="239"/>
        <v>0</v>
      </c>
      <c r="P1314" s="76"/>
      <c r="Q1314" s="26">
        <f t="shared" si="241"/>
        <v>1710</v>
      </c>
      <c r="R1314" s="26">
        <f t="shared" si="242"/>
        <v>0</v>
      </c>
      <c r="S1314" s="26">
        <f t="shared" si="242"/>
        <v>1710</v>
      </c>
    </row>
    <row r="1315" spans="2:19" x14ac:dyDescent="0.2">
      <c r="B1315" s="75">
        <f t="shared" si="240"/>
        <v>667</v>
      </c>
      <c r="C1315" s="4"/>
      <c r="D1315" s="4"/>
      <c r="E1315" s="4"/>
      <c r="F1315" s="53" t="s">
        <v>273</v>
      </c>
      <c r="G1315" s="4">
        <v>633</v>
      </c>
      <c r="H1315" s="4" t="s">
        <v>133</v>
      </c>
      <c r="I1315" s="26">
        <v>1744</v>
      </c>
      <c r="J1315" s="26">
        <v>745</v>
      </c>
      <c r="K1315" s="26">
        <f t="shared" si="238"/>
        <v>2489</v>
      </c>
      <c r="L1315" s="76"/>
      <c r="M1315" s="26"/>
      <c r="N1315" s="26"/>
      <c r="O1315" s="26">
        <f t="shared" si="239"/>
        <v>0</v>
      </c>
      <c r="P1315" s="76"/>
      <c r="Q1315" s="26">
        <f t="shared" si="241"/>
        <v>1744</v>
      </c>
      <c r="R1315" s="26">
        <f t="shared" si="242"/>
        <v>745</v>
      </c>
      <c r="S1315" s="26">
        <f t="shared" si="242"/>
        <v>2489</v>
      </c>
    </row>
    <row r="1316" spans="2:19" x14ac:dyDescent="0.2">
      <c r="B1316" s="75">
        <f t="shared" si="240"/>
        <v>668</v>
      </c>
      <c r="C1316" s="4"/>
      <c r="D1316" s="4"/>
      <c r="E1316" s="4"/>
      <c r="F1316" s="53" t="s">
        <v>273</v>
      </c>
      <c r="G1316" s="4">
        <v>635</v>
      </c>
      <c r="H1316" s="4" t="s">
        <v>139</v>
      </c>
      <c r="I1316" s="26">
        <v>855</v>
      </c>
      <c r="J1316" s="26"/>
      <c r="K1316" s="26">
        <f t="shared" si="238"/>
        <v>855</v>
      </c>
      <c r="L1316" s="76"/>
      <c r="M1316" s="26"/>
      <c r="N1316" s="26"/>
      <c r="O1316" s="26">
        <f t="shared" si="239"/>
        <v>0</v>
      </c>
      <c r="P1316" s="76"/>
      <c r="Q1316" s="26">
        <f t="shared" si="241"/>
        <v>855</v>
      </c>
      <c r="R1316" s="26">
        <f t="shared" si="242"/>
        <v>0</v>
      </c>
      <c r="S1316" s="26">
        <f t="shared" si="242"/>
        <v>855</v>
      </c>
    </row>
    <row r="1317" spans="2:19" x14ac:dyDescent="0.2">
      <c r="B1317" s="75">
        <f t="shared" si="240"/>
        <v>669</v>
      </c>
      <c r="C1317" s="4"/>
      <c r="D1317" s="4"/>
      <c r="E1317" s="4"/>
      <c r="F1317" s="53" t="s">
        <v>273</v>
      </c>
      <c r="G1317" s="4">
        <v>637</v>
      </c>
      <c r="H1317" s="4" t="s">
        <v>130</v>
      </c>
      <c r="I1317" s="26">
        <v>1995</v>
      </c>
      <c r="J1317" s="26"/>
      <c r="K1317" s="26">
        <f t="shared" si="238"/>
        <v>1995</v>
      </c>
      <c r="L1317" s="76"/>
      <c r="M1317" s="26"/>
      <c r="N1317" s="26"/>
      <c r="O1317" s="26">
        <f t="shared" si="239"/>
        <v>0</v>
      </c>
      <c r="P1317" s="76"/>
      <c r="Q1317" s="26">
        <f t="shared" si="241"/>
        <v>1995</v>
      </c>
      <c r="R1317" s="26">
        <f t="shared" si="242"/>
        <v>0</v>
      </c>
      <c r="S1317" s="26">
        <f t="shared" si="242"/>
        <v>1995</v>
      </c>
    </row>
    <row r="1318" spans="2:19" x14ac:dyDescent="0.2">
      <c r="B1318" s="75">
        <f t="shared" si="240"/>
        <v>670</v>
      </c>
      <c r="C1318" s="15"/>
      <c r="D1318" s="15"/>
      <c r="E1318" s="15"/>
      <c r="F1318" s="52" t="s">
        <v>273</v>
      </c>
      <c r="G1318" s="15">
        <v>640</v>
      </c>
      <c r="H1318" s="15" t="s">
        <v>136</v>
      </c>
      <c r="I1318" s="49">
        <v>982</v>
      </c>
      <c r="J1318" s="49"/>
      <c r="K1318" s="49">
        <f t="shared" si="238"/>
        <v>982</v>
      </c>
      <c r="L1318" s="123"/>
      <c r="M1318" s="49"/>
      <c r="N1318" s="49"/>
      <c r="O1318" s="49">
        <f t="shared" si="239"/>
        <v>0</v>
      </c>
      <c r="P1318" s="123"/>
      <c r="Q1318" s="49">
        <f t="shared" si="241"/>
        <v>982</v>
      </c>
      <c r="R1318" s="49">
        <f t="shared" si="242"/>
        <v>0</v>
      </c>
      <c r="S1318" s="49">
        <f t="shared" si="242"/>
        <v>982</v>
      </c>
    </row>
    <row r="1319" spans="2:19" ht="15" x14ac:dyDescent="0.25">
      <c r="B1319" s="75">
        <f t="shared" si="240"/>
        <v>671</v>
      </c>
      <c r="C1319" s="18"/>
      <c r="D1319" s="18"/>
      <c r="E1319" s="18">
        <v>8</v>
      </c>
      <c r="F1319" s="50"/>
      <c r="G1319" s="18"/>
      <c r="H1319" s="18" t="s">
        <v>322</v>
      </c>
      <c r="I1319" s="47">
        <f>I1320+I1322</f>
        <v>114240</v>
      </c>
      <c r="J1319" s="47">
        <f>J1320+J1322</f>
        <v>0</v>
      </c>
      <c r="K1319" s="47">
        <f t="shared" si="238"/>
        <v>114240</v>
      </c>
      <c r="L1319" s="174"/>
      <c r="M1319" s="47">
        <f>M1320+M1322</f>
        <v>0</v>
      </c>
      <c r="N1319" s="47">
        <f>N1320+N1322</f>
        <v>0</v>
      </c>
      <c r="O1319" s="47">
        <f t="shared" si="239"/>
        <v>0</v>
      </c>
      <c r="P1319" s="174"/>
      <c r="Q1319" s="47">
        <f t="shared" si="241"/>
        <v>114240</v>
      </c>
      <c r="R1319" s="47">
        <f t="shared" si="242"/>
        <v>0</v>
      </c>
      <c r="S1319" s="47">
        <f t="shared" si="242"/>
        <v>114240</v>
      </c>
    </row>
    <row r="1320" spans="2:19" x14ac:dyDescent="0.2">
      <c r="B1320" s="75">
        <f t="shared" si="240"/>
        <v>672</v>
      </c>
      <c r="C1320" s="15"/>
      <c r="D1320" s="15"/>
      <c r="E1320" s="15"/>
      <c r="F1320" s="52" t="s">
        <v>82</v>
      </c>
      <c r="G1320" s="15">
        <v>630</v>
      </c>
      <c r="H1320" s="15" t="s">
        <v>129</v>
      </c>
      <c r="I1320" s="49">
        <f>I1321</f>
        <v>45696</v>
      </c>
      <c r="J1320" s="49">
        <f>J1321</f>
        <v>0</v>
      </c>
      <c r="K1320" s="49">
        <f t="shared" si="238"/>
        <v>45696</v>
      </c>
      <c r="L1320" s="123"/>
      <c r="M1320" s="49">
        <f>M1321</f>
        <v>0</v>
      </c>
      <c r="N1320" s="49">
        <f>N1321</f>
        <v>0</v>
      </c>
      <c r="O1320" s="49">
        <f t="shared" si="239"/>
        <v>0</v>
      </c>
      <c r="P1320" s="123"/>
      <c r="Q1320" s="49">
        <f t="shared" si="241"/>
        <v>45696</v>
      </c>
      <c r="R1320" s="49">
        <f t="shared" si="242"/>
        <v>0</v>
      </c>
      <c r="S1320" s="49">
        <f t="shared" si="242"/>
        <v>45696</v>
      </c>
    </row>
    <row r="1321" spans="2:19" x14ac:dyDescent="0.2">
      <c r="B1321" s="75">
        <f t="shared" si="240"/>
        <v>673</v>
      </c>
      <c r="C1321" s="4"/>
      <c r="D1321" s="4"/>
      <c r="E1321" s="4"/>
      <c r="F1321" s="53" t="s">
        <v>82</v>
      </c>
      <c r="G1321" s="4">
        <v>637</v>
      </c>
      <c r="H1321" s="4" t="s">
        <v>130</v>
      </c>
      <c r="I1321" s="26">
        <v>45696</v>
      </c>
      <c r="J1321" s="26"/>
      <c r="K1321" s="26">
        <f t="shared" si="238"/>
        <v>45696</v>
      </c>
      <c r="L1321" s="76"/>
      <c r="M1321" s="26"/>
      <c r="N1321" s="26"/>
      <c r="O1321" s="26">
        <f t="shared" si="239"/>
        <v>0</v>
      </c>
      <c r="P1321" s="76"/>
      <c r="Q1321" s="26">
        <f t="shared" si="241"/>
        <v>45696</v>
      </c>
      <c r="R1321" s="26">
        <f t="shared" si="242"/>
        <v>0</v>
      </c>
      <c r="S1321" s="26">
        <f t="shared" si="242"/>
        <v>45696</v>
      </c>
    </row>
    <row r="1322" spans="2:19" x14ac:dyDescent="0.2">
      <c r="B1322" s="75">
        <f t="shared" si="240"/>
        <v>674</v>
      </c>
      <c r="C1322" s="15"/>
      <c r="D1322" s="15"/>
      <c r="E1322" s="15"/>
      <c r="F1322" s="52" t="s">
        <v>273</v>
      </c>
      <c r="G1322" s="15">
        <v>630</v>
      </c>
      <c r="H1322" s="15" t="s">
        <v>129</v>
      </c>
      <c r="I1322" s="49">
        <f>I1323</f>
        <v>68544</v>
      </c>
      <c r="J1322" s="49">
        <f>J1323</f>
        <v>0</v>
      </c>
      <c r="K1322" s="49">
        <f t="shared" si="238"/>
        <v>68544</v>
      </c>
      <c r="L1322" s="123"/>
      <c r="M1322" s="49">
        <f>M1323</f>
        <v>0</v>
      </c>
      <c r="N1322" s="49">
        <f>N1323</f>
        <v>0</v>
      </c>
      <c r="O1322" s="49">
        <f t="shared" si="239"/>
        <v>0</v>
      </c>
      <c r="P1322" s="123"/>
      <c r="Q1322" s="49">
        <f t="shared" si="241"/>
        <v>68544</v>
      </c>
      <c r="R1322" s="49">
        <f t="shared" si="242"/>
        <v>0</v>
      </c>
      <c r="S1322" s="49">
        <f t="shared" si="242"/>
        <v>68544</v>
      </c>
    </row>
    <row r="1323" spans="2:19" x14ac:dyDescent="0.2">
      <c r="B1323" s="75">
        <f t="shared" si="240"/>
        <v>675</v>
      </c>
      <c r="C1323" s="4"/>
      <c r="D1323" s="4"/>
      <c r="E1323" s="4"/>
      <c r="F1323" s="53" t="s">
        <v>273</v>
      </c>
      <c r="G1323" s="4">
        <v>637</v>
      </c>
      <c r="H1323" s="4" t="s">
        <v>130</v>
      </c>
      <c r="I1323" s="26">
        <v>68544</v>
      </c>
      <c r="J1323" s="26"/>
      <c r="K1323" s="26">
        <f t="shared" si="238"/>
        <v>68544</v>
      </c>
      <c r="L1323" s="76"/>
      <c r="M1323" s="26"/>
      <c r="N1323" s="26"/>
      <c r="O1323" s="26">
        <f t="shared" si="239"/>
        <v>0</v>
      </c>
      <c r="P1323" s="76"/>
      <c r="Q1323" s="26">
        <f t="shared" si="241"/>
        <v>68544</v>
      </c>
      <c r="R1323" s="26">
        <f t="shared" si="242"/>
        <v>0</v>
      </c>
      <c r="S1323" s="26">
        <f t="shared" si="242"/>
        <v>68544</v>
      </c>
    </row>
    <row r="1324" spans="2:19" ht="15" x14ac:dyDescent="0.25">
      <c r="B1324" s="75">
        <f t="shared" si="240"/>
        <v>676</v>
      </c>
      <c r="C1324" s="18"/>
      <c r="D1324" s="18"/>
      <c r="E1324" s="18">
        <v>9</v>
      </c>
      <c r="F1324" s="50"/>
      <c r="G1324" s="18"/>
      <c r="H1324" s="18" t="s">
        <v>278</v>
      </c>
      <c r="I1324" s="47">
        <f>I1325+I1326+I1327+I1333+I1334+I1335</f>
        <v>77392</v>
      </c>
      <c r="J1324" s="47">
        <f>J1325+J1326+J1327+J1333+J1334+J1335+J1332+J1340</f>
        <v>0</v>
      </c>
      <c r="K1324" s="47">
        <f t="shared" si="238"/>
        <v>77392</v>
      </c>
      <c r="L1324" s="174"/>
      <c r="M1324" s="47">
        <f>M1325+M1326+M1327+M1333+M1334+M1335</f>
        <v>0</v>
      </c>
      <c r="N1324" s="47">
        <f>N1325+N1326+N1327+N1333+N1334+N1335</f>
        <v>0</v>
      </c>
      <c r="O1324" s="47">
        <f t="shared" si="239"/>
        <v>0</v>
      </c>
      <c r="P1324" s="174"/>
      <c r="Q1324" s="47">
        <f t="shared" si="241"/>
        <v>77392</v>
      </c>
      <c r="R1324" s="47">
        <f t="shared" si="242"/>
        <v>0</v>
      </c>
      <c r="S1324" s="47">
        <f t="shared" si="242"/>
        <v>77392</v>
      </c>
    </row>
    <row r="1325" spans="2:19" x14ac:dyDescent="0.2">
      <c r="B1325" s="75">
        <f t="shared" si="240"/>
        <v>677</v>
      </c>
      <c r="C1325" s="15"/>
      <c r="D1325" s="15"/>
      <c r="E1325" s="15"/>
      <c r="F1325" s="52" t="s">
        <v>82</v>
      </c>
      <c r="G1325" s="15">
        <v>610</v>
      </c>
      <c r="H1325" s="15" t="s">
        <v>137</v>
      </c>
      <c r="I1325" s="49">
        <v>19004</v>
      </c>
      <c r="J1325" s="49">
        <v>-71</v>
      </c>
      <c r="K1325" s="49">
        <f t="shared" si="238"/>
        <v>18933</v>
      </c>
      <c r="L1325" s="123"/>
      <c r="M1325" s="49"/>
      <c r="N1325" s="49"/>
      <c r="O1325" s="49">
        <f t="shared" si="239"/>
        <v>0</v>
      </c>
      <c r="P1325" s="123"/>
      <c r="Q1325" s="49">
        <f t="shared" si="241"/>
        <v>19004</v>
      </c>
      <c r="R1325" s="49">
        <f t="shared" si="242"/>
        <v>-71</v>
      </c>
      <c r="S1325" s="49">
        <f t="shared" si="242"/>
        <v>18933</v>
      </c>
    </row>
    <row r="1326" spans="2:19" x14ac:dyDescent="0.2">
      <c r="B1326" s="75">
        <f t="shared" si="240"/>
        <v>678</v>
      </c>
      <c r="C1326" s="15"/>
      <c r="D1326" s="15"/>
      <c r="E1326" s="15"/>
      <c r="F1326" s="52" t="s">
        <v>82</v>
      </c>
      <c r="G1326" s="15">
        <v>620</v>
      </c>
      <c r="H1326" s="15" t="s">
        <v>132</v>
      </c>
      <c r="I1326" s="49">
        <v>6642</v>
      </c>
      <c r="J1326" s="49"/>
      <c r="K1326" s="49">
        <f t="shared" si="238"/>
        <v>6642</v>
      </c>
      <c r="L1326" s="123"/>
      <c r="M1326" s="49"/>
      <c r="N1326" s="49"/>
      <c r="O1326" s="49">
        <f t="shared" si="239"/>
        <v>0</v>
      </c>
      <c r="P1326" s="123"/>
      <c r="Q1326" s="49">
        <f t="shared" si="241"/>
        <v>6642</v>
      </c>
      <c r="R1326" s="49">
        <f t="shared" ref="R1326:S1343" si="243">N1326+J1326</f>
        <v>0</v>
      </c>
      <c r="S1326" s="49">
        <f t="shared" si="243"/>
        <v>6642</v>
      </c>
    </row>
    <row r="1327" spans="2:19" x14ac:dyDescent="0.2">
      <c r="B1327" s="75">
        <f t="shared" si="240"/>
        <v>679</v>
      </c>
      <c r="C1327" s="15"/>
      <c r="D1327" s="15"/>
      <c r="E1327" s="15"/>
      <c r="F1327" s="52" t="s">
        <v>82</v>
      </c>
      <c r="G1327" s="15">
        <v>630</v>
      </c>
      <c r="H1327" s="15" t="s">
        <v>129</v>
      </c>
      <c r="I1327" s="49">
        <f>I1331+I1330+I1329+I1328</f>
        <v>13050</v>
      </c>
      <c r="J1327" s="49">
        <f>J1331+J1330+J1329+J1328</f>
        <v>0</v>
      </c>
      <c r="K1327" s="49">
        <f t="shared" si="238"/>
        <v>13050</v>
      </c>
      <c r="L1327" s="123"/>
      <c r="M1327" s="49">
        <f>M1331+M1330+M1329+M1328</f>
        <v>0</v>
      </c>
      <c r="N1327" s="49">
        <f>N1331+N1330+N1329+N1328</f>
        <v>0</v>
      </c>
      <c r="O1327" s="49">
        <f t="shared" si="239"/>
        <v>0</v>
      </c>
      <c r="P1327" s="123"/>
      <c r="Q1327" s="49">
        <f t="shared" si="241"/>
        <v>13050</v>
      </c>
      <c r="R1327" s="49">
        <f t="shared" si="243"/>
        <v>0</v>
      </c>
      <c r="S1327" s="49">
        <f t="shared" si="243"/>
        <v>13050</v>
      </c>
    </row>
    <row r="1328" spans="2:19" x14ac:dyDescent="0.2">
      <c r="B1328" s="75">
        <f t="shared" si="240"/>
        <v>680</v>
      </c>
      <c r="C1328" s="4"/>
      <c r="D1328" s="4"/>
      <c r="E1328" s="4"/>
      <c r="F1328" s="53" t="s">
        <v>82</v>
      </c>
      <c r="G1328" s="4">
        <v>632</v>
      </c>
      <c r="H1328" s="4" t="s">
        <v>140</v>
      </c>
      <c r="I1328" s="26">
        <v>8464</v>
      </c>
      <c r="J1328" s="26"/>
      <c r="K1328" s="26">
        <f t="shared" si="238"/>
        <v>8464</v>
      </c>
      <c r="L1328" s="76"/>
      <c r="M1328" s="26"/>
      <c r="N1328" s="26"/>
      <c r="O1328" s="26">
        <f t="shared" si="239"/>
        <v>0</v>
      </c>
      <c r="P1328" s="76"/>
      <c r="Q1328" s="26">
        <f t="shared" si="241"/>
        <v>8464</v>
      </c>
      <c r="R1328" s="26">
        <f t="shared" si="243"/>
        <v>0</v>
      </c>
      <c r="S1328" s="26">
        <f t="shared" si="243"/>
        <v>8464</v>
      </c>
    </row>
    <row r="1329" spans="2:19" x14ac:dyDescent="0.2">
      <c r="B1329" s="75">
        <f t="shared" si="240"/>
        <v>681</v>
      </c>
      <c r="C1329" s="4"/>
      <c r="D1329" s="4"/>
      <c r="E1329" s="4"/>
      <c r="F1329" s="53" t="s">
        <v>82</v>
      </c>
      <c r="G1329" s="4">
        <v>633</v>
      </c>
      <c r="H1329" s="4" t="s">
        <v>133</v>
      </c>
      <c r="I1329" s="26">
        <v>2060</v>
      </c>
      <c r="J1329" s="26"/>
      <c r="K1329" s="26">
        <f t="shared" si="238"/>
        <v>2060</v>
      </c>
      <c r="L1329" s="76"/>
      <c r="M1329" s="26"/>
      <c r="N1329" s="26"/>
      <c r="O1329" s="26">
        <f t="shared" si="239"/>
        <v>0</v>
      </c>
      <c r="P1329" s="76"/>
      <c r="Q1329" s="26">
        <f t="shared" si="241"/>
        <v>2060</v>
      </c>
      <c r="R1329" s="26">
        <f t="shared" si="243"/>
        <v>0</v>
      </c>
      <c r="S1329" s="26">
        <f t="shared" si="243"/>
        <v>2060</v>
      </c>
    </row>
    <row r="1330" spans="2:19" x14ac:dyDescent="0.2">
      <c r="B1330" s="75">
        <f t="shared" si="240"/>
        <v>682</v>
      </c>
      <c r="C1330" s="4"/>
      <c r="D1330" s="4"/>
      <c r="E1330" s="4"/>
      <c r="F1330" s="53" t="s">
        <v>82</v>
      </c>
      <c r="G1330" s="4">
        <v>635</v>
      </c>
      <c r="H1330" s="4" t="s">
        <v>139</v>
      </c>
      <c r="I1330" s="26">
        <v>900</v>
      </c>
      <c r="J1330" s="26"/>
      <c r="K1330" s="26">
        <f t="shared" si="238"/>
        <v>900</v>
      </c>
      <c r="L1330" s="76"/>
      <c r="M1330" s="26"/>
      <c r="N1330" s="26"/>
      <c r="O1330" s="26">
        <f t="shared" si="239"/>
        <v>0</v>
      </c>
      <c r="P1330" s="76"/>
      <c r="Q1330" s="26">
        <f t="shared" si="241"/>
        <v>900</v>
      </c>
      <c r="R1330" s="26">
        <f t="shared" si="243"/>
        <v>0</v>
      </c>
      <c r="S1330" s="26">
        <f t="shared" si="243"/>
        <v>900</v>
      </c>
    </row>
    <row r="1331" spans="2:19" x14ac:dyDescent="0.2">
      <c r="B1331" s="75">
        <f t="shared" si="240"/>
        <v>683</v>
      </c>
      <c r="C1331" s="4"/>
      <c r="D1331" s="4"/>
      <c r="E1331" s="4"/>
      <c r="F1331" s="53" t="s">
        <v>82</v>
      </c>
      <c r="G1331" s="4">
        <v>637</v>
      </c>
      <c r="H1331" s="4" t="s">
        <v>130</v>
      </c>
      <c r="I1331" s="26">
        <v>1626</v>
      </c>
      <c r="J1331" s="26"/>
      <c r="K1331" s="26">
        <f t="shared" si="238"/>
        <v>1626</v>
      </c>
      <c r="L1331" s="76"/>
      <c r="M1331" s="26"/>
      <c r="N1331" s="26"/>
      <c r="O1331" s="26">
        <f t="shared" si="239"/>
        <v>0</v>
      </c>
      <c r="P1331" s="76"/>
      <c r="Q1331" s="26">
        <f t="shared" si="241"/>
        <v>1626</v>
      </c>
      <c r="R1331" s="26">
        <f t="shared" si="243"/>
        <v>0</v>
      </c>
      <c r="S1331" s="26">
        <f t="shared" si="243"/>
        <v>1626</v>
      </c>
    </row>
    <row r="1332" spans="2:19" x14ac:dyDescent="0.2">
      <c r="B1332" s="75">
        <f t="shared" si="240"/>
        <v>684</v>
      </c>
      <c r="C1332" s="4"/>
      <c r="D1332" s="4"/>
      <c r="E1332" s="4"/>
      <c r="F1332" s="52" t="s">
        <v>82</v>
      </c>
      <c r="G1332" s="15">
        <v>640</v>
      </c>
      <c r="H1332" s="15" t="s">
        <v>136</v>
      </c>
      <c r="I1332" s="49">
        <v>0</v>
      </c>
      <c r="J1332" s="49">
        <v>71</v>
      </c>
      <c r="K1332" s="49">
        <f t="shared" ref="K1332" si="244">I1332+J1332</f>
        <v>71</v>
      </c>
      <c r="L1332" s="123"/>
      <c r="M1332" s="49"/>
      <c r="N1332" s="49"/>
      <c r="O1332" s="49">
        <f t="shared" ref="O1332" si="245">M1332+N1332</f>
        <v>0</v>
      </c>
      <c r="P1332" s="123"/>
      <c r="Q1332" s="49">
        <f t="shared" ref="Q1332" si="246">M1332+I1332</f>
        <v>0</v>
      </c>
      <c r="R1332" s="49">
        <f t="shared" si="243"/>
        <v>71</v>
      </c>
      <c r="S1332" s="49">
        <f t="shared" si="243"/>
        <v>71</v>
      </c>
    </row>
    <row r="1333" spans="2:19" x14ac:dyDescent="0.2">
      <c r="B1333" s="75">
        <f t="shared" si="240"/>
        <v>685</v>
      </c>
      <c r="C1333" s="15"/>
      <c r="D1333" s="15"/>
      <c r="E1333" s="15"/>
      <c r="F1333" s="52" t="s">
        <v>273</v>
      </c>
      <c r="G1333" s="15">
        <v>610</v>
      </c>
      <c r="H1333" s="15" t="s">
        <v>137</v>
      </c>
      <c r="I1333" s="49">
        <v>19004</v>
      </c>
      <c r="J1333" s="49">
        <v>-71</v>
      </c>
      <c r="K1333" s="49">
        <f t="shared" si="238"/>
        <v>18933</v>
      </c>
      <c r="L1333" s="123"/>
      <c r="M1333" s="49"/>
      <c r="N1333" s="49"/>
      <c r="O1333" s="49">
        <f t="shared" si="239"/>
        <v>0</v>
      </c>
      <c r="P1333" s="123"/>
      <c r="Q1333" s="49">
        <f t="shared" si="241"/>
        <v>19004</v>
      </c>
      <c r="R1333" s="49">
        <f t="shared" si="243"/>
        <v>-71</v>
      </c>
      <c r="S1333" s="49">
        <f t="shared" si="243"/>
        <v>18933</v>
      </c>
    </row>
    <row r="1334" spans="2:19" x14ac:dyDescent="0.2">
      <c r="B1334" s="75">
        <f t="shared" si="240"/>
        <v>686</v>
      </c>
      <c r="C1334" s="15"/>
      <c r="D1334" s="15"/>
      <c r="E1334" s="15"/>
      <c r="F1334" s="52" t="s">
        <v>273</v>
      </c>
      <c r="G1334" s="15">
        <v>620</v>
      </c>
      <c r="H1334" s="15" t="s">
        <v>132</v>
      </c>
      <c r="I1334" s="49">
        <v>6642</v>
      </c>
      <c r="J1334" s="49"/>
      <c r="K1334" s="49">
        <f t="shared" si="238"/>
        <v>6642</v>
      </c>
      <c r="L1334" s="123"/>
      <c r="M1334" s="49"/>
      <c r="N1334" s="49"/>
      <c r="O1334" s="49">
        <f t="shared" si="239"/>
        <v>0</v>
      </c>
      <c r="P1334" s="123"/>
      <c r="Q1334" s="49">
        <f t="shared" si="241"/>
        <v>6642</v>
      </c>
      <c r="R1334" s="49">
        <f t="shared" si="243"/>
        <v>0</v>
      </c>
      <c r="S1334" s="49">
        <f t="shared" si="243"/>
        <v>6642</v>
      </c>
    </row>
    <row r="1335" spans="2:19" x14ac:dyDescent="0.2">
      <c r="B1335" s="75">
        <f t="shared" si="240"/>
        <v>687</v>
      </c>
      <c r="C1335" s="15"/>
      <c r="D1335" s="15"/>
      <c r="E1335" s="15"/>
      <c r="F1335" s="52" t="s">
        <v>273</v>
      </c>
      <c r="G1335" s="15">
        <v>630</v>
      </c>
      <c r="H1335" s="15" t="s">
        <v>129</v>
      </c>
      <c r="I1335" s="49">
        <f>I1339+I1338+I1337+I1336</f>
        <v>13050</v>
      </c>
      <c r="J1335" s="49">
        <f>J1339+J1338+J1337+J1336</f>
        <v>0</v>
      </c>
      <c r="K1335" s="49">
        <f t="shared" si="238"/>
        <v>13050</v>
      </c>
      <c r="L1335" s="123"/>
      <c r="M1335" s="49">
        <f>M1339+M1338+M1337+M1336</f>
        <v>0</v>
      </c>
      <c r="N1335" s="49">
        <f>N1339+N1338+N1337+N1336</f>
        <v>0</v>
      </c>
      <c r="O1335" s="49">
        <f t="shared" si="239"/>
        <v>0</v>
      </c>
      <c r="P1335" s="123"/>
      <c r="Q1335" s="49">
        <f t="shared" si="241"/>
        <v>13050</v>
      </c>
      <c r="R1335" s="49">
        <f t="shared" si="243"/>
        <v>0</v>
      </c>
      <c r="S1335" s="49">
        <f t="shared" si="243"/>
        <v>13050</v>
      </c>
    </row>
    <row r="1336" spans="2:19" x14ac:dyDescent="0.2">
      <c r="B1336" s="75">
        <f t="shared" si="240"/>
        <v>688</v>
      </c>
      <c r="C1336" s="4"/>
      <c r="D1336" s="4"/>
      <c r="E1336" s="4"/>
      <c r="F1336" s="53" t="s">
        <v>273</v>
      </c>
      <c r="G1336" s="4">
        <v>632</v>
      </c>
      <c r="H1336" s="4" t="s">
        <v>140</v>
      </c>
      <c r="I1336" s="26">
        <v>8464</v>
      </c>
      <c r="J1336" s="26"/>
      <c r="K1336" s="26">
        <f t="shared" si="238"/>
        <v>8464</v>
      </c>
      <c r="L1336" s="76"/>
      <c r="M1336" s="26"/>
      <c r="N1336" s="26"/>
      <c r="O1336" s="26">
        <f t="shared" si="239"/>
        <v>0</v>
      </c>
      <c r="P1336" s="76"/>
      <c r="Q1336" s="26">
        <f t="shared" si="241"/>
        <v>8464</v>
      </c>
      <c r="R1336" s="26">
        <f t="shared" si="243"/>
        <v>0</v>
      </c>
      <c r="S1336" s="26">
        <f t="shared" si="243"/>
        <v>8464</v>
      </c>
    </row>
    <row r="1337" spans="2:19" x14ac:dyDescent="0.2">
      <c r="B1337" s="75">
        <f t="shared" si="240"/>
        <v>689</v>
      </c>
      <c r="C1337" s="4"/>
      <c r="D1337" s="4"/>
      <c r="E1337" s="4"/>
      <c r="F1337" s="53" t="s">
        <v>273</v>
      </c>
      <c r="G1337" s="4">
        <v>633</v>
      </c>
      <c r="H1337" s="4" t="s">
        <v>133</v>
      </c>
      <c r="I1337" s="26">
        <v>2060</v>
      </c>
      <c r="J1337" s="26"/>
      <c r="K1337" s="26">
        <f t="shared" si="238"/>
        <v>2060</v>
      </c>
      <c r="L1337" s="76"/>
      <c r="M1337" s="26"/>
      <c r="N1337" s="26"/>
      <c r="O1337" s="26">
        <f t="shared" si="239"/>
        <v>0</v>
      </c>
      <c r="P1337" s="76"/>
      <c r="Q1337" s="26">
        <f t="shared" si="241"/>
        <v>2060</v>
      </c>
      <c r="R1337" s="26">
        <f t="shared" si="243"/>
        <v>0</v>
      </c>
      <c r="S1337" s="26">
        <f t="shared" si="243"/>
        <v>2060</v>
      </c>
    </row>
    <row r="1338" spans="2:19" x14ac:dyDescent="0.2">
      <c r="B1338" s="75">
        <f t="shared" si="240"/>
        <v>690</v>
      </c>
      <c r="C1338" s="4"/>
      <c r="D1338" s="4"/>
      <c r="E1338" s="4"/>
      <c r="F1338" s="53" t="s">
        <v>273</v>
      </c>
      <c r="G1338" s="4">
        <v>635</v>
      </c>
      <c r="H1338" s="4" t="s">
        <v>139</v>
      </c>
      <c r="I1338" s="26">
        <v>900</v>
      </c>
      <c r="J1338" s="26"/>
      <c r="K1338" s="26">
        <f t="shared" si="238"/>
        <v>900</v>
      </c>
      <c r="L1338" s="76"/>
      <c r="M1338" s="26"/>
      <c r="N1338" s="26"/>
      <c r="O1338" s="26">
        <f t="shared" si="239"/>
        <v>0</v>
      </c>
      <c r="P1338" s="76"/>
      <c r="Q1338" s="26">
        <f t="shared" si="241"/>
        <v>900</v>
      </c>
      <c r="R1338" s="26">
        <f t="shared" si="243"/>
        <v>0</v>
      </c>
      <c r="S1338" s="26">
        <f t="shared" si="243"/>
        <v>900</v>
      </c>
    </row>
    <row r="1339" spans="2:19" x14ac:dyDescent="0.2">
      <c r="B1339" s="75">
        <f t="shared" si="240"/>
        <v>691</v>
      </c>
      <c r="C1339" s="4"/>
      <c r="D1339" s="4"/>
      <c r="E1339" s="4"/>
      <c r="F1339" s="53" t="s">
        <v>273</v>
      </c>
      <c r="G1339" s="4">
        <v>637</v>
      </c>
      <c r="H1339" s="4" t="s">
        <v>130</v>
      </c>
      <c r="I1339" s="26">
        <v>1626</v>
      </c>
      <c r="J1339" s="26"/>
      <c r="K1339" s="26">
        <f t="shared" si="238"/>
        <v>1626</v>
      </c>
      <c r="L1339" s="76"/>
      <c r="M1339" s="26"/>
      <c r="N1339" s="26"/>
      <c r="O1339" s="26">
        <f t="shared" si="239"/>
        <v>0</v>
      </c>
      <c r="P1339" s="76"/>
      <c r="Q1339" s="26">
        <f t="shared" si="241"/>
        <v>1626</v>
      </c>
      <c r="R1339" s="26">
        <f t="shared" si="243"/>
        <v>0</v>
      </c>
      <c r="S1339" s="26">
        <f t="shared" si="243"/>
        <v>1626</v>
      </c>
    </row>
    <row r="1340" spans="2:19" x14ac:dyDescent="0.2">
      <c r="B1340" s="75">
        <f t="shared" si="240"/>
        <v>692</v>
      </c>
      <c r="C1340" s="4"/>
      <c r="D1340" s="4"/>
      <c r="E1340" s="4"/>
      <c r="F1340" s="52" t="s">
        <v>82</v>
      </c>
      <c r="G1340" s="15">
        <v>640</v>
      </c>
      <c r="H1340" s="15" t="s">
        <v>136</v>
      </c>
      <c r="I1340" s="49">
        <v>0</v>
      </c>
      <c r="J1340" s="49">
        <v>71</v>
      </c>
      <c r="K1340" s="49">
        <f t="shared" si="238"/>
        <v>71</v>
      </c>
      <c r="L1340" s="123"/>
      <c r="M1340" s="49"/>
      <c r="N1340" s="49"/>
      <c r="O1340" s="49">
        <f t="shared" si="239"/>
        <v>0</v>
      </c>
      <c r="P1340" s="123"/>
      <c r="Q1340" s="49">
        <f t="shared" si="241"/>
        <v>0</v>
      </c>
      <c r="R1340" s="49">
        <f t="shared" ref="R1340" si="247">N1340+J1340</f>
        <v>71</v>
      </c>
      <c r="S1340" s="49">
        <f t="shared" ref="S1340" si="248">O1340+K1340</f>
        <v>71</v>
      </c>
    </row>
    <row r="1341" spans="2:19" ht="15" x14ac:dyDescent="0.25">
      <c r="B1341" s="75">
        <f t="shared" si="240"/>
        <v>693</v>
      </c>
      <c r="C1341" s="18"/>
      <c r="D1341" s="18"/>
      <c r="E1341" s="18">
        <v>10</v>
      </c>
      <c r="F1341" s="50"/>
      <c r="G1341" s="18"/>
      <c r="H1341" s="18" t="s">
        <v>257</v>
      </c>
      <c r="I1341" s="47">
        <f>I1342+I1343+I1344+I1349+I1350+I1351+I1352+I1357</f>
        <v>97912</v>
      </c>
      <c r="J1341" s="47">
        <f>J1342+J1343+J1344+J1349+J1350+J1351+J1352+J1357</f>
        <v>0</v>
      </c>
      <c r="K1341" s="47">
        <f t="shared" si="238"/>
        <v>97912</v>
      </c>
      <c r="L1341" s="174"/>
      <c r="M1341" s="47">
        <f>M1342+M1343+M1344+M1349+M1350+M1351+M1352+M1357</f>
        <v>0</v>
      </c>
      <c r="N1341" s="47">
        <f>N1342+N1343+N1344+N1349+N1350+N1351+N1352+N1357</f>
        <v>0</v>
      </c>
      <c r="O1341" s="47">
        <f t="shared" si="239"/>
        <v>0</v>
      </c>
      <c r="P1341" s="174"/>
      <c r="Q1341" s="47">
        <f t="shared" si="241"/>
        <v>97912</v>
      </c>
      <c r="R1341" s="47">
        <f t="shared" si="243"/>
        <v>0</v>
      </c>
      <c r="S1341" s="47">
        <f t="shared" si="243"/>
        <v>97912</v>
      </c>
    </row>
    <row r="1342" spans="2:19" x14ac:dyDescent="0.2">
      <c r="B1342" s="75">
        <f t="shared" si="240"/>
        <v>694</v>
      </c>
      <c r="C1342" s="15"/>
      <c r="D1342" s="15"/>
      <c r="E1342" s="15"/>
      <c r="F1342" s="52" t="s">
        <v>82</v>
      </c>
      <c r="G1342" s="15">
        <v>610</v>
      </c>
      <c r="H1342" s="15" t="s">
        <v>137</v>
      </c>
      <c r="I1342" s="49">
        <v>19970</v>
      </c>
      <c r="J1342" s="49"/>
      <c r="K1342" s="49">
        <f t="shared" si="238"/>
        <v>19970</v>
      </c>
      <c r="L1342" s="123"/>
      <c r="M1342" s="49"/>
      <c r="N1342" s="49"/>
      <c r="O1342" s="49">
        <f t="shared" si="239"/>
        <v>0</v>
      </c>
      <c r="P1342" s="123"/>
      <c r="Q1342" s="49">
        <f t="shared" si="241"/>
        <v>19970</v>
      </c>
      <c r="R1342" s="49">
        <f t="shared" si="243"/>
        <v>0</v>
      </c>
      <c r="S1342" s="49">
        <f t="shared" si="243"/>
        <v>19970</v>
      </c>
    </row>
    <row r="1343" spans="2:19" x14ac:dyDescent="0.2">
      <c r="B1343" s="75">
        <f t="shared" si="240"/>
        <v>695</v>
      </c>
      <c r="C1343" s="15"/>
      <c r="D1343" s="15"/>
      <c r="E1343" s="15"/>
      <c r="F1343" s="52" t="s">
        <v>82</v>
      </c>
      <c r="G1343" s="15">
        <v>620</v>
      </c>
      <c r="H1343" s="15" t="s">
        <v>132</v>
      </c>
      <c r="I1343" s="49">
        <v>6986</v>
      </c>
      <c r="J1343" s="49"/>
      <c r="K1343" s="49">
        <f t="shared" si="238"/>
        <v>6986</v>
      </c>
      <c r="L1343" s="123"/>
      <c r="M1343" s="49"/>
      <c r="N1343" s="49"/>
      <c r="O1343" s="49">
        <f t="shared" si="239"/>
        <v>0</v>
      </c>
      <c r="P1343" s="123"/>
      <c r="Q1343" s="49">
        <f t="shared" si="241"/>
        <v>6986</v>
      </c>
      <c r="R1343" s="49">
        <f t="shared" si="243"/>
        <v>0</v>
      </c>
      <c r="S1343" s="49">
        <f t="shared" si="243"/>
        <v>6986</v>
      </c>
    </row>
    <row r="1344" spans="2:19" x14ac:dyDescent="0.2">
      <c r="B1344" s="75">
        <f t="shared" si="240"/>
        <v>696</v>
      </c>
      <c r="C1344" s="15"/>
      <c r="D1344" s="15"/>
      <c r="E1344" s="15"/>
      <c r="F1344" s="52" t="s">
        <v>82</v>
      </c>
      <c r="G1344" s="15">
        <v>630</v>
      </c>
      <c r="H1344" s="15" t="s">
        <v>129</v>
      </c>
      <c r="I1344" s="49">
        <f>I1348+I1347+I1346+I1345</f>
        <v>17391</v>
      </c>
      <c r="J1344" s="49">
        <f>J1348+J1347+J1346+J1345</f>
        <v>0</v>
      </c>
      <c r="K1344" s="49">
        <f t="shared" si="238"/>
        <v>17391</v>
      </c>
      <c r="L1344" s="123"/>
      <c r="M1344" s="49">
        <f>M1348+M1347+M1346+M1345</f>
        <v>0</v>
      </c>
      <c r="N1344" s="49">
        <f>N1348+N1347+N1346+N1345</f>
        <v>0</v>
      </c>
      <c r="O1344" s="49">
        <f t="shared" si="239"/>
        <v>0</v>
      </c>
      <c r="P1344" s="123"/>
      <c r="Q1344" s="49">
        <f t="shared" si="241"/>
        <v>17391</v>
      </c>
      <c r="R1344" s="49">
        <f t="shared" ref="R1344:S1359" si="249">N1344+J1344</f>
        <v>0</v>
      </c>
      <c r="S1344" s="49">
        <f t="shared" si="249"/>
        <v>17391</v>
      </c>
    </row>
    <row r="1345" spans="2:19" x14ac:dyDescent="0.2">
      <c r="B1345" s="75">
        <f t="shared" si="240"/>
        <v>697</v>
      </c>
      <c r="C1345" s="4"/>
      <c r="D1345" s="4"/>
      <c r="E1345" s="4"/>
      <c r="F1345" s="53" t="s">
        <v>82</v>
      </c>
      <c r="G1345" s="4">
        <v>632</v>
      </c>
      <c r="H1345" s="4" t="s">
        <v>140</v>
      </c>
      <c r="I1345" s="26">
        <v>12840</v>
      </c>
      <c r="J1345" s="26"/>
      <c r="K1345" s="26">
        <f t="shared" si="238"/>
        <v>12840</v>
      </c>
      <c r="L1345" s="76"/>
      <c r="M1345" s="26"/>
      <c r="N1345" s="26"/>
      <c r="O1345" s="26">
        <f t="shared" si="239"/>
        <v>0</v>
      </c>
      <c r="P1345" s="76"/>
      <c r="Q1345" s="26">
        <f t="shared" si="241"/>
        <v>12840</v>
      </c>
      <c r="R1345" s="26">
        <f t="shared" si="249"/>
        <v>0</v>
      </c>
      <c r="S1345" s="26">
        <f t="shared" si="249"/>
        <v>12840</v>
      </c>
    </row>
    <row r="1346" spans="2:19" x14ac:dyDescent="0.2">
      <c r="B1346" s="75">
        <f t="shared" si="240"/>
        <v>698</v>
      </c>
      <c r="C1346" s="4"/>
      <c r="D1346" s="4"/>
      <c r="E1346" s="4"/>
      <c r="F1346" s="53" t="s">
        <v>82</v>
      </c>
      <c r="G1346" s="4">
        <v>633</v>
      </c>
      <c r="H1346" s="4" t="s">
        <v>133</v>
      </c>
      <c r="I1346" s="26">
        <v>1795</v>
      </c>
      <c r="J1346" s="26"/>
      <c r="K1346" s="26">
        <f t="shared" si="238"/>
        <v>1795</v>
      </c>
      <c r="L1346" s="76"/>
      <c r="M1346" s="26"/>
      <c r="N1346" s="26"/>
      <c r="O1346" s="26">
        <f t="shared" si="239"/>
        <v>0</v>
      </c>
      <c r="P1346" s="76"/>
      <c r="Q1346" s="26">
        <f t="shared" si="241"/>
        <v>1795</v>
      </c>
      <c r="R1346" s="26">
        <f t="shared" si="249"/>
        <v>0</v>
      </c>
      <c r="S1346" s="26">
        <f t="shared" si="249"/>
        <v>1795</v>
      </c>
    </row>
    <row r="1347" spans="2:19" x14ac:dyDescent="0.2">
      <c r="B1347" s="75">
        <f t="shared" si="240"/>
        <v>699</v>
      </c>
      <c r="C1347" s="4"/>
      <c r="D1347" s="4"/>
      <c r="E1347" s="4"/>
      <c r="F1347" s="53" t="s">
        <v>82</v>
      </c>
      <c r="G1347" s="4">
        <v>635</v>
      </c>
      <c r="H1347" s="4" t="s">
        <v>139</v>
      </c>
      <c r="I1347" s="26">
        <v>410</v>
      </c>
      <c r="J1347" s="26"/>
      <c r="K1347" s="26">
        <f t="shared" si="238"/>
        <v>410</v>
      </c>
      <c r="L1347" s="76"/>
      <c r="M1347" s="26"/>
      <c r="N1347" s="26"/>
      <c r="O1347" s="26">
        <f t="shared" si="239"/>
        <v>0</v>
      </c>
      <c r="P1347" s="76"/>
      <c r="Q1347" s="26">
        <f t="shared" si="241"/>
        <v>410</v>
      </c>
      <c r="R1347" s="26">
        <f t="shared" si="249"/>
        <v>0</v>
      </c>
      <c r="S1347" s="26">
        <f t="shared" si="249"/>
        <v>410</v>
      </c>
    </row>
    <row r="1348" spans="2:19" x14ac:dyDescent="0.2">
      <c r="B1348" s="75">
        <f t="shared" si="240"/>
        <v>700</v>
      </c>
      <c r="C1348" s="4"/>
      <c r="D1348" s="4"/>
      <c r="E1348" s="4"/>
      <c r="F1348" s="53" t="s">
        <v>82</v>
      </c>
      <c r="G1348" s="4">
        <v>637</v>
      </c>
      <c r="H1348" s="4" t="s">
        <v>130</v>
      </c>
      <c r="I1348" s="26">
        <v>2346</v>
      </c>
      <c r="J1348" s="26"/>
      <c r="K1348" s="26">
        <f t="shared" si="238"/>
        <v>2346</v>
      </c>
      <c r="L1348" s="76"/>
      <c r="M1348" s="26"/>
      <c r="N1348" s="26"/>
      <c r="O1348" s="26">
        <f t="shared" si="239"/>
        <v>0</v>
      </c>
      <c r="P1348" s="76"/>
      <c r="Q1348" s="26">
        <f t="shared" si="241"/>
        <v>2346</v>
      </c>
      <c r="R1348" s="26">
        <f t="shared" si="249"/>
        <v>0</v>
      </c>
      <c r="S1348" s="26">
        <f t="shared" si="249"/>
        <v>2346</v>
      </c>
    </row>
    <row r="1349" spans="2:19" x14ac:dyDescent="0.2">
      <c r="B1349" s="75">
        <f t="shared" si="240"/>
        <v>701</v>
      </c>
      <c r="C1349" s="15"/>
      <c r="D1349" s="15"/>
      <c r="E1349" s="15"/>
      <c r="F1349" s="52" t="s">
        <v>82</v>
      </c>
      <c r="G1349" s="15">
        <v>640</v>
      </c>
      <c r="H1349" s="15" t="s">
        <v>136</v>
      </c>
      <c r="I1349" s="49">
        <v>100</v>
      </c>
      <c r="J1349" s="49"/>
      <c r="K1349" s="49">
        <f t="shared" si="238"/>
        <v>100</v>
      </c>
      <c r="L1349" s="123"/>
      <c r="M1349" s="49"/>
      <c r="N1349" s="49"/>
      <c r="O1349" s="49">
        <f t="shared" si="239"/>
        <v>0</v>
      </c>
      <c r="P1349" s="123"/>
      <c r="Q1349" s="49">
        <f t="shared" si="241"/>
        <v>100</v>
      </c>
      <c r="R1349" s="49">
        <f t="shared" si="249"/>
        <v>0</v>
      </c>
      <c r="S1349" s="49">
        <f t="shared" si="249"/>
        <v>100</v>
      </c>
    </row>
    <row r="1350" spans="2:19" x14ac:dyDescent="0.2">
      <c r="B1350" s="75">
        <f t="shared" si="240"/>
        <v>702</v>
      </c>
      <c r="C1350" s="15"/>
      <c r="D1350" s="15"/>
      <c r="E1350" s="15"/>
      <c r="F1350" s="52" t="s">
        <v>273</v>
      </c>
      <c r="G1350" s="15">
        <v>610</v>
      </c>
      <c r="H1350" s="15" t="s">
        <v>137</v>
      </c>
      <c r="I1350" s="49">
        <v>24655</v>
      </c>
      <c r="J1350" s="49"/>
      <c r="K1350" s="49">
        <f t="shared" si="238"/>
        <v>24655</v>
      </c>
      <c r="L1350" s="123"/>
      <c r="M1350" s="49"/>
      <c r="N1350" s="49"/>
      <c r="O1350" s="49">
        <f t="shared" si="239"/>
        <v>0</v>
      </c>
      <c r="P1350" s="123"/>
      <c r="Q1350" s="49">
        <f t="shared" si="241"/>
        <v>24655</v>
      </c>
      <c r="R1350" s="49">
        <f t="shared" si="249"/>
        <v>0</v>
      </c>
      <c r="S1350" s="49">
        <f t="shared" si="249"/>
        <v>24655</v>
      </c>
    </row>
    <row r="1351" spans="2:19" x14ac:dyDescent="0.2">
      <c r="B1351" s="75">
        <f t="shared" si="240"/>
        <v>703</v>
      </c>
      <c r="C1351" s="15"/>
      <c r="D1351" s="15"/>
      <c r="E1351" s="15"/>
      <c r="F1351" s="52" t="s">
        <v>273</v>
      </c>
      <c r="G1351" s="15">
        <v>620</v>
      </c>
      <c r="H1351" s="15" t="s">
        <v>132</v>
      </c>
      <c r="I1351" s="49">
        <v>8611</v>
      </c>
      <c r="J1351" s="49"/>
      <c r="K1351" s="49">
        <f t="shared" si="238"/>
        <v>8611</v>
      </c>
      <c r="L1351" s="123"/>
      <c r="M1351" s="49"/>
      <c r="N1351" s="49"/>
      <c r="O1351" s="49">
        <f t="shared" si="239"/>
        <v>0</v>
      </c>
      <c r="P1351" s="123"/>
      <c r="Q1351" s="49">
        <f t="shared" si="241"/>
        <v>8611</v>
      </c>
      <c r="R1351" s="49">
        <f t="shared" si="249"/>
        <v>0</v>
      </c>
      <c r="S1351" s="49">
        <f t="shared" si="249"/>
        <v>8611</v>
      </c>
    </row>
    <row r="1352" spans="2:19" x14ac:dyDescent="0.2">
      <c r="B1352" s="75">
        <f t="shared" si="240"/>
        <v>704</v>
      </c>
      <c r="C1352" s="15"/>
      <c r="D1352" s="15"/>
      <c r="E1352" s="15"/>
      <c r="F1352" s="52" t="s">
        <v>273</v>
      </c>
      <c r="G1352" s="15">
        <v>630</v>
      </c>
      <c r="H1352" s="15" t="s">
        <v>129</v>
      </c>
      <c r="I1352" s="49">
        <f>I1356+I1355+I1354+I1353</f>
        <v>20099</v>
      </c>
      <c r="J1352" s="49">
        <f>J1356+J1355+J1354+J1353</f>
        <v>0</v>
      </c>
      <c r="K1352" s="49">
        <f t="shared" si="238"/>
        <v>20099</v>
      </c>
      <c r="L1352" s="123"/>
      <c r="M1352" s="49">
        <f>M1356+M1355+M1354+M1353</f>
        <v>0</v>
      </c>
      <c r="N1352" s="49">
        <f>N1356+N1355+N1354+N1353</f>
        <v>0</v>
      </c>
      <c r="O1352" s="49">
        <f t="shared" si="239"/>
        <v>0</v>
      </c>
      <c r="P1352" s="123"/>
      <c r="Q1352" s="49">
        <f t="shared" si="241"/>
        <v>20099</v>
      </c>
      <c r="R1352" s="49">
        <f t="shared" si="249"/>
        <v>0</v>
      </c>
      <c r="S1352" s="49">
        <f t="shared" si="249"/>
        <v>20099</v>
      </c>
    </row>
    <row r="1353" spans="2:19" x14ac:dyDescent="0.2">
      <c r="B1353" s="75">
        <f t="shared" si="240"/>
        <v>705</v>
      </c>
      <c r="C1353" s="4"/>
      <c r="D1353" s="4"/>
      <c r="E1353" s="4"/>
      <c r="F1353" s="53" t="s">
        <v>273</v>
      </c>
      <c r="G1353" s="4">
        <v>632</v>
      </c>
      <c r="H1353" s="4" t="s">
        <v>140</v>
      </c>
      <c r="I1353" s="26">
        <v>15150</v>
      </c>
      <c r="J1353" s="26"/>
      <c r="K1353" s="26">
        <f t="shared" si="238"/>
        <v>15150</v>
      </c>
      <c r="L1353" s="76"/>
      <c r="M1353" s="26"/>
      <c r="N1353" s="26"/>
      <c r="O1353" s="26">
        <f t="shared" si="239"/>
        <v>0</v>
      </c>
      <c r="P1353" s="76"/>
      <c r="Q1353" s="26">
        <f t="shared" si="241"/>
        <v>15150</v>
      </c>
      <c r="R1353" s="26">
        <f t="shared" si="249"/>
        <v>0</v>
      </c>
      <c r="S1353" s="26">
        <f t="shared" si="249"/>
        <v>15150</v>
      </c>
    </row>
    <row r="1354" spans="2:19" x14ac:dyDescent="0.2">
      <c r="B1354" s="75">
        <f t="shared" si="240"/>
        <v>706</v>
      </c>
      <c r="C1354" s="4"/>
      <c r="D1354" s="4"/>
      <c r="E1354" s="4"/>
      <c r="F1354" s="53" t="s">
        <v>273</v>
      </c>
      <c r="G1354" s="4">
        <v>633</v>
      </c>
      <c r="H1354" s="4" t="s">
        <v>133</v>
      </c>
      <c r="I1354" s="26">
        <v>1725</v>
      </c>
      <c r="J1354" s="26"/>
      <c r="K1354" s="26">
        <f t="shared" si="238"/>
        <v>1725</v>
      </c>
      <c r="L1354" s="76"/>
      <c r="M1354" s="26"/>
      <c r="N1354" s="26"/>
      <c r="O1354" s="26">
        <f t="shared" si="239"/>
        <v>0</v>
      </c>
      <c r="P1354" s="76"/>
      <c r="Q1354" s="26">
        <f t="shared" si="241"/>
        <v>1725</v>
      </c>
      <c r="R1354" s="26">
        <f t="shared" si="249"/>
        <v>0</v>
      </c>
      <c r="S1354" s="26">
        <f t="shared" si="249"/>
        <v>1725</v>
      </c>
    </row>
    <row r="1355" spans="2:19" x14ac:dyDescent="0.2">
      <c r="B1355" s="75">
        <f t="shared" si="240"/>
        <v>707</v>
      </c>
      <c r="C1355" s="4"/>
      <c r="D1355" s="4"/>
      <c r="E1355" s="4"/>
      <c r="F1355" s="53" t="s">
        <v>273</v>
      </c>
      <c r="G1355" s="4">
        <v>635</v>
      </c>
      <c r="H1355" s="4" t="s">
        <v>139</v>
      </c>
      <c r="I1355" s="26">
        <v>663</v>
      </c>
      <c r="J1355" s="26"/>
      <c r="K1355" s="26">
        <f t="shared" si="238"/>
        <v>663</v>
      </c>
      <c r="L1355" s="76"/>
      <c r="M1355" s="26"/>
      <c r="N1355" s="26"/>
      <c r="O1355" s="26">
        <f t="shared" si="239"/>
        <v>0</v>
      </c>
      <c r="P1355" s="76"/>
      <c r="Q1355" s="26">
        <f t="shared" si="241"/>
        <v>663</v>
      </c>
      <c r="R1355" s="26">
        <f t="shared" si="249"/>
        <v>0</v>
      </c>
      <c r="S1355" s="26">
        <f t="shared" si="249"/>
        <v>663</v>
      </c>
    </row>
    <row r="1356" spans="2:19" x14ac:dyDescent="0.2">
      <c r="B1356" s="75">
        <f t="shared" si="240"/>
        <v>708</v>
      </c>
      <c r="C1356" s="4"/>
      <c r="D1356" s="4"/>
      <c r="E1356" s="4"/>
      <c r="F1356" s="53" t="s">
        <v>273</v>
      </c>
      <c r="G1356" s="4">
        <v>637</v>
      </c>
      <c r="H1356" s="4" t="s">
        <v>130</v>
      </c>
      <c r="I1356" s="26">
        <v>2561</v>
      </c>
      <c r="J1356" s="26"/>
      <c r="K1356" s="26">
        <f t="shared" si="238"/>
        <v>2561</v>
      </c>
      <c r="L1356" s="76"/>
      <c r="M1356" s="26"/>
      <c r="N1356" s="26"/>
      <c r="O1356" s="26">
        <f t="shared" si="239"/>
        <v>0</v>
      </c>
      <c r="P1356" s="76"/>
      <c r="Q1356" s="26">
        <f t="shared" si="241"/>
        <v>2561</v>
      </c>
      <c r="R1356" s="26">
        <f t="shared" si="249"/>
        <v>0</v>
      </c>
      <c r="S1356" s="26">
        <f t="shared" si="249"/>
        <v>2561</v>
      </c>
    </row>
    <row r="1357" spans="2:19" x14ac:dyDescent="0.2">
      <c r="B1357" s="75">
        <f t="shared" si="240"/>
        <v>709</v>
      </c>
      <c r="C1357" s="15"/>
      <c r="D1357" s="15"/>
      <c r="E1357" s="15"/>
      <c r="F1357" s="52" t="s">
        <v>273</v>
      </c>
      <c r="G1357" s="15">
        <v>640</v>
      </c>
      <c r="H1357" s="15" t="s">
        <v>136</v>
      </c>
      <c r="I1357" s="49">
        <v>100</v>
      </c>
      <c r="J1357" s="49"/>
      <c r="K1357" s="49">
        <f t="shared" si="238"/>
        <v>100</v>
      </c>
      <c r="L1357" s="123"/>
      <c r="M1357" s="49"/>
      <c r="N1357" s="49"/>
      <c r="O1357" s="49">
        <f t="shared" si="239"/>
        <v>0</v>
      </c>
      <c r="P1357" s="123"/>
      <c r="Q1357" s="49">
        <f t="shared" si="241"/>
        <v>100</v>
      </c>
      <c r="R1357" s="49">
        <f t="shared" si="249"/>
        <v>0</v>
      </c>
      <c r="S1357" s="49">
        <f t="shared" si="249"/>
        <v>100</v>
      </c>
    </row>
    <row r="1358" spans="2:19" ht="15" x14ac:dyDescent="0.25">
      <c r="B1358" s="75">
        <f t="shared" si="240"/>
        <v>710</v>
      </c>
      <c r="C1358" s="18"/>
      <c r="D1358" s="18"/>
      <c r="E1358" s="18">
        <v>11</v>
      </c>
      <c r="F1358" s="50"/>
      <c r="G1358" s="18"/>
      <c r="H1358" s="18" t="s">
        <v>275</v>
      </c>
      <c r="I1358" s="47">
        <f>I1359+I1360+I1361+I1367+I1368+I1369+I1376+I1370</f>
        <v>104990</v>
      </c>
      <c r="J1358" s="47">
        <f>J1359+J1360+J1361+J1367+J1368+J1369+J1376+J1370</f>
        <v>0</v>
      </c>
      <c r="K1358" s="47">
        <f t="shared" si="238"/>
        <v>104990</v>
      </c>
      <c r="L1358" s="174"/>
      <c r="M1358" s="47">
        <f>M1359+M1360+M1361+M1367+M1368+M1369+M1376+M1370</f>
        <v>0</v>
      </c>
      <c r="N1358" s="47">
        <f>N1359+N1360+N1361+N1367+N1368+N1369+N1376+N1370</f>
        <v>0</v>
      </c>
      <c r="O1358" s="47">
        <f t="shared" si="239"/>
        <v>0</v>
      </c>
      <c r="P1358" s="174"/>
      <c r="Q1358" s="47">
        <f t="shared" si="241"/>
        <v>104990</v>
      </c>
      <c r="R1358" s="47">
        <f t="shared" si="249"/>
        <v>0</v>
      </c>
      <c r="S1358" s="47">
        <f t="shared" si="249"/>
        <v>104990</v>
      </c>
    </row>
    <row r="1359" spans="2:19" x14ac:dyDescent="0.2">
      <c r="B1359" s="75">
        <f t="shared" si="240"/>
        <v>711</v>
      </c>
      <c r="C1359" s="15"/>
      <c r="D1359" s="15"/>
      <c r="E1359" s="15"/>
      <c r="F1359" s="52" t="s">
        <v>82</v>
      </c>
      <c r="G1359" s="15">
        <v>610</v>
      </c>
      <c r="H1359" s="15" t="s">
        <v>137</v>
      </c>
      <c r="I1359" s="49">
        <v>24537</v>
      </c>
      <c r="J1359" s="49"/>
      <c r="K1359" s="49">
        <f t="shared" si="238"/>
        <v>24537</v>
      </c>
      <c r="L1359" s="123"/>
      <c r="M1359" s="49"/>
      <c r="N1359" s="49"/>
      <c r="O1359" s="49">
        <f t="shared" si="239"/>
        <v>0</v>
      </c>
      <c r="P1359" s="123"/>
      <c r="Q1359" s="49">
        <f t="shared" si="241"/>
        <v>24537</v>
      </c>
      <c r="R1359" s="49">
        <f t="shared" si="249"/>
        <v>0</v>
      </c>
      <c r="S1359" s="49">
        <f t="shared" si="249"/>
        <v>24537</v>
      </c>
    </row>
    <row r="1360" spans="2:19" x14ac:dyDescent="0.2">
      <c r="B1360" s="75">
        <f t="shared" si="240"/>
        <v>712</v>
      </c>
      <c r="C1360" s="15"/>
      <c r="D1360" s="15"/>
      <c r="E1360" s="15"/>
      <c r="F1360" s="52" t="s">
        <v>82</v>
      </c>
      <c r="G1360" s="15">
        <v>620</v>
      </c>
      <c r="H1360" s="15" t="s">
        <v>132</v>
      </c>
      <c r="I1360" s="49">
        <v>8588</v>
      </c>
      <c r="J1360" s="49"/>
      <c r="K1360" s="49">
        <f t="shared" si="238"/>
        <v>8588</v>
      </c>
      <c r="L1360" s="123"/>
      <c r="M1360" s="49"/>
      <c r="N1360" s="49"/>
      <c r="O1360" s="49">
        <f t="shared" si="239"/>
        <v>0</v>
      </c>
      <c r="P1360" s="123"/>
      <c r="Q1360" s="49">
        <f t="shared" si="241"/>
        <v>8588</v>
      </c>
      <c r="R1360" s="49">
        <f t="shared" ref="R1360:S1375" si="250">N1360+J1360</f>
        <v>0</v>
      </c>
      <c r="S1360" s="49">
        <f t="shared" si="250"/>
        <v>8588</v>
      </c>
    </row>
    <row r="1361" spans="2:19" x14ac:dyDescent="0.2">
      <c r="B1361" s="75">
        <f t="shared" si="240"/>
        <v>713</v>
      </c>
      <c r="C1361" s="15"/>
      <c r="D1361" s="15"/>
      <c r="E1361" s="15"/>
      <c r="F1361" s="52" t="s">
        <v>82</v>
      </c>
      <c r="G1361" s="15">
        <v>630</v>
      </c>
      <c r="H1361" s="15" t="s">
        <v>129</v>
      </c>
      <c r="I1361" s="49">
        <f>I1366+I1365+I1364+I1363+I1362</f>
        <v>5975</v>
      </c>
      <c r="J1361" s="49">
        <f>J1366+J1365+J1364+J1363+J1362</f>
        <v>0</v>
      </c>
      <c r="K1361" s="49">
        <f t="shared" si="238"/>
        <v>5975</v>
      </c>
      <c r="L1361" s="123"/>
      <c r="M1361" s="49">
        <f>M1366+M1365+M1364+M1363+M1362</f>
        <v>0</v>
      </c>
      <c r="N1361" s="49">
        <f>N1366+N1365+N1364+N1363+N1362</f>
        <v>0</v>
      </c>
      <c r="O1361" s="49">
        <f t="shared" si="239"/>
        <v>0</v>
      </c>
      <c r="P1361" s="123"/>
      <c r="Q1361" s="49">
        <f t="shared" si="241"/>
        <v>5975</v>
      </c>
      <c r="R1361" s="49">
        <f t="shared" si="250"/>
        <v>0</v>
      </c>
      <c r="S1361" s="49">
        <f t="shared" si="250"/>
        <v>5975</v>
      </c>
    </row>
    <row r="1362" spans="2:19" x14ac:dyDescent="0.2">
      <c r="B1362" s="75">
        <f t="shared" si="240"/>
        <v>714</v>
      </c>
      <c r="C1362" s="4"/>
      <c r="D1362" s="4"/>
      <c r="E1362" s="4"/>
      <c r="F1362" s="53" t="s">
        <v>82</v>
      </c>
      <c r="G1362" s="4">
        <v>631</v>
      </c>
      <c r="H1362" s="4" t="s">
        <v>135</v>
      </c>
      <c r="I1362" s="26">
        <v>20</v>
      </c>
      <c r="J1362" s="26"/>
      <c r="K1362" s="26">
        <f t="shared" si="238"/>
        <v>20</v>
      </c>
      <c r="L1362" s="76"/>
      <c r="M1362" s="26"/>
      <c r="N1362" s="26"/>
      <c r="O1362" s="26">
        <f t="shared" si="239"/>
        <v>0</v>
      </c>
      <c r="P1362" s="76"/>
      <c r="Q1362" s="26">
        <f t="shared" si="241"/>
        <v>20</v>
      </c>
      <c r="R1362" s="26">
        <f t="shared" si="250"/>
        <v>0</v>
      </c>
      <c r="S1362" s="26">
        <f t="shared" si="250"/>
        <v>20</v>
      </c>
    </row>
    <row r="1363" spans="2:19" x14ac:dyDescent="0.2">
      <c r="B1363" s="75">
        <f t="shared" si="240"/>
        <v>715</v>
      </c>
      <c r="C1363" s="4"/>
      <c r="D1363" s="4"/>
      <c r="E1363" s="4"/>
      <c r="F1363" s="53" t="s">
        <v>82</v>
      </c>
      <c r="G1363" s="4">
        <v>632</v>
      </c>
      <c r="H1363" s="4" t="s">
        <v>140</v>
      </c>
      <c r="I1363" s="26">
        <v>1860</v>
      </c>
      <c r="J1363" s="26"/>
      <c r="K1363" s="26">
        <f t="shared" si="238"/>
        <v>1860</v>
      </c>
      <c r="L1363" s="76"/>
      <c r="M1363" s="26"/>
      <c r="N1363" s="26"/>
      <c r="O1363" s="26">
        <f t="shared" si="239"/>
        <v>0</v>
      </c>
      <c r="P1363" s="76"/>
      <c r="Q1363" s="26">
        <f t="shared" si="241"/>
        <v>1860</v>
      </c>
      <c r="R1363" s="26">
        <f t="shared" si="250"/>
        <v>0</v>
      </c>
      <c r="S1363" s="26">
        <f t="shared" si="250"/>
        <v>1860</v>
      </c>
    </row>
    <row r="1364" spans="2:19" x14ac:dyDescent="0.2">
      <c r="B1364" s="75">
        <f t="shared" si="240"/>
        <v>716</v>
      </c>
      <c r="C1364" s="4"/>
      <c r="D1364" s="4"/>
      <c r="E1364" s="4"/>
      <c r="F1364" s="53" t="s">
        <v>82</v>
      </c>
      <c r="G1364" s="4">
        <v>633</v>
      </c>
      <c r="H1364" s="4" t="s">
        <v>133</v>
      </c>
      <c r="I1364" s="26">
        <v>1561</v>
      </c>
      <c r="J1364" s="26"/>
      <c r="K1364" s="26">
        <f t="shared" si="238"/>
        <v>1561</v>
      </c>
      <c r="L1364" s="76"/>
      <c r="M1364" s="26"/>
      <c r="N1364" s="26"/>
      <c r="O1364" s="26">
        <f t="shared" si="239"/>
        <v>0</v>
      </c>
      <c r="P1364" s="76"/>
      <c r="Q1364" s="26">
        <f t="shared" si="241"/>
        <v>1561</v>
      </c>
      <c r="R1364" s="26">
        <f t="shared" si="250"/>
        <v>0</v>
      </c>
      <c r="S1364" s="26">
        <f t="shared" si="250"/>
        <v>1561</v>
      </c>
    </row>
    <row r="1365" spans="2:19" x14ac:dyDescent="0.2">
      <c r="B1365" s="75">
        <f t="shared" si="240"/>
        <v>717</v>
      </c>
      <c r="C1365" s="4"/>
      <c r="D1365" s="4"/>
      <c r="E1365" s="4"/>
      <c r="F1365" s="53" t="s">
        <v>82</v>
      </c>
      <c r="G1365" s="4">
        <v>635</v>
      </c>
      <c r="H1365" s="4" t="s">
        <v>139</v>
      </c>
      <c r="I1365" s="26">
        <v>347</v>
      </c>
      <c r="J1365" s="26"/>
      <c r="K1365" s="26">
        <f t="shared" si="238"/>
        <v>347</v>
      </c>
      <c r="L1365" s="76"/>
      <c r="M1365" s="26"/>
      <c r="N1365" s="26"/>
      <c r="O1365" s="26">
        <f t="shared" si="239"/>
        <v>0</v>
      </c>
      <c r="P1365" s="76"/>
      <c r="Q1365" s="26">
        <f t="shared" si="241"/>
        <v>347</v>
      </c>
      <c r="R1365" s="26">
        <f t="shared" si="250"/>
        <v>0</v>
      </c>
      <c r="S1365" s="26">
        <f t="shared" si="250"/>
        <v>347</v>
      </c>
    </row>
    <row r="1366" spans="2:19" x14ac:dyDescent="0.2">
      <c r="B1366" s="75">
        <f t="shared" si="240"/>
        <v>718</v>
      </c>
      <c r="C1366" s="4"/>
      <c r="D1366" s="4"/>
      <c r="E1366" s="4"/>
      <c r="F1366" s="53" t="s">
        <v>82</v>
      </c>
      <c r="G1366" s="4">
        <v>637</v>
      </c>
      <c r="H1366" s="4" t="s">
        <v>130</v>
      </c>
      <c r="I1366" s="26">
        <v>2187</v>
      </c>
      <c r="J1366" s="26"/>
      <c r="K1366" s="26">
        <f t="shared" si="238"/>
        <v>2187</v>
      </c>
      <c r="L1366" s="76"/>
      <c r="M1366" s="26"/>
      <c r="N1366" s="26"/>
      <c r="O1366" s="26">
        <f t="shared" si="239"/>
        <v>0</v>
      </c>
      <c r="P1366" s="76"/>
      <c r="Q1366" s="26">
        <f t="shared" si="241"/>
        <v>2187</v>
      </c>
      <c r="R1366" s="26">
        <f t="shared" si="250"/>
        <v>0</v>
      </c>
      <c r="S1366" s="26">
        <f t="shared" si="250"/>
        <v>2187</v>
      </c>
    </row>
    <row r="1367" spans="2:19" x14ac:dyDescent="0.2">
      <c r="B1367" s="75">
        <f t="shared" si="240"/>
        <v>719</v>
      </c>
      <c r="C1367" s="15"/>
      <c r="D1367" s="15"/>
      <c r="E1367" s="15"/>
      <c r="F1367" s="52" t="s">
        <v>82</v>
      </c>
      <c r="G1367" s="15">
        <v>640</v>
      </c>
      <c r="H1367" s="15" t="s">
        <v>136</v>
      </c>
      <c r="I1367" s="49">
        <v>107</v>
      </c>
      <c r="J1367" s="49"/>
      <c r="K1367" s="49">
        <f t="shared" ref="K1367:K1430" si="251">I1367+J1367</f>
        <v>107</v>
      </c>
      <c r="L1367" s="123"/>
      <c r="M1367" s="49"/>
      <c r="N1367" s="49"/>
      <c r="O1367" s="49">
        <f t="shared" ref="O1367:O1430" si="252">M1367+N1367</f>
        <v>0</v>
      </c>
      <c r="P1367" s="123"/>
      <c r="Q1367" s="49">
        <f t="shared" si="241"/>
        <v>107</v>
      </c>
      <c r="R1367" s="49">
        <f t="shared" si="250"/>
        <v>0</v>
      </c>
      <c r="S1367" s="49">
        <f t="shared" si="250"/>
        <v>107</v>
      </c>
    </row>
    <row r="1368" spans="2:19" x14ac:dyDescent="0.2">
      <c r="B1368" s="75">
        <f t="shared" ref="B1368:B1431" si="253">B1367+1</f>
        <v>720</v>
      </c>
      <c r="C1368" s="15"/>
      <c r="D1368" s="15"/>
      <c r="E1368" s="15"/>
      <c r="F1368" s="52" t="s">
        <v>273</v>
      </c>
      <c r="G1368" s="15">
        <v>610</v>
      </c>
      <c r="H1368" s="15" t="s">
        <v>137</v>
      </c>
      <c r="I1368" s="49">
        <f>36806+5163</f>
        <v>41969</v>
      </c>
      <c r="J1368" s="49"/>
      <c r="K1368" s="49">
        <f t="shared" si="251"/>
        <v>41969</v>
      </c>
      <c r="L1368" s="123"/>
      <c r="M1368" s="49"/>
      <c r="N1368" s="49"/>
      <c r="O1368" s="49">
        <f t="shared" si="252"/>
        <v>0</v>
      </c>
      <c r="P1368" s="123"/>
      <c r="Q1368" s="49">
        <f t="shared" si="241"/>
        <v>41969</v>
      </c>
      <c r="R1368" s="49">
        <f t="shared" si="250"/>
        <v>0</v>
      </c>
      <c r="S1368" s="49">
        <f t="shared" si="250"/>
        <v>41969</v>
      </c>
    </row>
    <row r="1369" spans="2:19" x14ac:dyDescent="0.2">
      <c r="B1369" s="75">
        <f t="shared" si="253"/>
        <v>721</v>
      </c>
      <c r="C1369" s="15"/>
      <c r="D1369" s="15"/>
      <c r="E1369" s="15"/>
      <c r="F1369" s="52" t="s">
        <v>273</v>
      </c>
      <c r="G1369" s="15">
        <v>620</v>
      </c>
      <c r="H1369" s="15" t="s">
        <v>132</v>
      </c>
      <c r="I1369" s="49">
        <f>12882+1808</f>
        <v>14690</v>
      </c>
      <c r="J1369" s="49"/>
      <c r="K1369" s="49">
        <f t="shared" si="251"/>
        <v>14690</v>
      </c>
      <c r="L1369" s="123"/>
      <c r="M1369" s="49"/>
      <c r="N1369" s="49"/>
      <c r="O1369" s="49">
        <f t="shared" si="252"/>
        <v>0</v>
      </c>
      <c r="P1369" s="123"/>
      <c r="Q1369" s="49">
        <f t="shared" si="241"/>
        <v>14690</v>
      </c>
      <c r="R1369" s="49">
        <f t="shared" si="250"/>
        <v>0</v>
      </c>
      <c r="S1369" s="49">
        <f t="shared" si="250"/>
        <v>14690</v>
      </c>
    </row>
    <row r="1370" spans="2:19" x14ac:dyDescent="0.2">
      <c r="B1370" s="75">
        <f t="shared" si="253"/>
        <v>722</v>
      </c>
      <c r="C1370" s="15"/>
      <c r="D1370" s="15"/>
      <c r="E1370" s="15"/>
      <c r="F1370" s="52" t="s">
        <v>273</v>
      </c>
      <c r="G1370" s="15">
        <v>630</v>
      </c>
      <c r="H1370" s="15" t="s">
        <v>129</v>
      </c>
      <c r="I1370" s="49">
        <f>I1375+I1374+I1373+I1372+I1371</f>
        <v>8963</v>
      </c>
      <c r="J1370" s="49">
        <f>J1375+J1374+J1373+J1372+J1371</f>
        <v>0</v>
      </c>
      <c r="K1370" s="49">
        <f t="shared" si="251"/>
        <v>8963</v>
      </c>
      <c r="L1370" s="123"/>
      <c r="M1370" s="49">
        <f>M1375+M1374+M1373+M1372+M1371</f>
        <v>0</v>
      </c>
      <c r="N1370" s="49">
        <f>N1375+N1374+N1373+N1372+N1371</f>
        <v>0</v>
      </c>
      <c r="O1370" s="49">
        <f t="shared" si="252"/>
        <v>0</v>
      </c>
      <c r="P1370" s="123"/>
      <c r="Q1370" s="49">
        <f t="shared" si="241"/>
        <v>8963</v>
      </c>
      <c r="R1370" s="49">
        <f t="shared" si="250"/>
        <v>0</v>
      </c>
      <c r="S1370" s="49">
        <f t="shared" si="250"/>
        <v>8963</v>
      </c>
    </row>
    <row r="1371" spans="2:19" x14ac:dyDescent="0.2">
      <c r="B1371" s="75">
        <f t="shared" si="253"/>
        <v>723</v>
      </c>
      <c r="C1371" s="4"/>
      <c r="D1371" s="4"/>
      <c r="E1371" s="4"/>
      <c r="F1371" s="53" t="s">
        <v>273</v>
      </c>
      <c r="G1371" s="4">
        <v>631</v>
      </c>
      <c r="H1371" s="4" t="s">
        <v>135</v>
      </c>
      <c r="I1371" s="26">
        <v>31</v>
      </c>
      <c r="J1371" s="26"/>
      <c r="K1371" s="26">
        <f t="shared" si="251"/>
        <v>31</v>
      </c>
      <c r="L1371" s="76"/>
      <c r="M1371" s="26"/>
      <c r="N1371" s="26"/>
      <c r="O1371" s="26">
        <f t="shared" si="252"/>
        <v>0</v>
      </c>
      <c r="P1371" s="76"/>
      <c r="Q1371" s="26">
        <f t="shared" si="241"/>
        <v>31</v>
      </c>
      <c r="R1371" s="26">
        <f t="shared" si="250"/>
        <v>0</v>
      </c>
      <c r="S1371" s="26">
        <f t="shared" si="250"/>
        <v>31</v>
      </c>
    </row>
    <row r="1372" spans="2:19" x14ac:dyDescent="0.2">
      <c r="B1372" s="75">
        <f t="shared" si="253"/>
        <v>724</v>
      </c>
      <c r="C1372" s="4"/>
      <c r="D1372" s="4"/>
      <c r="E1372" s="4"/>
      <c r="F1372" s="53" t="s">
        <v>273</v>
      </c>
      <c r="G1372" s="4">
        <v>632</v>
      </c>
      <c r="H1372" s="4" t="s">
        <v>140</v>
      </c>
      <c r="I1372" s="26">
        <v>2791</v>
      </c>
      <c r="J1372" s="26"/>
      <c r="K1372" s="26">
        <f t="shared" si="251"/>
        <v>2791</v>
      </c>
      <c r="L1372" s="76"/>
      <c r="M1372" s="26"/>
      <c r="N1372" s="26"/>
      <c r="O1372" s="26">
        <f t="shared" si="252"/>
        <v>0</v>
      </c>
      <c r="P1372" s="76"/>
      <c r="Q1372" s="26">
        <f t="shared" si="241"/>
        <v>2791</v>
      </c>
      <c r="R1372" s="26">
        <f t="shared" si="250"/>
        <v>0</v>
      </c>
      <c r="S1372" s="26">
        <f t="shared" si="250"/>
        <v>2791</v>
      </c>
    </row>
    <row r="1373" spans="2:19" x14ac:dyDescent="0.2">
      <c r="B1373" s="75">
        <f t="shared" si="253"/>
        <v>725</v>
      </c>
      <c r="C1373" s="4"/>
      <c r="D1373" s="4"/>
      <c r="E1373" s="4"/>
      <c r="F1373" s="53" t="s">
        <v>273</v>
      </c>
      <c r="G1373" s="4">
        <v>633</v>
      </c>
      <c r="H1373" s="4" t="s">
        <v>133</v>
      </c>
      <c r="I1373" s="26">
        <v>2341</v>
      </c>
      <c r="J1373" s="26"/>
      <c r="K1373" s="26">
        <f t="shared" si="251"/>
        <v>2341</v>
      </c>
      <c r="L1373" s="76"/>
      <c r="M1373" s="26"/>
      <c r="N1373" s="26"/>
      <c r="O1373" s="26">
        <f t="shared" si="252"/>
        <v>0</v>
      </c>
      <c r="P1373" s="76"/>
      <c r="Q1373" s="26">
        <f t="shared" si="241"/>
        <v>2341</v>
      </c>
      <c r="R1373" s="26">
        <f t="shared" si="250"/>
        <v>0</v>
      </c>
      <c r="S1373" s="26">
        <f t="shared" si="250"/>
        <v>2341</v>
      </c>
    </row>
    <row r="1374" spans="2:19" x14ac:dyDescent="0.2">
      <c r="B1374" s="75">
        <f t="shared" si="253"/>
        <v>726</v>
      </c>
      <c r="C1374" s="4"/>
      <c r="D1374" s="4"/>
      <c r="E1374" s="4"/>
      <c r="F1374" s="53" t="s">
        <v>273</v>
      </c>
      <c r="G1374" s="4">
        <v>635</v>
      </c>
      <c r="H1374" s="4" t="s">
        <v>139</v>
      </c>
      <c r="I1374" s="26">
        <v>520</v>
      </c>
      <c r="J1374" s="26"/>
      <c r="K1374" s="26">
        <f t="shared" si="251"/>
        <v>520</v>
      </c>
      <c r="L1374" s="76"/>
      <c r="M1374" s="26"/>
      <c r="N1374" s="26"/>
      <c r="O1374" s="26">
        <f t="shared" si="252"/>
        <v>0</v>
      </c>
      <c r="P1374" s="76"/>
      <c r="Q1374" s="26">
        <f t="shared" si="241"/>
        <v>520</v>
      </c>
      <c r="R1374" s="26">
        <f t="shared" si="250"/>
        <v>0</v>
      </c>
      <c r="S1374" s="26">
        <f t="shared" si="250"/>
        <v>520</v>
      </c>
    </row>
    <row r="1375" spans="2:19" x14ac:dyDescent="0.2">
      <c r="B1375" s="75">
        <f t="shared" si="253"/>
        <v>727</v>
      </c>
      <c r="C1375" s="4"/>
      <c r="D1375" s="4"/>
      <c r="E1375" s="4"/>
      <c r="F1375" s="53" t="s">
        <v>273</v>
      </c>
      <c r="G1375" s="4">
        <v>637</v>
      </c>
      <c r="H1375" s="4" t="s">
        <v>130</v>
      </c>
      <c r="I1375" s="26">
        <v>3280</v>
      </c>
      <c r="J1375" s="26"/>
      <c r="K1375" s="26">
        <f t="shared" si="251"/>
        <v>3280</v>
      </c>
      <c r="L1375" s="76"/>
      <c r="M1375" s="26"/>
      <c r="N1375" s="26"/>
      <c r="O1375" s="26">
        <f t="shared" si="252"/>
        <v>0</v>
      </c>
      <c r="P1375" s="76"/>
      <c r="Q1375" s="26">
        <f t="shared" si="241"/>
        <v>3280</v>
      </c>
      <c r="R1375" s="26">
        <f t="shared" si="250"/>
        <v>0</v>
      </c>
      <c r="S1375" s="26">
        <f t="shared" si="250"/>
        <v>3280</v>
      </c>
    </row>
    <row r="1376" spans="2:19" x14ac:dyDescent="0.2">
      <c r="B1376" s="75">
        <f t="shared" si="253"/>
        <v>728</v>
      </c>
      <c r="C1376" s="15"/>
      <c r="D1376" s="15"/>
      <c r="E1376" s="15"/>
      <c r="F1376" s="52" t="s">
        <v>273</v>
      </c>
      <c r="G1376" s="15">
        <v>640</v>
      </c>
      <c r="H1376" s="15" t="s">
        <v>136</v>
      </c>
      <c r="I1376" s="49">
        <v>161</v>
      </c>
      <c r="J1376" s="49"/>
      <c r="K1376" s="49">
        <f t="shared" si="251"/>
        <v>161</v>
      </c>
      <c r="L1376" s="123"/>
      <c r="M1376" s="49"/>
      <c r="N1376" s="49"/>
      <c r="O1376" s="49">
        <f t="shared" si="252"/>
        <v>0</v>
      </c>
      <c r="P1376" s="123"/>
      <c r="Q1376" s="49">
        <f t="shared" ref="Q1376:Q1396" si="254">M1376+I1376</f>
        <v>161</v>
      </c>
      <c r="R1376" s="49">
        <f t="shared" ref="R1376:S1391" si="255">N1376+J1376</f>
        <v>0</v>
      </c>
      <c r="S1376" s="49">
        <f t="shared" si="255"/>
        <v>161</v>
      </c>
    </row>
    <row r="1377" spans="2:19" ht="15" x14ac:dyDescent="0.25">
      <c r="B1377" s="75">
        <f t="shared" si="253"/>
        <v>729</v>
      </c>
      <c r="C1377" s="18"/>
      <c r="D1377" s="18"/>
      <c r="E1377" s="18">
        <v>12</v>
      </c>
      <c r="F1377" s="50"/>
      <c r="G1377" s="18"/>
      <c r="H1377" s="18" t="s">
        <v>274</v>
      </c>
      <c r="I1377" s="47">
        <f>I1378+I1379+I1380+I1386+I1387+I1388+I1389+I1395+I1396</f>
        <v>88146</v>
      </c>
      <c r="J1377" s="47">
        <f>J1378+J1379+J1380+J1386+J1387+J1388+J1389+J1395+J1396</f>
        <v>0</v>
      </c>
      <c r="K1377" s="47">
        <f t="shared" si="251"/>
        <v>88146</v>
      </c>
      <c r="L1377" s="174"/>
      <c r="M1377" s="47">
        <f>M1378+M1379+M1380+M1386+M1387+M1388+M1389+M1395+M1396</f>
        <v>40000</v>
      </c>
      <c r="N1377" s="47">
        <f>N1378+N1379+N1380+N1386+N1387+N1388+N1389+N1395+N1396</f>
        <v>0</v>
      </c>
      <c r="O1377" s="47">
        <f t="shared" si="252"/>
        <v>40000</v>
      </c>
      <c r="P1377" s="174"/>
      <c r="Q1377" s="47">
        <f t="shared" si="254"/>
        <v>128146</v>
      </c>
      <c r="R1377" s="47">
        <f t="shared" si="255"/>
        <v>0</v>
      </c>
      <c r="S1377" s="47">
        <f t="shared" si="255"/>
        <v>128146</v>
      </c>
    </row>
    <row r="1378" spans="2:19" x14ac:dyDescent="0.2">
      <c r="B1378" s="75">
        <f t="shared" si="253"/>
        <v>730</v>
      </c>
      <c r="C1378" s="15"/>
      <c r="D1378" s="15"/>
      <c r="E1378" s="15"/>
      <c r="F1378" s="52" t="s">
        <v>82</v>
      </c>
      <c r="G1378" s="15">
        <v>610</v>
      </c>
      <c r="H1378" s="15" t="s">
        <v>137</v>
      </c>
      <c r="I1378" s="49">
        <v>23606</v>
      </c>
      <c r="J1378" s="49"/>
      <c r="K1378" s="49">
        <f t="shared" si="251"/>
        <v>23606</v>
      </c>
      <c r="L1378" s="123"/>
      <c r="M1378" s="49"/>
      <c r="N1378" s="49"/>
      <c r="O1378" s="49">
        <f t="shared" si="252"/>
        <v>0</v>
      </c>
      <c r="P1378" s="123"/>
      <c r="Q1378" s="49">
        <f t="shared" si="254"/>
        <v>23606</v>
      </c>
      <c r="R1378" s="49">
        <f t="shared" si="255"/>
        <v>0</v>
      </c>
      <c r="S1378" s="49">
        <f t="shared" si="255"/>
        <v>23606</v>
      </c>
    </row>
    <row r="1379" spans="2:19" x14ac:dyDescent="0.2">
      <c r="B1379" s="75">
        <f t="shared" si="253"/>
        <v>731</v>
      </c>
      <c r="C1379" s="15"/>
      <c r="D1379" s="15"/>
      <c r="E1379" s="15"/>
      <c r="F1379" s="52" t="s">
        <v>82</v>
      </c>
      <c r="G1379" s="15">
        <v>620</v>
      </c>
      <c r="H1379" s="15" t="s">
        <v>132</v>
      </c>
      <c r="I1379" s="49">
        <v>8900</v>
      </c>
      <c r="J1379" s="49"/>
      <c r="K1379" s="49">
        <f t="shared" si="251"/>
        <v>8900</v>
      </c>
      <c r="L1379" s="123"/>
      <c r="M1379" s="49"/>
      <c r="N1379" s="49"/>
      <c r="O1379" s="49">
        <f t="shared" si="252"/>
        <v>0</v>
      </c>
      <c r="P1379" s="123"/>
      <c r="Q1379" s="49">
        <f t="shared" si="254"/>
        <v>8900</v>
      </c>
      <c r="R1379" s="49">
        <f t="shared" si="255"/>
        <v>0</v>
      </c>
      <c r="S1379" s="49">
        <f t="shared" si="255"/>
        <v>8900</v>
      </c>
    </row>
    <row r="1380" spans="2:19" x14ac:dyDescent="0.2">
      <c r="B1380" s="75">
        <f t="shared" si="253"/>
        <v>732</v>
      </c>
      <c r="C1380" s="15"/>
      <c r="D1380" s="15"/>
      <c r="E1380" s="15"/>
      <c r="F1380" s="52" t="s">
        <v>82</v>
      </c>
      <c r="G1380" s="15">
        <v>630</v>
      </c>
      <c r="H1380" s="15" t="s">
        <v>129</v>
      </c>
      <c r="I1380" s="49">
        <f>I1385+I1384+I1383+I1382+I1381</f>
        <v>6932</v>
      </c>
      <c r="J1380" s="49">
        <f>J1385+J1384+J1383+J1382+J1381</f>
        <v>0</v>
      </c>
      <c r="K1380" s="49">
        <f t="shared" si="251"/>
        <v>6932</v>
      </c>
      <c r="L1380" s="123"/>
      <c r="M1380" s="49">
        <f>M1385+M1384+M1383+M1382+M1381</f>
        <v>0</v>
      </c>
      <c r="N1380" s="49">
        <f>N1385+N1384+N1383+N1382+N1381</f>
        <v>0</v>
      </c>
      <c r="O1380" s="49">
        <f t="shared" si="252"/>
        <v>0</v>
      </c>
      <c r="P1380" s="123"/>
      <c r="Q1380" s="49">
        <f t="shared" si="254"/>
        <v>6932</v>
      </c>
      <c r="R1380" s="49">
        <f t="shared" si="255"/>
        <v>0</v>
      </c>
      <c r="S1380" s="49">
        <f t="shared" si="255"/>
        <v>6932</v>
      </c>
    </row>
    <row r="1381" spans="2:19" x14ac:dyDescent="0.2">
      <c r="B1381" s="75">
        <f t="shared" si="253"/>
        <v>733</v>
      </c>
      <c r="C1381" s="4"/>
      <c r="D1381" s="4"/>
      <c r="E1381" s="4"/>
      <c r="F1381" s="53" t="s">
        <v>82</v>
      </c>
      <c r="G1381" s="4">
        <v>631</v>
      </c>
      <c r="H1381" s="4" t="s">
        <v>135</v>
      </c>
      <c r="I1381" s="26">
        <v>21</v>
      </c>
      <c r="J1381" s="26"/>
      <c r="K1381" s="26">
        <f t="shared" si="251"/>
        <v>21</v>
      </c>
      <c r="L1381" s="76"/>
      <c r="M1381" s="26"/>
      <c r="N1381" s="26"/>
      <c r="O1381" s="26">
        <f t="shared" si="252"/>
        <v>0</v>
      </c>
      <c r="P1381" s="76"/>
      <c r="Q1381" s="26">
        <f t="shared" si="254"/>
        <v>21</v>
      </c>
      <c r="R1381" s="26">
        <f t="shared" si="255"/>
        <v>0</v>
      </c>
      <c r="S1381" s="26">
        <f t="shared" si="255"/>
        <v>21</v>
      </c>
    </row>
    <row r="1382" spans="2:19" x14ac:dyDescent="0.2">
      <c r="B1382" s="75">
        <f t="shared" si="253"/>
        <v>734</v>
      </c>
      <c r="C1382" s="4"/>
      <c r="D1382" s="4"/>
      <c r="E1382" s="4"/>
      <c r="F1382" s="53" t="s">
        <v>82</v>
      </c>
      <c r="G1382" s="4">
        <v>632</v>
      </c>
      <c r="H1382" s="4" t="s">
        <v>140</v>
      </c>
      <c r="I1382" s="26">
        <v>3259</v>
      </c>
      <c r="J1382" s="26"/>
      <c r="K1382" s="26">
        <f t="shared" si="251"/>
        <v>3259</v>
      </c>
      <c r="L1382" s="76"/>
      <c r="M1382" s="26"/>
      <c r="N1382" s="26"/>
      <c r="O1382" s="26">
        <f t="shared" si="252"/>
        <v>0</v>
      </c>
      <c r="P1382" s="76"/>
      <c r="Q1382" s="26">
        <f t="shared" si="254"/>
        <v>3259</v>
      </c>
      <c r="R1382" s="26">
        <f t="shared" si="255"/>
        <v>0</v>
      </c>
      <c r="S1382" s="26">
        <f t="shared" si="255"/>
        <v>3259</v>
      </c>
    </row>
    <row r="1383" spans="2:19" x14ac:dyDescent="0.2">
      <c r="B1383" s="75">
        <f t="shared" si="253"/>
        <v>735</v>
      </c>
      <c r="C1383" s="4"/>
      <c r="D1383" s="4"/>
      <c r="E1383" s="4"/>
      <c r="F1383" s="53" t="s">
        <v>82</v>
      </c>
      <c r="G1383" s="4">
        <v>633</v>
      </c>
      <c r="H1383" s="4" t="s">
        <v>133</v>
      </c>
      <c r="I1383" s="26">
        <v>1240</v>
      </c>
      <c r="J1383" s="26"/>
      <c r="K1383" s="26">
        <f t="shared" si="251"/>
        <v>1240</v>
      </c>
      <c r="L1383" s="76"/>
      <c r="M1383" s="26"/>
      <c r="N1383" s="26"/>
      <c r="O1383" s="26">
        <f t="shared" si="252"/>
        <v>0</v>
      </c>
      <c r="P1383" s="76"/>
      <c r="Q1383" s="26">
        <f t="shared" si="254"/>
        <v>1240</v>
      </c>
      <c r="R1383" s="26">
        <f t="shared" si="255"/>
        <v>0</v>
      </c>
      <c r="S1383" s="26">
        <f t="shared" si="255"/>
        <v>1240</v>
      </c>
    </row>
    <row r="1384" spans="2:19" x14ac:dyDescent="0.2">
      <c r="B1384" s="75">
        <f t="shared" si="253"/>
        <v>736</v>
      </c>
      <c r="C1384" s="4"/>
      <c r="D1384" s="4"/>
      <c r="E1384" s="4"/>
      <c r="F1384" s="53" t="s">
        <v>82</v>
      </c>
      <c r="G1384" s="4">
        <v>635</v>
      </c>
      <c r="H1384" s="4" t="s">
        <v>139</v>
      </c>
      <c r="I1384" s="26">
        <v>1560</v>
      </c>
      <c r="J1384" s="26"/>
      <c r="K1384" s="26">
        <f t="shared" si="251"/>
        <v>1560</v>
      </c>
      <c r="L1384" s="76"/>
      <c r="M1384" s="26"/>
      <c r="N1384" s="26"/>
      <c r="O1384" s="26">
        <f t="shared" si="252"/>
        <v>0</v>
      </c>
      <c r="P1384" s="76"/>
      <c r="Q1384" s="26">
        <f t="shared" si="254"/>
        <v>1560</v>
      </c>
      <c r="R1384" s="26">
        <f t="shared" si="255"/>
        <v>0</v>
      </c>
      <c r="S1384" s="26">
        <f t="shared" si="255"/>
        <v>1560</v>
      </c>
    </row>
    <row r="1385" spans="2:19" x14ac:dyDescent="0.2">
      <c r="B1385" s="75">
        <f t="shared" si="253"/>
        <v>737</v>
      </c>
      <c r="C1385" s="4"/>
      <c r="D1385" s="4"/>
      <c r="E1385" s="4"/>
      <c r="F1385" s="53" t="s">
        <v>82</v>
      </c>
      <c r="G1385" s="4">
        <v>637</v>
      </c>
      <c r="H1385" s="4" t="s">
        <v>130</v>
      </c>
      <c r="I1385" s="26">
        <v>852</v>
      </c>
      <c r="J1385" s="26"/>
      <c r="K1385" s="26">
        <f t="shared" si="251"/>
        <v>852</v>
      </c>
      <c r="L1385" s="76"/>
      <c r="M1385" s="26"/>
      <c r="N1385" s="26"/>
      <c r="O1385" s="26">
        <f t="shared" si="252"/>
        <v>0</v>
      </c>
      <c r="P1385" s="76"/>
      <c r="Q1385" s="26">
        <f t="shared" si="254"/>
        <v>852</v>
      </c>
      <c r="R1385" s="26">
        <f t="shared" si="255"/>
        <v>0</v>
      </c>
      <c r="S1385" s="26">
        <f t="shared" si="255"/>
        <v>852</v>
      </c>
    </row>
    <row r="1386" spans="2:19" x14ac:dyDescent="0.2">
      <c r="B1386" s="75">
        <f t="shared" si="253"/>
        <v>738</v>
      </c>
      <c r="C1386" s="15"/>
      <c r="D1386" s="15"/>
      <c r="E1386" s="15"/>
      <c r="F1386" s="52" t="s">
        <v>82</v>
      </c>
      <c r="G1386" s="15">
        <v>640</v>
      </c>
      <c r="H1386" s="15" t="s">
        <v>136</v>
      </c>
      <c r="I1386" s="49">
        <v>118</v>
      </c>
      <c r="J1386" s="49"/>
      <c r="K1386" s="49">
        <f t="shared" si="251"/>
        <v>118</v>
      </c>
      <c r="L1386" s="123"/>
      <c r="M1386" s="49"/>
      <c r="N1386" s="49"/>
      <c r="O1386" s="49">
        <f t="shared" si="252"/>
        <v>0</v>
      </c>
      <c r="P1386" s="123"/>
      <c r="Q1386" s="49">
        <f t="shared" si="254"/>
        <v>118</v>
      </c>
      <c r="R1386" s="49">
        <f t="shared" si="255"/>
        <v>0</v>
      </c>
      <c r="S1386" s="49">
        <f t="shared" si="255"/>
        <v>118</v>
      </c>
    </row>
    <row r="1387" spans="2:19" x14ac:dyDescent="0.2">
      <c r="B1387" s="75">
        <f t="shared" si="253"/>
        <v>739</v>
      </c>
      <c r="C1387" s="15"/>
      <c r="D1387" s="15"/>
      <c r="E1387" s="15"/>
      <c r="F1387" s="52" t="s">
        <v>273</v>
      </c>
      <c r="G1387" s="15">
        <v>610</v>
      </c>
      <c r="H1387" s="15" t="s">
        <v>137</v>
      </c>
      <c r="I1387" s="49">
        <v>28925</v>
      </c>
      <c r="J1387" s="49"/>
      <c r="K1387" s="49">
        <f t="shared" si="251"/>
        <v>28925</v>
      </c>
      <c r="L1387" s="123"/>
      <c r="M1387" s="49"/>
      <c r="N1387" s="49"/>
      <c r="O1387" s="49">
        <f t="shared" si="252"/>
        <v>0</v>
      </c>
      <c r="P1387" s="123"/>
      <c r="Q1387" s="49">
        <f t="shared" si="254"/>
        <v>28925</v>
      </c>
      <c r="R1387" s="49">
        <f t="shared" si="255"/>
        <v>0</v>
      </c>
      <c r="S1387" s="49">
        <f t="shared" si="255"/>
        <v>28925</v>
      </c>
    </row>
    <row r="1388" spans="2:19" x14ac:dyDescent="0.2">
      <c r="B1388" s="75">
        <f t="shared" si="253"/>
        <v>740</v>
      </c>
      <c r="C1388" s="15"/>
      <c r="D1388" s="15"/>
      <c r="E1388" s="15"/>
      <c r="F1388" s="52" t="s">
        <v>273</v>
      </c>
      <c r="G1388" s="15">
        <v>620</v>
      </c>
      <c r="H1388" s="15" t="s">
        <v>132</v>
      </c>
      <c r="I1388" s="49">
        <v>10876</v>
      </c>
      <c r="J1388" s="49"/>
      <c r="K1388" s="49">
        <f t="shared" si="251"/>
        <v>10876</v>
      </c>
      <c r="L1388" s="123"/>
      <c r="M1388" s="49"/>
      <c r="N1388" s="49"/>
      <c r="O1388" s="49">
        <f t="shared" si="252"/>
        <v>0</v>
      </c>
      <c r="P1388" s="123"/>
      <c r="Q1388" s="49">
        <f t="shared" si="254"/>
        <v>10876</v>
      </c>
      <c r="R1388" s="49">
        <f t="shared" si="255"/>
        <v>0</v>
      </c>
      <c r="S1388" s="49">
        <f t="shared" si="255"/>
        <v>10876</v>
      </c>
    </row>
    <row r="1389" spans="2:19" x14ac:dyDescent="0.2">
      <c r="B1389" s="75">
        <f t="shared" si="253"/>
        <v>741</v>
      </c>
      <c r="C1389" s="15"/>
      <c r="D1389" s="15"/>
      <c r="E1389" s="15"/>
      <c r="F1389" s="52" t="s">
        <v>273</v>
      </c>
      <c r="G1389" s="15">
        <v>630</v>
      </c>
      <c r="H1389" s="15" t="s">
        <v>129</v>
      </c>
      <c r="I1389" s="49">
        <f>I1394+I1393+I1392+I1391+I1390</f>
        <v>8639</v>
      </c>
      <c r="J1389" s="49">
        <f>J1394+J1393+J1392+J1391+J1390</f>
        <v>0</v>
      </c>
      <c r="K1389" s="49">
        <f t="shared" si="251"/>
        <v>8639</v>
      </c>
      <c r="L1389" s="123"/>
      <c r="M1389" s="49">
        <f>M1394+M1393+M1392+M1391+M1390</f>
        <v>0</v>
      </c>
      <c r="N1389" s="49">
        <f>N1394+N1393+N1392+N1391+N1390</f>
        <v>0</v>
      </c>
      <c r="O1389" s="49">
        <f t="shared" si="252"/>
        <v>0</v>
      </c>
      <c r="P1389" s="123"/>
      <c r="Q1389" s="49">
        <f t="shared" si="254"/>
        <v>8639</v>
      </c>
      <c r="R1389" s="49">
        <f t="shared" si="255"/>
        <v>0</v>
      </c>
      <c r="S1389" s="49">
        <f t="shared" si="255"/>
        <v>8639</v>
      </c>
    </row>
    <row r="1390" spans="2:19" x14ac:dyDescent="0.2">
      <c r="B1390" s="75">
        <f t="shared" si="253"/>
        <v>742</v>
      </c>
      <c r="C1390" s="4"/>
      <c r="D1390" s="4"/>
      <c r="E1390" s="4"/>
      <c r="F1390" s="53" t="s">
        <v>273</v>
      </c>
      <c r="G1390" s="4">
        <v>631</v>
      </c>
      <c r="H1390" s="4" t="s">
        <v>135</v>
      </c>
      <c r="I1390" s="26">
        <v>31</v>
      </c>
      <c r="J1390" s="26"/>
      <c r="K1390" s="26">
        <f t="shared" si="251"/>
        <v>31</v>
      </c>
      <c r="L1390" s="76"/>
      <c r="M1390" s="26"/>
      <c r="N1390" s="26"/>
      <c r="O1390" s="26">
        <f t="shared" si="252"/>
        <v>0</v>
      </c>
      <c r="P1390" s="76"/>
      <c r="Q1390" s="26">
        <f t="shared" si="254"/>
        <v>31</v>
      </c>
      <c r="R1390" s="26">
        <f t="shared" si="255"/>
        <v>0</v>
      </c>
      <c r="S1390" s="26">
        <f t="shared" si="255"/>
        <v>31</v>
      </c>
    </row>
    <row r="1391" spans="2:19" x14ac:dyDescent="0.2">
      <c r="B1391" s="75">
        <f t="shared" si="253"/>
        <v>743</v>
      </c>
      <c r="C1391" s="4"/>
      <c r="D1391" s="4"/>
      <c r="E1391" s="4"/>
      <c r="F1391" s="53" t="s">
        <v>273</v>
      </c>
      <c r="G1391" s="4">
        <v>632</v>
      </c>
      <c r="H1391" s="4" t="s">
        <v>140</v>
      </c>
      <c r="I1391" s="26">
        <v>4147</v>
      </c>
      <c r="J1391" s="26"/>
      <c r="K1391" s="26">
        <f t="shared" si="251"/>
        <v>4147</v>
      </c>
      <c r="L1391" s="76"/>
      <c r="M1391" s="26"/>
      <c r="N1391" s="26"/>
      <c r="O1391" s="26">
        <f t="shared" si="252"/>
        <v>0</v>
      </c>
      <c r="P1391" s="76"/>
      <c r="Q1391" s="26">
        <f t="shared" si="254"/>
        <v>4147</v>
      </c>
      <c r="R1391" s="26">
        <f t="shared" si="255"/>
        <v>0</v>
      </c>
      <c r="S1391" s="26">
        <f t="shared" si="255"/>
        <v>4147</v>
      </c>
    </row>
    <row r="1392" spans="2:19" x14ac:dyDescent="0.2">
      <c r="B1392" s="75">
        <f t="shared" si="253"/>
        <v>744</v>
      </c>
      <c r="C1392" s="4"/>
      <c r="D1392" s="4"/>
      <c r="E1392" s="4"/>
      <c r="F1392" s="53" t="s">
        <v>273</v>
      </c>
      <c r="G1392" s="4">
        <v>633</v>
      </c>
      <c r="H1392" s="4" t="s">
        <v>133</v>
      </c>
      <c r="I1392" s="26">
        <v>1515</v>
      </c>
      <c r="J1392" s="26"/>
      <c r="K1392" s="26">
        <f t="shared" si="251"/>
        <v>1515</v>
      </c>
      <c r="L1392" s="76"/>
      <c r="M1392" s="26"/>
      <c r="N1392" s="26"/>
      <c r="O1392" s="26">
        <f t="shared" si="252"/>
        <v>0</v>
      </c>
      <c r="P1392" s="76"/>
      <c r="Q1392" s="26">
        <f t="shared" si="254"/>
        <v>1515</v>
      </c>
      <c r="R1392" s="26">
        <f t="shared" ref="R1392:S1396" si="256">N1392+J1392</f>
        <v>0</v>
      </c>
      <c r="S1392" s="26">
        <f t="shared" si="256"/>
        <v>1515</v>
      </c>
    </row>
    <row r="1393" spans="2:19" x14ac:dyDescent="0.2">
      <c r="B1393" s="75">
        <f t="shared" si="253"/>
        <v>745</v>
      </c>
      <c r="C1393" s="4"/>
      <c r="D1393" s="4"/>
      <c r="E1393" s="4"/>
      <c r="F1393" s="53" t="s">
        <v>273</v>
      </c>
      <c r="G1393" s="4">
        <v>635</v>
      </c>
      <c r="H1393" s="4" t="s">
        <v>139</v>
      </c>
      <c r="I1393" s="26">
        <v>1910</v>
      </c>
      <c r="J1393" s="26"/>
      <c r="K1393" s="26">
        <f t="shared" si="251"/>
        <v>1910</v>
      </c>
      <c r="L1393" s="76"/>
      <c r="M1393" s="26"/>
      <c r="N1393" s="26"/>
      <c r="O1393" s="26">
        <f t="shared" si="252"/>
        <v>0</v>
      </c>
      <c r="P1393" s="76"/>
      <c r="Q1393" s="26">
        <f t="shared" si="254"/>
        <v>1910</v>
      </c>
      <c r="R1393" s="26">
        <f t="shared" si="256"/>
        <v>0</v>
      </c>
      <c r="S1393" s="26">
        <f t="shared" si="256"/>
        <v>1910</v>
      </c>
    </row>
    <row r="1394" spans="2:19" x14ac:dyDescent="0.2">
      <c r="B1394" s="75">
        <f t="shared" si="253"/>
        <v>746</v>
      </c>
      <c r="C1394" s="4"/>
      <c r="D1394" s="4"/>
      <c r="E1394" s="4"/>
      <c r="F1394" s="53" t="s">
        <v>273</v>
      </c>
      <c r="G1394" s="4">
        <v>637</v>
      </c>
      <c r="H1394" s="4" t="s">
        <v>130</v>
      </c>
      <c r="I1394" s="26">
        <v>1036</v>
      </c>
      <c r="J1394" s="26"/>
      <c r="K1394" s="26">
        <f t="shared" si="251"/>
        <v>1036</v>
      </c>
      <c r="L1394" s="76"/>
      <c r="M1394" s="26"/>
      <c r="N1394" s="26"/>
      <c r="O1394" s="26">
        <f t="shared" si="252"/>
        <v>0</v>
      </c>
      <c r="P1394" s="76"/>
      <c r="Q1394" s="26">
        <f t="shared" si="254"/>
        <v>1036</v>
      </c>
      <c r="R1394" s="26">
        <f t="shared" si="256"/>
        <v>0</v>
      </c>
      <c r="S1394" s="26">
        <f t="shared" si="256"/>
        <v>1036</v>
      </c>
    </row>
    <row r="1395" spans="2:19" x14ac:dyDescent="0.2">
      <c r="B1395" s="75">
        <f t="shared" si="253"/>
        <v>747</v>
      </c>
      <c r="C1395" s="15"/>
      <c r="D1395" s="15"/>
      <c r="E1395" s="15"/>
      <c r="F1395" s="52" t="s">
        <v>273</v>
      </c>
      <c r="G1395" s="15">
        <v>640</v>
      </c>
      <c r="H1395" s="15" t="s">
        <v>136</v>
      </c>
      <c r="I1395" s="49">
        <v>150</v>
      </c>
      <c r="J1395" s="49"/>
      <c r="K1395" s="49">
        <f t="shared" si="251"/>
        <v>150</v>
      </c>
      <c r="L1395" s="123"/>
      <c r="M1395" s="49"/>
      <c r="N1395" s="49"/>
      <c r="O1395" s="49">
        <f t="shared" si="252"/>
        <v>0</v>
      </c>
      <c r="P1395" s="123"/>
      <c r="Q1395" s="49">
        <f t="shared" si="254"/>
        <v>150</v>
      </c>
      <c r="R1395" s="49">
        <f t="shared" si="256"/>
        <v>0</v>
      </c>
      <c r="S1395" s="49">
        <f t="shared" si="256"/>
        <v>150</v>
      </c>
    </row>
    <row r="1396" spans="2:19" x14ac:dyDescent="0.2">
      <c r="B1396" s="75">
        <f t="shared" si="253"/>
        <v>748</v>
      </c>
      <c r="C1396" s="15"/>
      <c r="D1396" s="15"/>
      <c r="E1396" s="15"/>
      <c r="F1396" s="52" t="s">
        <v>273</v>
      </c>
      <c r="G1396" s="15">
        <v>710</v>
      </c>
      <c r="H1396" s="15" t="s">
        <v>185</v>
      </c>
      <c r="I1396" s="49">
        <f>I1399</f>
        <v>0</v>
      </c>
      <c r="J1396" s="49">
        <f>J1399</f>
        <v>0</v>
      </c>
      <c r="K1396" s="49">
        <f t="shared" si="251"/>
        <v>0</v>
      </c>
      <c r="L1396" s="123"/>
      <c r="M1396" s="49">
        <f>M1399+M1397</f>
        <v>40000</v>
      </c>
      <c r="N1396" s="49">
        <f>N1399+N1397</f>
        <v>0</v>
      </c>
      <c r="O1396" s="49">
        <f t="shared" si="252"/>
        <v>40000</v>
      </c>
      <c r="P1396" s="123"/>
      <c r="Q1396" s="49">
        <f t="shared" si="254"/>
        <v>40000</v>
      </c>
      <c r="R1396" s="49">
        <f t="shared" si="256"/>
        <v>0</v>
      </c>
      <c r="S1396" s="49">
        <f t="shared" si="256"/>
        <v>40000</v>
      </c>
    </row>
    <row r="1397" spans="2:19" x14ac:dyDescent="0.2">
      <c r="B1397" s="75">
        <f t="shared" si="253"/>
        <v>749</v>
      </c>
      <c r="C1397" s="15"/>
      <c r="D1397" s="15"/>
      <c r="E1397" s="15"/>
      <c r="F1397" s="86" t="s">
        <v>273</v>
      </c>
      <c r="G1397" s="87">
        <v>716</v>
      </c>
      <c r="H1397" s="87" t="s">
        <v>0</v>
      </c>
      <c r="I1397" s="88"/>
      <c r="J1397" s="88"/>
      <c r="K1397" s="88">
        <f t="shared" si="251"/>
        <v>0</v>
      </c>
      <c r="L1397" s="76"/>
      <c r="M1397" s="88">
        <f>M1398</f>
        <v>5000</v>
      </c>
      <c r="N1397" s="88">
        <f>N1398</f>
        <v>0</v>
      </c>
      <c r="O1397" s="88">
        <f t="shared" si="252"/>
        <v>5000</v>
      </c>
      <c r="P1397" s="76"/>
      <c r="Q1397" s="88">
        <f>I1397+M1397</f>
        <v>5000</v>
      </c>
      <c r="R1397" s="88">
        <f t="shared" ref="R1397:S1398" si="257">J1397+N1397</f>
        <v>0</v>
      </c>
      <c r="S1397" s="88">
        <f t="shared" si="257"/>
        <v>5000</v>
      </c>
    </row>
    <row r="1398" spans="2:19" x14ac:dyDescent="0.2">
      <c r="B1398" s="75">
        <f t="shared" si="253"/>
        <v>750</v>
      </c>
      <c r="C1398" s="15"/>
      <c r="D1398" s="15"/>
      <c r="E1398" s="15"/>
      <c r="F1398" s="53"/>
      <c r="G1398" s="4"/>
      <c r="H1398" s="4" t="s">
        <v>606</v>
      </c>
      <c r="I1398" s="26"/>
      <c r="J1398" s="26"/>
      <c r="K1398" s="26">
        <f t="shared" si="251"/>
        <v>0</v>
      </c>
      <c r="L1398" s="76"/>
      <c r="M1398" s="26">
        <v>5000</v>
      </c>
      <c r="N1398" s="26"/>
      <c r="O1398" s="26">
        <f t="shared" si="252"/>
        <v>5000</v>
      </c>
      <c r="P1398" s="76"/>
      <c r="Q1398" s="26">
        <f>I1398+M1398</f>
        <v>5000</v>
      </c>
      <c r="R1398" s="26">
        <f t="shared" si="257"/>
        <v>0</v>
      </c>
      <c r="S1398" s="26">
        <f t="shared" si="257"/>
        <v>5000</v>
      </c>
    </row>
    <row r="1399" spans="2:19" x14ac:dyDescent="0.2">
      <c r="B1399" s="75">
        <f t="shared" si="253"/>
        <v>751</v>
      </c>
      <c r="C1399" s="4"/>
      <c r="D1399" s="4"/>
      <c r="E1399" s="4"/>
      <c r="F1399" s="86" t="s">
        <v>273</v>
      </c>
      <c r="G1399" s="87">
        <v>717</v>
      </c>
      <c r="H1399" s="87" t="s">
        <v>195</v>
      </c>
      <c r="I1399" s="88"/>
      <c r="J1399" s="88"/>
      <c r="K1399" s="88">
        <f t="shared" si="251"/>
        <v>0</v>
      </c>
      <c r="L1399" s="76"/>
      <c r="M1399" s="88">
        <f>M1400</f>
        <v>35000</v>
      </c>
      <c r="N1399" s="88">
        <f>N1400</f>
        <v>0</v>
      </c>
      <c r="O1399" s="88">
        <f t="shared" si="252"/>
        <v>35000</v>
      </c>
      <c r="P1399" s="76"/>
      <c r="Q1399" s="88">
        <f>M1399+I1399</f>
        <v>35000</v>
      </c>
      <c r="R1399" s="88">
        <f t="shared" ref="R1399:S1399" si="258">N1399+J1399</f>
        <v>0</v>
      </c>
      <c r="S1399" s="88">
        <f t="shared" si="258"/>
        <v>35000</v>
      </c>
    </row>
    <row r="1400" spans="2:19" x14ac:dyDescent="0.2">
      <c r="B1400" s="75">
        <f t="shared" si="253"/>
        <v>752</v>
      </c>
      <c r="C1400" s="4"/>
      <c r="D1400" s="4"/>
      <c r="E1400" s="4"/>
      <c r="F1400" s="64"/>
      <c r="G1400" s="60"/>
      <c r="H1400" s="60" t="s">
        <v>430</v>
      </c>
      <c r="I1400" s="58"/>
      <c r="J1400" s="58"/>
      <c r="K1400" s="58">
        <f t="shared" si="251"/>
        <v>0</v>
      </c>
      <c r="L1400" s="76"/>
      <c r="M1400" s="58">
        <f>40000-5000</f>
        <v>35000</v>
      </c>
      <c r="N1400" s="58"/>
      <c r="O1400" s="58">
        <f t="shared" si="252"/>
        <v>35000</v>
      </c>
      <c r="P1400" s="76"/>
      <c r="Q1400" s="58">
        <f>M1400</f>
        <v>35000</v>
      </c>
      <c r="R1400" s="58">
        <f t="shared" ref="R1400:S1400" si="259">N1400</f>
        <v>0</v>
      </c>
      <c r="S1400" s="58">
        <f t="shared" si="259"/>
        <v>35000</v>
      </c>
    </row>
    <row r="1401" spans="2:19" ht="15" x14ac:dyDescent="0.25">
      <c r="B1401" s="75">
        <f t="shared" si="253"/>
        <v>753</v>
      </c>
      <c r="C1401" s="18"/>
      <c r="D1401" s="18"/>
      <c r="E1401" s="18">
        <v>13</v>
      </c>
      <c r="F1401" s="50"/>
      <c r="G1401" s="18"/>
      <c r="H1401" s="18" t="s">
        <v>256</v>
      </c>
      <c r="I1401" s="47">
        <f>I1402+I1403+I1404+I1408+I1409+I1410+I1411+I1417</f>
        <v>74787</v>
      </c>
      <c r="J1401" s="47">
        <f>J1402+J1403+J1404+J1408+J1409+J1410+J1411+J1417</f>
        <v>512</v>
      </c>
      <c r="K1401" s="47">
        <f t="shared" si="251"/>
        <v>75299</v>
      </c>
      <c r="L1401" s="174"/>
      <c r="M1401" s="47">
        <f>M1402+M1403+M1404+M1408+M1409+M1410+M1411+M1417</f>
        <v>0</v>
      </c>
      <c r="N1401" s="47">
        <f>N1402+N1403+N1404+N1408+N1409+N1410+N1411+N1417</f>
        <v>0</v>
      </c>
      <c r="O1401" s="47">
        <f t="shared" si="252"/>
        <v>0</v>
      </c>
      <c r="P1401" s="174"/>
      <c r="Q1401" s="47">
        <f t="shared" ref="Q1401:Q1435" si="260">M1401+I1401</f>
        <v>74787</v>
      </c>
      <c r="R1401" s="47">
        <f t="shared" ref="R1401:S1416" si="261">N1401+J1401</f>
        <v>512</v>
      </c>
      <c r="S1401" s="47">
        <f t="shared" si="261"/>
        <v>75299</v>
      </c>
    </row>
    <row r="1402" spans="2:19" x14ac:dyDescent="0.2">
      <c r="B1402" s="75">
        <f t="shared" si="253"/>
        <v>754</v>
      </c>
      <c r="C1402" s="15"/>
      <c r="D1402" s="15"/>
      <c r="E1402" s="15"/>
      <c r="F1402" s="52" t="s">
        <v>82</v>
      </c>
      <c r="G1402" s="15">
        <v>610</v>
      </c>
      <c r="H1402" s="15" t="s">
        <v>137</v>
      </c>
      <c r="I1402" s="49">
        <f>19666</f>
        <v>19666</v>
      </c>
      <c r="J1402" s="49"/>
      <c r="K1402" s="49">
        <f t="shared" si="251"/>
        <v>19666</v>
      </c>
      <c r="L1402" s="123"/>
      <c r="M1402" s="49"/>
      <c r="N1402" s="49"/>
      <c r="O1402" s="49">
        <f t="shared" si="252"/>
        <v>0</v>
      </c>
      <c r="P1402" s="123"/>
      <c r="Q1402" s="49">
        <f t="shared" si="260"/>
        <v>19666</v>
      </c>
      <c r="R1402" s="49">
        <f t="shared" si="261"/>
        <v>0</v>
      </c>
      <c r="S1402" s="49">
        <f t="shared" si="261"/>
        <v>19666</v>
      </c>
    </row>
    <row r="1403" spans="2:19" x14ac:dyDescent="0.2">
      <c r="B1403" s="75">
        <f t="shared" si="253"/>
        <v>755</v>
      </c>
      <c r="C1403" s="15"/>
      <c r="D1403" s="15"/>
      <c r="E1403" s="15"/>
      <c r="F1403" s="52" t="s">
        <v>82</v>
      </c>
      <c r="G1403" s="15">
        <v>620</v>
      </c>
      <c r="H1403" s="15" t="s">
        <v>132</v>
      </c>
      <c r="I1403" s="49">
        <f>7142</f>
        <v>7142</v>
      </c>
      <c r="J1403" s="49"/>
      <c r="K1403" s="49">
        <f t="shared" si="251"/>
        <v>7142</v>
      </c>
      <c r="L1403" s="123"/>
      <c r="M1403" s="49"/>
      <c r="N1403" s="49"/>
      <c r="O1403" s="49">
        <f t="shared" si="252"/>
        <v>0</v>
      </c>
      <c r="P1403" s="123"/>
      <c r="Q1403" s="49">
        <f t="shared" si="260"/>
        <v>7142</v>
      </c>
      <c r="R1403" s="49">
        <f t="shared" si="261"/>
        <v>0</v>
      </c>
      <c r="S1403" s="49">
        <f t="shared" si="261"/>
        <v>7142</v>
      </c>
    </row>
    <row r="1404" spans="2:19" x14ac:dyDescent="0.2">
      <c r="B1404" s="75">
        <f t="shared" si="253"/>
        <v>756</v>
      </c>
      <c r="C1404" s="15"/>
      <c r="D1404" s="15"/>
      <c r="E1404" s="15"/>
      <c r="F1404" s="52" t="s">
        <v>82</v>
      </c>
      <c r="G1404" s="15">
        <v>630</v>
      </c>
      <c r="H1404" s="15" t="s">
        <v>129</v>
      </c>
      <c r="I1404" s="49">
        <f>I1407+I1406+I1405</f>
        <v>6711</v>
      </c>
      <c r="J1404" s="49">
        <f>J1407+J1406+J1405</f>
        <v>0</v>
      </c>
      <c r="K1404" s="49">
        <f t="shared" si="251"/>
        <v>6711</v>
      </c>
      <c r="L1404" s="123"/>
      <c r="M1404" s="49">
        <f>M1407+M1406+M1405</f>
        <v>0</v>
      </c>
      <c r="N1404" s="49">
        <f>N1407+N1406+N1405</f>
        <v>0</v>
      </c>
      <c r="O1404" s="49">
        <f t="shared" si="252"/>
        <v>0</v>
      </c>
      <c r="P1404" s="123"/>
      <c r="Q1404" s="49">
        <f t="shared" si="260"/>
        <v>6711</v>
      </c>
      <c r="R1404" s="49">
        <f t="shared" si="261"/>
        <v>0</v>
      </c>
      <c r="S1404" s="49">
        <f t="shared" si="261"/>
        <v>6711</v>
      </c>
    </row>
    <row r="1405" spans="2:19" x14ac:dyDescent="0.2">
      <c r="B1405" s="75">
        <f t="shared" si="253"/>
        <v>757</v>
      </c>
      <c r="C1405" s="4"/>
      <c r="D1405" s="4"/>
      <c r="E1405" s="4"/>
      <c r="F1405" s="53" t="s">
        <v>82</v>
      </c>
      <c r="G1405" s="4">
        <v>632</v>
      </c>
      <c r="H1405" s="4" t="s">
        <v>140</v>
      </c>
      <c r="I1405" s="26">
        <v>2190</v>
      </c>
      <c r="J1405" s="26"/>
      <c r="K1405" s="26">
        <f t="shared" si="251"/>
        <v>2190</v>
      </c>
      <c r="L1405" s="76"/>
      <c r="M1405" s="26"/>
      <c r="N1405" s="26"/>
      <c r="O1405" s="26">
        <f t="shared" si="252"/>
        <v>0</v>
      </c>
      <c r="P1405" s="76"/>
      <c r="Q1405" s="26">
        <f t="shared" si="260"/>
        <v>2190</v>
      </c>
      <c r="R1405" s="26">
        <f t="shared" si="261"/>
        <v>0</v>
      </c>
      <c r="S1405" s="26">
        <f t="shared" si="261"/>
        <v>2190</v>
      </c>
    </row>
    <row r="1406" spans="2:19" x14ac:dyDescent="0.2">
      <c r="B1406" s="75">
        <f t="shared" si="253"/>
        <v>758</v>
      </c>
      <c r="C1406" s="4"/>
      <c r="D1406" s="4"/>
      <c r="E1406" s="4"/>
      <c r="F1406" s="53" t="s">
        <v>82</v>
      </c>
      <c r="G1406" s="4">
        <v>633</v>
      </c>
      <c r="H1406" s="4" t="s">
        <v>133</v>
      </c>
      <c r="I1406" s="26">
        <v>3030</v>
      </c>
      <c r="J1406" s="26"/>
      <c r="K1406" s="26">
        <f t="shared" si="251"/>
        <v>3030</v>
      </c>
      <c r="L1406" s="76"/>
      <c r="M1406" s="26"/>
      <c r="N1406" s="26"/>
      <c r="O1406" s="26">
        <f t="shared" si="252"/>
        <v>0</v>
      </c>
      <c r="P1406" s="76"/>
      <c r="Q1406" s="26">
        <f t="shared" si="260"/>
        <v>3030</v>
      </c>
      <c r="R1406" s="26">
        <f t="shared" si="261"/>
        <v>0</v>
      </c>
      <c r="S1406" s="26">
        <f t="shared" si="261"/>
        <v>3030</v>
      </c>
    </row>
    <row r="1407" spans="2:19" x14ac:dyDescent="0.2">
      <c r="B1407" s="75">
        <f t="shared" si="253"/>
        <v>759</v>
      </c>
      <c r="C1407" s="4"/>
      <c r="D1407" s="4"/>
      <c r="E1407" s="4"/>
      <c r="F1407" s="53" t="s">
        <v>82</v>
      </c>
      <c r="G1407" s="4">
        <v>637</v>
      </c>
      <c r="H1407" s="4" t="s">
        <v>130</v>
      </c>
      <c r="I1407" s="26">
        <v>1491</v>
      </c>
      <c r="J1407" s="26"/>
      <c r="K1407" s="26">
        <f t="shared" si="251"/>
        <v>1491</v>
      </c>
      <c r="L1407" s="76"/>
      <c r="M1407" s="26"/>
      <c r="N1407" s="26"/>
      <c r="O1407" s="26">
        <f t="shared" si="252"/>
        <v>0</v>
      </c>
      <c r="P1407" s="76"/>
      <c r="Q1407" s="26">
        <f t="shared" si="260"/>
        <v>1491</v>
      </c>
      <c r="R1407" s="26">
        <f t="shared" si="261"/>
        <v>0</v>
      </c>
      <c r="S1407" s="26">
        <f t="shared" si="261"/>
        <v>1491</v>
      </c>
    </row>
    <row r="1408" spans="2:19" x14ac:dyDescent="0.2">
      <c r="B1408" s="75">
        <f t="shared" si="253"/>
        <v>760</v>
      </c>
      <c r="C1408" s="15"/>
      <c r="D1408" s="15"/>
      <c r="E1408" s="15"/>
      <c r="F1408" s="52" t="s">
        <v>82</v>
      </c>
      <c r="G1408" s="15">
        <v>640</v>
      </c>
      <c r="H1408" s="15" t="s">
        <v>136</v>
      </c>
      <c r="I1408" s="49">
        <v>20</v>
      </c>
      <c r="J1408" s="49"/>
      <c r="K1408" s="49">
        <f t="shared" si="251"/>
        <v>20</v>
      </c>
      <c r="L1408" s="123"/>
      <c r="M1408" s="49"/>
      <c r="N1408" s="49"/>
      <c r="O1408" s="49">
        <f t="shared" si="252"/>
        <v>0</v>
      </c>
      <c r="P1408" s="123"/>
      <c r="Q1408" s="49">
        <f t="shared" si="260"/>
        <v>20</v>
      </c>
      <c r="R1408" s="49">
        <f t="shared" si="261"/>
        <v>0</v>
      </c>
      <c r="S1408" s="49">
        <f t="shared" si="261"/>
        <v>20</v>
      </c>
    </row>
    <row r="1409" spans="2:19" x14ac:dyDescent="0.2">
      <c r="B1409" s="75">
        <f t="shared" si="253"/>
        <v>761</v>
      </c>
      <c r="C1409" s="15"/>
      <c r="D1409" s="15"/>
      <c r="E1409" s="15"/>
      <c r="F1409" s="52" t="s">
        <v>273</v>
      </c>
      <c r="G1409" s="15">
        <v>610</v>
      </c>
      <c r="H1409" s="15" t="s">
        <v>137</v>
      </c>
      <c r="I1409" s="49">
        <f>24102</f>
        <v>24102</v>
      </c>
      <c r="J1409" s="49"/>
      <c r="K1409" s="49">
        <f t="shared" si="251"/>
        <v>24102</v>
      </c>
      <c r="L1409" s="123"/>
      <c r="M1409" s="49"/>
      <c r="N1409" s="49"/>
      <c r="O1409" s="49">
        <f t="shared" si="252"/>
        <v>0</v>
      </c>
      <c r="P1409" s="123"/>
      <c r="Q1409" s="49">
        <f t="shared" si="260"/>
        <v>24102</v>
      </c>
      <c r="R1409" s="49">
        <f t="shared" si="261"/>
        <v>0</v>
      </c>
      <c r="S1409" s="49">
        <f t="shared" si="261"/>
        <v>24102</v>
      </c>
    </row>
    <row r="1410" spans="2:19" x14ac:dyDescent="0.2">
      <c r="B1410" s="75">
        <f t="shared" si="253"/>
        <v>762</v>
      </c>
      <c r="C1410" s="15"/>
      <c r="D1410" s="15"/>
      <c r="E1410" s="15"/>
      <c r="F1410" s="52" t="s">
        <v>273</v>
      </c>
      <c r="G1410" s="15">
        <v>620</v>
      </c>
      <c r="H1410" s="15" t="s">
        <v>132</v>
      </c>
      <c r="I1410" s="49">
        <f>8730</f>
        <v>8730</v>
      </c>
      <c r="J1410" s="49"/>
      <c r="K1410" s="49">
        <f t="shared" si="251"/>
        <v>8730</v>
      </c>
      <c r="L1410" s="123"/>
      <c r="M1410" s="49"/>
      <c r="N1410" s="49"/>
      <c r="O1410" s="49">
        <f t="shared" si="252"/>
        <v>0</v>
      </c>
      <c r="P1410" s="123"/>
      <c r="Q1410" s="49">
        <f t="shared" si="260"/>
        <v>8730</v>
      </c>
      <c r="R1410" s="49">
        <f t="shared" si="261"/>
        <v>0</v>
      </c>
      <c r="S1410" s="49">
        <f t="shared" si="261"/>
        <v>8730</v>
      </c>
    </row>
    <row r="1411" spans="2:19" x14ac:dyDescent="0.2">
      <c r="B1411" s="75">
        <f t="shared" si="253"/>
        <v>763</v>
      </c>
      <c r="C1411" s="15"/>
      <c r="D1411" s="15"/>
      <c r="E1411" s="15"/>
      <c r="F1411" s="52" t="s">
        <v>273</v>
      </c>
      <c r="G1411" s="15">
        <v>630</v>
      </c>
      <c r="H1411" s="15" t="s">
        <v>129</v>
      </c>
      <c r="I1411" s="49">
        <f>I1416+I1415+I1414+I1413+I1412</f>
        <v>8386</v>
      </c>
      <c r="J1411" s="49">
        <f>J1416+J1415+J1414+J1413+J1412</f>
        <v>512</v>
      </c>
      <c r="K1411" s="49">
        <f t="shared" si="251"/>
        <v>8898</v>
      </c>
      <c r="L1411" s="123"/>
      <c r="M1411" s="49">
        <f>M1416+M1415+M1414+M1413+M1412</f>
        <v>0</v>
      </c>
      <c r="N1411" s="49">
        <f>N1416+N1415+N1414+N1413+N1412</f>
        <v>0</v>
      </c>
      <c r="O1411" s="49">
        <f t="shared" si="252"/>
        <v>0</v>
      </c>
      <c r="P1411" s="123"/>
      <c r="Q1411" s="49">
        <f t="shared" si="260"/>
        <v>8386</v>
      </c>
      <c r="R1411" s="49">
        <f t="shared" si="261"/>
        <v>512</v>
      </c>
      <c r="S1411" s="49">
        <f t="shared" si="261"/>
        <v>8898</v>
      </c>
    </row>
    <row r="1412" spans="2:19" x14ac:dyDescent="0.2">
      <c r="B1412" s="75">
        <f t="shared" si="253"/>
        <v>764</v>
      </c>
      <c r="C1412" s="4"/>
      <c r="D1412" s="4"/>
      <c r="E1412" s="4"/>
      <c r="F1412" s="53" t="s">
        <v>273</v>
      </c>
      <c r="G1412" s="4">
        <v>631</v>
      </c>
      <c r="H1412" s="4" t="s">
        <v>135</v>
      </c>
      <c r="I1412" s="26">
        <v>51</v>
      </c>
      <c r="J1412" s="26"/>
      <c r="K1412" s="26">
        <f t="shared" si="251"/>
        <v>51</v>
      </c>
      <c r="L1412" s="76"/>
      <c r="M1412" s="26"/>
      <c r="N1412" s="26"/>
      <c r="O1412" s="26">
        <f t="shared" si="252"/>
        <v>0</v>
      </c>
      <c r="P1412" s="76"/>
      <c r="Q1412" s="26">
        <f t="shared" si="260"/>
        <v>51</v>
      </c>
      <c r="R1412" s="26">
        <f t="shared" si="261"/>
        <v>0</v>
      </c>
      <c r="S1412" s="26">
        <f t="shared" si="261"/>
        <v>51</v>
      </c>
    </row>
    <row r="1413" spans="2:19" x14ac:dyDescent="0.2">
      <c r="B1413" s="75">
        <f t="shared" si="253"/>
        <v>765</v>
      </c>
      <c r="C1413" s="4"/>
      <c r="D1413" s="4"/>
      <c r="E1413" s="4"/>
      <c r="F1413" s="53" t="s">
        <v>273</v>
      </c>
      <c r="G1413" s="4">
        <v>632</v>
      </c>
      <c r="H1413" s="4" t="s">
        <v>140</v>
      </c>
      <c r="I1413" s="26">
        <v>2675</v>
      </c>
      <c r="J1413" s="26"/>
      <c r="K1413" s="26">
        <f t="shared" si="251"/>
        <v>2675</v>
      </c>
      <c r="L1413" s="76"/>
      <c r="M1413" s="26"/>
      <c r="N1413" s="26"/>
      <c r="O1413" s="26">
        <f t="shared" si="252"/>
        <v>0</v>
      </c>
      <c r="P1413" s="76"/>
      <c r="Q1413" s="26">
        <f t="shared" si="260"/>
        <v>2675</v>
      </c>
      <c r="R1413" s="26">
        <f t="shared" si="261"/>
        <v>0</v>
      </c>
      <c r="S1413" s="26">
        <f t="shared" si="261"/>
        <v>2675</v>
      </c>
    </row>
    <row r="1414" spans="2:19" x14ac:dyDescent="0.2">
      <c r="B1414" s="75">
        <f t="shared" si="253"/>
        <v>766</v>
      </c>
      <c r="C1414" s="4"/>
      <c r="D1414" s="4"/>
      <c r="E1414" s="4"/>
      <c r="F1414" s="53" t="s">
        <v>273</v>
      </c>
      <c r="G1414" s="4">
        <v>633</v>
      </c>
      <c r="H1414" s="4" t="s">
        <v>133</v>
      </c>
      <c r="I1414" s="26">
        <v>3754</v>
      </c>
      <c r="J1414" s="26">
        <v>512</v>
      </c>
      <c r="K1414" s="26">
        <f t="shared" si="251"/>
        <v>4266</v>
      </c>
      <c r="L1414" s="76"/>
      <c r="M1414" s="26"/>
      <c r="N1414" s="26"/>
      <c r="O1414" s="26">
        <f t="shared" si="252"/>
        <v>0</v>
      </c>
      <c r="P1414" s="76"/>
      <c r="Q1414" s="26">
        <f t="shared" si="260"/>
        <v>3754</v>
      </c>
      <c r="R1414" s="26">
        <f t="shared" si="261"/>
        <v>512</v>
      </c>
      <c r="S1414" s="26">
        <f t="shared" si="261"/>
        <v>4266</v>
      </c>
    </row>
    <row r="1415" spans="2:19" x14ac:dyDescent="0.2">
      <c r="B1415" s="75">
        <f t="shared" si="253"/>
        <v>767</v>
      </c>
      <c r="C1415" s="4"/>
      <c r="D1415" s="4"/>
      <c r="E1415" s="4"/>
      <c r="F1415" s="53" t="s">
        <v>273</v>
      </c>
      <c r="G1415" s="4">
        <v>635</v>
      </c>
      <c r="H1415" s="4" t="s">
        <v>139</v>
      </c>
      <c r="I1415" s="26">
        <v>82</v>
      </c>
      <c r="J1415" s="26"/>
      <c r="K1415" s="26">
        <f t="shared" si="251"/>
        <v>82</v>
      </c>
      <c r="L1415" s="76"/>
      <c r="M1415" s="26"/>
      <c r="N1415" s="26"/>
      <c r="O1415" s="26">
        <f t="shared" si="252"/>
        <v>0</v>
      </c>
      <c r="P1415" s="76"/>
      <c r="Q1415" s="26">
        <f t="shared" si="260"/>
        <v>82</v>
      </c>
      <c r="R1415" s="26">
        <f t="shared" si="261"/>
        <v>0</v>
      </c>
      <c r="S1415" s="26">
        <f t="shared" si="261"/>
        <v>82</v>
      </c>
    </row>
    <row r="1416" spans="2:19" x14ac:dyDescent="0.2">
      <c r="B1416" s="75">
        <f t="shared" si="253"/>
        <v>768</v>
      </c>
      <c r="C1416" s="4"/>
      <c r="D1416" s="4"/>
      <c r="E1416" s="4"/>
      <c r="F1416" s="53" t="s">
        <v>273</v>
      </c>
      <c r="G1416" s="4">
        <v>637</v>
      </c>
      <c r="H1416" s="4" t="s">
        <v>130</v>
      </c>
      <c r="I1416" s="26">
        <v>1824</v>
      </c>
      <c r="J1416" s="26"/>
      <c r="K1416" s="26">
        <f t="shared" si="251"/>
        <v>1824</v>
      </c>
      <c r="L1416" s="76"/>
      <c r="M1416" s="26"/>
      <c r="N1416" s="26"/>
      <c r="O1416" s="26">
        <f t="shared" si="252"/>
        <v>0</v>
      </c>
      <c r="P1416" s="76"/>
      <c r="Q1416" s="26">
        <f t="shared" si="260"/>
        <v>1824</v>
      </c>
      <c r="R1416" s="26">
        <f t="shared" si="261"/>
        <v>0</v>
      </c>
      <c r="S1416" s="26">
        <f t="shared" si="261"/>
        <v>1824</v>
      </c>
    </row>
    <row r="1417" spans="2:19" x14ac:dyDescent="0.2">
      <c r="B1417" s="75">
        <f t="shared" si="253"/>
        <v>769</v>
      </c>
      <c r="C1417" s="15"/>
      <c r="D1417" s="15"/>
      <c r="E1417" s="15"/>
      <c r="F1417" s="52" t="s">
        <v>273</v>
      </c>
      <c r="G1417" s="15">
        <v>640</v>
      </c>
      <c r="H1417" s="15" t="s">
        <v>136</v>
      </c>
      <c r="I1417" s="49">
        <v>30</v>
      </c>
      <c r="J1417" s="49"/>
      <c r="K1417" s="49">
        <f t="shared" si="251"/>
        <v>30</v>
      </c>
      <c r="L1417" s="123"/>
      <c r="M1417" s="49"/>
      <c r="N1417" s="49"/>
      <c r="O1417" s="49">
        <f t="shared" si="252"/>
        <v>0</v>
      </c>
      <c r="P1417" s="123"/>
      <c r="Q1417" s="49">
        <f t="shared" si="260"/>
        <v>30</v>
      </c>
      <c r="R1417" s="49">
        <f t="shared" ref="R1417:S1432" si="262">N1417+J1417</f>
        <v>0</v>
      </c>
      <c r="S1417" s="49">
        <f t="shared" si="262"/>
        <v>30</v>
      </c>
    </row>
    <row r="1418" spans="2:19" ht="15" x14ac:dyDescent="0.2">
      <c r="B1418" s="75">
        <f t="shared" si="253"/>
        <v>770</v>
      </c>
      <c r="C1418" s="164">
        <v>5</v>
      </c>
      <c r="D1418" s="230" t="s">
        <v>128</v>
      </c>
      <c r="E1418" s="228"/>
      <c r="F1418" s="228"/>
      <c r="G1418" s="228"/>
      <c r="H1418" s="229"/>
      <c r="I1418" s="45">
        <f>I1419+I1422+I1424+I1436</f>
        <v>283726</v>
      </c>
      <c r="J1418" s="45">
        <f>J1419+J1422+J1424+J1436</f>
        <v>-27150</v>
      </c>
      <c r="K1418" s="45">
        <f t="shared" si="251"/>
        <v>256576</v>
      </c>
      <c r="L1418" s="172"/>
      <c r="M1418" s="45">
        <f>M1419+M1422+M1424+M1436</f>
        <v>0</v>
      </c>
      <c r="N1418" s="45">
        <f>N1419+N1422+N1424+N1436</f>
        <v>0</v>
      </c>
      <c r="O1418" s="45">
        <f t="shared" si="252"/>
        <v>0</v>
      </c>
      <c r="P1418" s="172"/>
      <c r="Q1418" s="45">
        <f t="shared" si="260"/>
        <v>283726</v>
      </c>
      <c r="R1418" s="45">
        <f t="shared" si="262"/>
        <v>-27150</v>
      </c>
      <c r="S1418" s="45">
        <f t="shared" si="262"/>
        <v>256576</v>
      </c>
    </row>
    <row r="1419" spans="2:19" x14ac:dyDescent="0.2">
      <c r="B1419" s="75">
        <f t="shared" si="253"/>
        <v>771</v>
      </c>
      <c r="C1419" s="14"/>
      <c r="D1419" s="14"/>
      <c r="E1419" s="14"/>
      <c r="F1419" s="51"/>
      <c r="G1419" s="14"/>
      <c r="H1419" s="14" t="s">
        <v>346</v>
      </c>
      <c r="I1419" s="48">
        <f>I1420</f>
        <v>3150</v>
      </c>
      <c r="J1419" s="48">
        <f>J1420</f>
        <v>0</v>
      </c>
      <c r="K1419" s="48">
        <f t="shared" si="251"/>
        <v>3150</v>
      </c>
      <c r="L1419" s="123"/>
      <c r="M1419" s="48">
        <f>M1420</f>
        <v>0</v>
      </c>
      <c r="N1419" s="48">
        <f>N1420</f>
        <v>0</v>
      </c>
      <c r="O1419" s="48">
        <f t="shared" si="252"/>
        <v>0</v>
      </c>
      <c r="P1419" s="123"/>
      <c r="Q1419" s="48">
        <f t="shared" si="260"/>
        <v>3150</v>
      </c>
      <c r="R1419" s="48">
        <f t="shared" si="262"/>
        <v>0</v>
      </c>
      <c r="S1419" s="48">
        <f t="shared" si="262"/>
        <v>3150</v>
      </c>
    </row>
    <row r="1420" spans="2:19" x14ac:dyDescent="0.2">
      <c r="B1420" s="75">
        <f t="shared" si="253"/>
        <v>772</v>
      </c>
      <c r="C1420" s="15"/>
      <c r="D1420" s="15"/>
      <c r="E1420" s="15"/>
      <c r="F1420" s="52" t="s">
        <v>127</v>
      </c>
      <c r="G1420" s="15">
        <v>630</v>
      </c>
      <c r="H1420" s="15" t="s">
        <v>129</v>
      </c>
      <c r="I1420" s="49">
        <f>I1421</f>
        <v>3150</v>
      </c>
      <c r="J1420" s="49">
        <f>J1421</f>
        <v>0</v>
      </c>
      <c r="K1420" s="49">
        <f t="shared" si="251"/>
        <v>3150</v>
      </c>
      <c r="L1420" s="123"/>
      <c r="M1420" s="49">
        <f>M1421</f>
        <v>0</v>
      </c>
      <c r="N1420" s="49">
        <f>N1421</f>
        <v>0</v>
      </c>
      <c r="O1420" s="49">
        <f t="shared" si="252"/>
        <v>0</v>
      </c>
      <c r="P1420" s="123"/>
      <c r="Q1420" s="49">
        <f t="shared" si="260"/>
        <v>3150</v>
      </c>
      <c r="R1420" s="49">
        <f t="shared" si="262"/>
        <v>0</v>
      </c>
      <c r="S1420" s="49">
        <f t="shared" si="262"/>
        <v>3150</v>
      </c>
    </row>
    <row r="1421" spans="2:19" x14ac:dyDescent="0.2">
      <c r="B1421" s="75">
        <f t="shared" si="253"/>
        <v>773</v>
      </c>
      <c r="C1421" s="4"/>
      <c r="D1421" s="4"/>
      <c r="E1421" s="4"/>
      <c r="F1421" s="53" t="s">
        <v>127</v>
      </c>
      <c r="G1421" s="4">
        <v>633</v>
      </c>
      <c r="H1421" s="4" t="s">
        <v>133</v>
      </c>
      <c r="I1421" s="26">
        <v>3150</v>
      </c>
      <c r="J1421" s="26"/>
      <c r="K1421" s="26">
        <f t="shared" si="251"/>
        <v>3150</v>
      </c>
      <c r="L1421" s="76"/>
      <c r="M1421" s="26"/>
      <c r="N1421" s="26"/>
      <c r="O1421" s="26">
        <f t="shared" si="252"/>
        <v>0</v>
      </c>
      <c r="P1421" s="76"/>
      <c r="Q1421" s="26">
        <f t="shared" si="260"/>
        <v>3150</v>
      </c>
      <c r="R1421" s="26">
        <f t="shared" si="262"/>
        <v>0</v>
      </c>
      <c r="S1421" s="26">
        <f t="shared" si="262"/>
        <v>3150</v>
      </c>
    </row>
    <row r="1422" spans="2:19" x14ac:dyDescent="0.2">
      <c r="B1422" s="75">
        <f t="shared" si="253"/>
        <v>774</v>
      </c>
      <c r="C1422" s="14"/>
      <c r="D1422" s="14"/>
      <c r="E1422" s="14"/>
      <c r="F1422" s="51"/>
      <c r="G1422" s="14"/>
      <c r="H1422" s="14" t="s">
        <v>347</v>
      </c>
      <c r="I1422" s="48">
        <f>I1423</f>
        <v>6000</v>
      </c>
      <c r="J1422" s="48">
        <f>J1423</f>
        <v>0</v>
      </c>
      <c r="K1422" s="48">
        <f t="shared" si="251"/>
        <v>6000</v>
      </c>
      <c r="L1422" s="123"/>
      <c r="M1422" s="48">
        <f>M1423</f>
        <v>0</v>
      </c>
      <c r="N1422" s="48">
        <f>N1423</f>
        <v>0</v>
      </c>
      <c r="O1422" s="48">
        <f t="shared" si="252"/>
        <v>0</v>
      </c>
      <c r="P1422" s="123"/>
      <c r="Q1422" s="48">
        <f t="shared" si="260"/>
        <v>6000</v>
      </c>
      <c r="R1422" s="48">
        <f t="shared" si="262"/>
        <v>0</v>
      </c>
      <c r="S1422" s="48">
        <f t="shared" si="262"/>
        <v>6000</v>
      </c>
    </row>
    <row r="1423" spans="2:19" x14ac:dyDescent="0.2">
      <c r="B1423" s="75">
        <f t="shared" si="253"/>
        <v>775</v>
      </c>
      <c r="C1423" s="15"/>
      <c r="D1423" s="15"/>
      <c r="E1423" s="15"/>
      <c r="F1423" s="52" t="s">
        <v>127</v>
      </c>
      <c r="G1423" s="15">
        <v>640</v>
      </c>
      <c r="H1423" s="15" t="s">
        <v>136</v>
      </c>
      <c r="I1423" s="49">
        <v>6000</v>
      </c>
      <c r="J1423" s="49"/>
      <c r="K1423" s="49">
        <f t="shared" si="251"/>
        <v>6000</v>
      </c>
      <c r="L1423" s="123"/>
      <c r="M1423" s="49"/>
      <c r="N1423" s="49"/>
      <c r="O1423" s="49">
        <f t="shared" si="252"/>
        <v>0</v>
      </c>
      <c r="P1423" s="123"/>
      <c r="Q1423" s="49">
        <f t="shared" si="260"/>
        <v>6000</v>
      </c>
      <c r="R1423" s="49">
        <f t="shared" si="262"/>
        <v>0</v>
      </c>
      <c r="S1423" s="49">
        <f t="shared" si="262"/>
        <v>6000</v>
      </c>
    </row>
    <row r="1424" spans="2:19" x14ac:dyDescent="0.2">
      <c r="B1424" s="75">
        <f t="shared" si="253"/>
        <v>776</v>
      </c>
      <c r="C1424" s="14"/>
      <c r="D1424" s="14"/>
      <c r="E1424" s="14"/>
      <c r="F1424" s="51"/>
      <c r="G1424" s="14"/>
      <c r="H1424" s="14" t="s">
        <v>131</v>
      </c>
      <c r="I1424" s="48">
        <f>I1425+I1426+I1427+I1435</f>
        <v>40269</v>
      </c>
      <c r="J1424" s="48">
        <f>J1425+J1426+J1427+J1435</f>
        <v>0</v>
      </c>
      <c r="K1424" s="48">
        <f t="shared" si="251"/>
        <v>40269</v>
      </c>
      <c r="L1424" s="123"/>
      <c r="M1424" s="48">
        <f>M1425+M1426+M1427+M1435</f>
        <v>0</v>
      </c>
      <c r="N1424" s="48">
        <f>N1425+N1426+N1427+N1435</f>
        <v>0</v>
      </c>
      <c r="O1424" s="48">
        <f t="shared" si="252"/>
        <v>0</v>
      </c>
      <c r="P1424" s="123"/>
      <c r="Q1424" s="48">
        <f t="shared" si="260"/>
        <v>40269</v>
      </c>
      <c r="R1424" s="48">
        <f t="shared" si="262"/>
        <v>0</v>
      </c>
      <c r="S1424" s="48">
        <f t="shared" si="262"/>
        <v>40269</v>
      </c>
    </row>
    <row r="1425" spans="2:19" x14ac:dyDescent="0.2">
      <c r="B1425" s="75">
        <f t="shared" si="253"/>
        <v>777</v>
      </c>
      <c r="C1425" s="15"/>
      <c r="D1425" s="15"/>
      <c r="E1425" s="15"/>
      <c r="F1425" s="52" t="s">
        <v>281</v>
      </c>
      <c r="G1425" s="15">
        <v>610</v>
      </c>
      <c r="H1425" s="15" t="s">
        <v>137</v>
      </c>
      <c r="I1425" s="49">
        <v>24300</v>
      </c>
      <c r="J1425" s="49"/>
      <c r="K1425" s="49">
        <f t="shared" si="251"/>
        <v>24300</v>
      </c>
      <c r="L1425" s="123"/>
      <c r="M1425" s="49"/>
      <c r="N1425" s="49"/>
      <c r="O1425" s="49">
        <f t="shared" si="252"/>
        <v>0</v>
      </c>
      <c r="P1425" s="123"/>
      <c r="Q1425" s="49">
        <f t="shared" si="260"/>
        <v>24300</v>
      </c>
      <c r="R1425" s="49">
        <f t="shared" si="262"/>
        <v>0</v>
      </c>
      <c r="S1425" s="49">
        <f t="shared" si="262"/>
        <v>24300</v>
      </c>
    </row>
    <row r="1426" spans="2:19" x14ac:dyDescent="0.2">
      <c r="B1426" s="75">
        <f t="shared" si="253"/>
        <v>778</v>
      </c>
      <c r="C1426" s="15"/>
      <c r="D1426" s="15"/>
      <c r="E1426" s="15"/>
      <c r="F1426" s="52" t="s">
        <v>281</v>
      </c>
      <c r="G1426" s="15">
        <v>620</v>
      </c>
      <c r="H1426" s="15" t="s">
        <v>132</v>
      </c>
      <c r="I1426" s="49">
        <v>9602</v>
      </c>
      <c r="J1426" s="49"/>
      <c r="K1426" s="49">
        <f t="shared" si="251"/>
        <v>9602</v>
      </c>
      <c r="L1426" s="123"/>
      <c r="M1426" s="49"/>
      <c r="N1426" s="49"/>
      <c r="O1426" s="49">
        <f t="shared" si="252"/>
        <v>0</v>
      </c>
      <c r="P1426" s="123"/>
      <c r="Q1426" s="49">
        <f t="shared" si="260"/>
        <v>9602</v>
      </c>
      <c r="R1426" s="49">
        <f t="shared" si="262"/>
        <v>0</v>
      </c>
      <c r="S1426" s="49">
        <f t="shared" si="262"/>
        <v>9602</v>
      </c>
    </row>
    <row r="1427" spans="2:19" x14ac:dyDescent="0.2">
      <c r="B1427" s="75">
        <f t="shared" si="253"/>
        <v>779</v>
      </c>
      <c r="C1427" s="15"/>
      <c r="D1427" s="15"/>
      <c r="E1427" s="15"/>
      <c r="F1427" s="52" t="s">
        <v>281</v>
      </c>
      <c r="G1427" s="15">
        <v>630</v>
      </c>
      <c r="H1427" s="15" t="s">
        <v>129</v>
      </c>
      <c r="I1427" s="49">
        <f>I1432+I1431+I1430+I1429+I1428+I1433+I1434</f>
        <v>4567</v>
      </c>
      <c r="J1427" s="49">
        <f>J1432+J1431+J1430+J1429+J1428+J1433+J1434</f>
        <v>0</v>
      </c>
      <c r="K1427" s="49">
        <f t="shared" si="251"/>
        <v>4567</v>
      </c>
      <c r="L1427" s="123"/>
      <c r="M1427" s="49">
        <f>M1432+M1431+M1430+M1429+M1428</f>
        <v>0</v>
      </c>
      <c r="N1427" s="49">
        <f>N1432+N1431+N1430+N1429+N1428</f>
        <v>0</v>
      </c>
      <c r="O1427" s="49">
        <f t="shared" si="252"/>
        <v>0</v>
      </c>
      <c r="P1427" s="123"/>
      <c r="Q1427" s="49">
        <f t="shared" si="260"/>
        <v>4567</v>
      </c>
      <c r="R1427" s="49">
        <f t="shared" si="262"/>
        <v>0</v>
      </c>
      <c r="S1427" s="49">
        <f t="shared" si="262"/>
        <v>4567</v>
      </c>
    </row>
    <row r="1428" spans="2:19" x14ac:dyDescent="0.2">
      <c r="B1428" s="75">
        <f t="shared" si="253"/>
        <v>780</v>
      </c>
      <c r="C1428" s="4"/>
      <c r="D1428" s="4"/>
      <c r="E1428" s="4"/>
      <c r="F1428" s="53" t="s">
        <v>281</v>
      </c>
      <c r="G1428" s="4">
        <v>631</v>
      </c>
      <c r="H1428" s="4" t="s">
        <v>135</v>
      </c>
      <c r="I1428" s="26">
        <v>50</v>
      </c>
      <c r="J1428" s="26"/>
      <c r="K1428" s="26">
        <f t="shared" si="251"/>
        <v>50</v>
      </c>
      <c r="L1428" s="76"/>
      <c r="M1428" s="26"/>
      <c r="N1428" s="26"/>
      <c r="O1428" s="26">
        <f t="shared" si="252"/>
        <v>0</v>
      </c>
      <c r="P1428" s="76"/>
      <c r="Q1428" s="26">
        <f t="shared" si="260"/>
        <v>50</v>
      </c>
      <c r="R1428" s="26">
        <f t="shared" si="262"/>
        <v>0</v>
      </c>
      <c r="S1428" s="26">
        <f t="shared" si="262"/>
        <v>50</v>
      </c>
    </row>
    <row r="1429" spans="2:19" x14ac:dyDescent="0.2">
      <c r="B1429" s="75">
        <f t="shared" si="253"/>
        <v>781</v>
      </c>
      <c r="C1429" s="4"/>
      <c r="D1429" s="4"/>
      <c r="E1429" s="4"/>
      <c r="F1429" s="53" t="s">
        <v>281</v>
      </c>
      <c r="G1429" s="4">
        <v>632</v>
      </c>
      <c r="H1429" s="4" t="s">
        <v>140</v>
      </c>
      <c r="I1429" s="26">
        <v>400</v>
      </c>
      <c r="J1429" s="26"/>
      <c r="K1429" s="26">
        <f t="shared" si="251"/>
        <v>400</v>
      </c>
      <c r="L1429" s="76"/>
      <c r="M1429" s="26"/>
      <c r="N1429" s="26"/>
      <c r="O1429" s="26">
        <f t="shared" si="252"/>
        <v>0</v>
      </c>
      <c r="P1429" s="76"/>
      <c r="Q1429" s="26">
        <f t="shared" si="260"/>
        <v>400</v>
      </c>
      <c r="R1429" s="26">
        <f t="shared" si="262"/>
        <v>0</v>
      </c>
      <c r="S1429" s="26">
        <f t="shared" si="262"/>
        <v>400</v>
      </c>
    </row>
    <row r="1430" spans="2:19" x14ac:dyDescent="0.2">
      <c r="B1430" s="75">
        <f t="shared" si="253"/>
        <v>782</v>
      </c>
      <c r="C1430" s="4"/>
      <c r="D1430" s="4"/>
      <c r="E1430" s="4"/>
      <c r="F1430" s="53" t="s">
        <v>281</v>
      </c>
      <c r="G1430" s="4">
        <v>633</v>
      </c>
      <c r="H1430" s="4" t="s">
        <v>133</v>
      </c>
      <c r="I1430" s="26">
        <f>3920-3150</f>
        <v>770</v>
      </c>
      <c r="J1430" s="26"/>
      <c r="K1430" s="26">
        <f t="shared" si="251"/>
        <v>770</v>
      </c>
      <c r="L1430" s="76"/>
      <c r="M1430" s="26"/>
      <c r="N1430" s="26"/>
      <c r="O1430" s="26">
        <f t="shared" si="252"/>
        <v>0</v>
      </c>
      <c r="P1430" s="76"/>
      <c r="Q1430" s="26">
        <f t="shared" si="260"/>
        <v>770</v>
      </c>
      <c r="R1430" s="26">
        <f t="shared" si="262"/>
        <v>0</v>
      </c>
      <c r="S1430" s="26">
        <f t="shared" si="262"/>
        <v>770</v>
      </c>
    </row>
    <row r="1431" spans="2:19" x14ac:dyDescent="0.2">
      <c r="B1431" s="75">
        <f t="shared" si="253"/>
        <v>783</v>
      </c>
      <c r="C1431" s="4"/>
      <c r="D1431" s="4"/>
      <c r="E1431" s="4"/>
      <c r="F1431" s="53" t="s">
        <v>281</v>
      </c>
      <c r="G1431" s="4">
        <v>635</v>
      </c>
      <c r="H1431" s="4" t="s">
        <v>139</v>
      </c>
      <c r="I1431" s="26">
        <v>303</v>
      </c>
      <c r="J1431" s="26"/>
      <c r="K1431" s="26">
        <f t="shared" ref="K1431:K1446" si="263">I1431+J1431</f>
        <v>303</v>
      </c>
      <c r="L1431" s="76"/>
      <c r="M1431" s="26"/>
      <c r="N1431" s="26"/>
      <c r="O1431" s="26">
        <f t="shared" ref="O1431:O1446" si="264">M1431+N1431</f>
        <v>0</v>
      </c>
      <c r="P1431" s="76"/>
      <c r="Q1431" s="26">
        <f t="shared" si="260"/>
        <v>303</v>
      </c>
      <c r="R1431" s="26">
        <f t="shared" si="262"/>
        <v>0</v>
      </c>
      <c r="S1431" s="26">
        <f t="shared" si="262"/>
        <v>303</v>
      </c>
    </row>
    <row r="1432" spans="2:19" x14ac:dyDescent="0.2">
      <c r="B1432" s="75">
        <f t="shared" ref="B1432:B1446" si="265">B1431+1</f>
        <v>784</v>
      </c>
      <c r="C1432" s="4"/>
      <c r="D1432" s="4"/>
      <c r="E1432" s="4"/>
      <c r="F1432" s="53" t="s">
        <v>281</v>
      </c>
      <c r="G1432" s="4">
        <v>637</v>
      </c>
      <c r="H1432" s="4" t="s">
        <v>130</v>
      </c>
      <c r="I1432" s="26">
        <v>1580</v>
      </c>
      <c r="J1432" s="26"/>
      <c r="K1432" s="26">
        <f t="shared" si="263"/>
        <v>1580</v>
      </c>
      <c r="L1432" s="76"/>
      <c r="M1432" s="26"/>
      <c r="N1432" s="26"/>
      <c r="O1432" s="26">
        <f t="shared" si="264"/>
        <v>0</v>
      </c>
      <c r="P1432" s="76"/>
      <c r="Q1432" s="26">
        <f t="shared" si="260"/>
        <v>1580</v>
      </c>
      <c r="R1432" s="26">
        <f t="shared" si="262"/>
        <v>0</v>
      </c>
      <c r="S1432" s="26">
        <f t="shared" si="262"/>
        <v>1580</v>
      </c>
    </row>
    <row r="1433" spans="2:19" x14ac:dyDescent="0.2">
      <c r="B1433" s="75">
        <f t="shared" si="265"/>
        <v>785</v>
      </c>
      <c r="C1433" s="4"/>
      <c r="D1433" s="4"/>
      <c r="E1433" s="4"/>
      <c r="F1433" s="53" t="s">
        <v>281</v>
      </c>
      <c r="G1433" s="4">
        <v>630</v>
      </c>
      <c r="H1433" s="4" t="s">
        <v>624</v>
      </c>
      <c r="I1433" s="26">
        <v>1178</v>
      </c>
      <c r="J1433" s="26"/>
      <c r="K1433" s="26">
        <f t="shared" si="263"/>
        <v>1178</v>
      </c>
      <c r="L1433" s="76"/>
      <c r="M1433" s="26"/>
      <c r="N1433" s="26"/>
      <c r="O1433" s="26">
        <f t="shared" si="264"/>
        <v>0</v>
      </c>
      <c r="P1433" s="76"/>
      <c r="Q1433" s="26">
        <f t="shared" si="260"/>
        <v>1178</v>
      </c>
      <c r="R1433" s="26">
        <f t="shared" ref="R1433:S1435" si="266">N1433+J1433</f>
        <v>0</v>
      </c>
      <c r="S1433" s="26">
        <f t="shared" si="266"/>
        <v>1178</v>
      </c>
    </row>
    <row r="1434" spans="2:19" x14ac:dyDescent="0.2">
      <c r="B1434" s="75">
        <f t="shared" si="265"/>
        <v>786</v>
      </c>
      <c r="C1434" s="4"/>
      <c r="D1434" s="4"/>
      <c r="E1434" s="4"/>
      <c r="F1434" s="53" t="s">
        <v>281</v>
      </c>
      <c r="G1434" s="4">
        <v>630</v>
      </c>
      <c r="H1434" s="4" t="s">
        <v>610</v>
      </c>
      <c r="I1434" s="26">
        <v>286</v>
      </c>
      <c r="J1434" s="26"/>
      <c r="K1434" s="26">
        <f t="shared" si="263"/>
        <v>286</v>
      </c>
      <c r="L1434" s="76"/>
      <c r="M1434" s="26"/>
      <c r="N1434" s="26"/>
      <c r="O1434" s="26">
        <f t="shared" si="264"/>
        <v>0</v>
      </c>
      <c r="P1434" s="76"/>
      <c r="Q1434" s="26">
        <f t="shared" si="260"/>
        <v>286</v>
      </c>
      <c r="R1434" s="26">
        <f t="shared" si="266"/>
        <v>0</v>
      </c>
      <c r="S1434" s="26">
        <f t="shared" si="266"/>
        <v>286</v>
      </c>
    </row>
    <row r="1435" spans="2:19" x14ac:dyDescent="0.2">
      <c r="B1435" s="75">
        <f t="shared" si="265"/>
        <v>787</v>
      </c>
      <c r="C1435" s="15"/>
      <c r="D1435" s="15"/>
      <c r="E1435" s="15"/>
      <c r="F1435" s="52" t="s">
        <v>281</v>
      </c>
      <c r="G1435" s="15">
        <v>640</v>
      </c>
      <c r="H1435" s="15" t="s">
        <v>136</v>
      </c>
      <c r="I1435" s="49">
        <v>1800</v>
      </c>
      <c r="J1435" s="49"/>
      <c r="K1435" s="49">
        <f t="shared" si="263"/>
        <v>1800</v>
      </c>
      <c r="L1435" s="123"/>
      <c r="M1435" s="49"/>
      <c r="N1435" s="49"/>
      <c r="O1435" s="49">
        <f t="shared" si="264"/>
        <v>0</v>
      </c>
      <c r="P1435" s="123"/>
      <c r="Q1435" s="49">
        <f t="shared" si="260"/>
        <v>1800</v>
      </c>
      <c r="R1435" s="49">
        <f t="shared" si="266"/>
        <v>0</v>
      </c>
      <c r="S1435" s="49">
        <f t="shared" si="266"/>
        <v>1800</v>
      </c>
    </row>
    <row r="1436" spans="2:19" ht="15" x14ac:dyDescent="0.25">
      <c r="B1436" s="75">
        <f t="shared" si="265"/>
        <v>788</v>
      </c>
      <c r="C1436" s="18"/>
      <c r="D1436" s="18"/>
      <c r="E1436" s="18">
        <v>4</v>
      </c>
      <c r="F1436" s="50"/>
      <c r="G1436" s="18"/>
      <c r="H1436" s="18" t="s">
        <v>86</v>
      </c>
      <c r="I1436" s="47">
        <f>I1437+I1438+I1439+I1446</f>
        <v>234307</v>
      </c>
      <c r="J1436" s="47">
        <f>J1437+J1438+J1439+J1446</f>
        <v>-27150</v>
      </c>
      <c r="K1436" s="47">
        <f t="shared" si="263"/>
        <v>207157</v>
      </c>
      <c r="L1436" s="174"/>
      <c r="M1436" s="47">
        <f>M1437+M1438+M1439+M1446</f>
        <v>0</v>
      </c>
      <c r="N1436" s="47">
        <f>N1437+N1438+N1439+N1446</f>
        <v>0</v>
      </c>
      <c r="O1436" s="47">
        <f t="shared" si="264"/>
        <v>0</v>
      </c>
      <c r="P1436" s="174"/>
      <c r="Q1436" s="47">
        <f>Q1437+Q1438+Q1439+Q1446</f>
        <v>234307</v>
      </c>
      <c r="R1436" s="47">
        <f t="shared" ref="R1436:S1436" si="267">R1437+R1438+R1439+R1446</f>
        <v>-27150</v>
      </c>
      <c r="S1436" s="47">
        <f t="shared" si="267"/>
        <v>207157</v>
      </c>
    </row>
    <row r="1437" spans="2:19" x14ac:dyDescent="0.2">
      <c r="B1437" s="75">
        <f t="shared" si="265"/>
        <v>789</v>
      </c>
      <c r="C1437" s="15"/>
      <c r="D1437" s="15"/>
      <c r="E1437" s="15"/>
      <c r="F1437" s="52" t="s">
        <v>74</v>
      </c>
      <c r="G1437" s="15">
        <v>610</v>
      </c>
      <c r="H1437" s="15" t="s">
        <v>137</v>
      </c>
      <c r="I1437" s="49">
        <v>118476</v>
      </c>
      <c r="J1437" s="49">
        <f>-20080-6000</f>
        <v>-26080</v>
      </c>
      <c r="K1437" s="49">
        <f t="shared" si="263"/>
        <v>92396</v>
      </c>
      <c r="L1437" s="123"/>
      <c r="M1437" s="49"/>
      <c r="N1437" s="49"/>
      <c r="O1437" s="49">
        <f t="shared" si="264"/>
        <v>0</v>
      </c>
      <c r="P1437" s="123"/>
      <c r="Q1437" s="49">
        <f t="shared" ref="Q1437:Q1446" si="268">M1437+I1437</f>
        <v>118476</v>
      </c>
      <c r="R1437" s="49">
        <f t="shared" ref="R1437:S1446" si="269">N1437+J1437</f>
        <v>-26080</v>
      </c>
      <c r="S1437" s="49">
        <f t="shared" si="269"/>
        <v>92396</v>
      </c>
    </row>
    <row r="1438" spans="2:19" x14ac:dyDescent="0.2">
      <c r="B1438" s="75">
        <f t="shared" si="265"/>
        <v>790</v>
      </c>
      <c r="C1438" s="15"/>
      <c r="D1438" s="15"/>
      <c r="E1438" s="15"/>
      <c r="F1438" s="52" t="s">
        <v>74</v>
      </c>
      <c r="G1438" s="15">
        <v>620</v>
      </c>
      <c r="H1438" s="15" t="s">
        <v>132</v>
      </c>
      <c r="I1438" s="49">
        <v>45321</v>
      </c>
      <c r="J1438" s="49">
        <f>-5320-1650</f>
        <v>-6970</v>
      </c>
      <c r="K1438" s="49">
        <f t="shared" si="263"/>
        <v>38351</v>
      </c>
      <c r="L1438" s="123"/>
      <c r="M1438" s="49"/>
      <c r="N1438" s="49"/>
      <c r="O1438" s="49">
        <f t="shared" si="264"/>
        <v>0</v>
      </c>
      <c r="P1438" s="123"/>
      <c r="Q1438" s="49">
        <f t="shared" si="268"/>
        <v>45321</v>
      </c>
      <c r="R1438" s="49">
        <f t="shared" si="269"/>
        <v>-6970</v>
      </c>
      <c r="S1438" s="49">
        <f t="shared" si="269"/>
        <v>38351</v>
      </c>
    </row>
    <row r="1439" spans="2:19" x14ac:dyDescent="0.2">
      <c r="B1439" s="75">
        <f t="shared" si="265"/>
        <v>791</v>
      </c>
      <c r="C1439" s="15"/>
      <c r="D1439" s="15"/>
      <c r="E1439" s="15"/>
      <c r="F1439" s="52" t="s">
        <v>74</v>
      </c>
      <c r="G1439" s="15">
        <v>630</v>
      </c>
      <c r="H1439" s="15" t="s">
        <v>129</v>
      </c>
      <c r="I1439" s="49">
        <f>I1445+I1444+I1443+I1442+I1441+I1440</f>
        <v>67020</v>
      </c>
      <c r="J1439" s="49">
        <f>J1445+J1444+J1443+J1442+J1441+J1440</f>
        <v>5000</v>
      </c>
      <c r="K1439" s="49">
        <f t="shared" si="263"/>
        <v>72020</v>
      </c>
      <c r="L1439" s="123"/>
      <c r="M1439" s="49">
        <f>M1445+M1444+M1443+M1442+M1441+M1440</f>
        <v>0</v>
      </c>
      <c r="N1439" s="49">
        <f>N1445+N1444+N1443+N1442+N1441+N1440</f>
        <v>0</v>
      </c>
      <c r="O1439" s="49">
        <f t="shared" si="264"/>
        <v>0</v>
      </c>
      <c r="P1439" s="123"/>
      <c r="Q1439" s="49">
        <f t="shared" si="268"/>
        <v>67020</v>
      </c>
      <c r="R1439" s="49">
        <f t="shared" si="269"/>
        <v>5000</v>
      </c>
      <c r="S1439" s="49">
        <f t="shared" si="269"/>
        <v>72020</v>
      </c>
    </row>
    <row r="1440" spans="2:19" x14ac:dyDescent="0.2">
      <c r="B1440" s="75">
        <f t="shared" si="265"/>
        <v>792</v>
      </c>
      <c r="C1440" s="4"/>
      <c r="D1440" s="4"/>
      <c r="E1440" s="4"/>
      <c r="F1440" s="53" t="s">
        <v>74</v>
      </c>
      <c r="G1440" s="4">
        <v>632</v>
      </c>
      <c r="H1440" s="4" t="s">
        <v>140</v>
      </c>
      <c r="I1440" s="26">
        <v>2200</v>
      </c>
      <c r="J1440" s="26"/>
      <c r="K1440" s="26">
        <f t="shared" si="263"/>
        <v>2200</v>
      </c>
      <c r="L1440" s="76"/>
      <c r="M1440" s="26"/>
      <c r="N1440" s="26"/>
      <c r="O1440" s="26">
        <f t="shared" si="264"/>
        <v>0</v>
      </c>
      <c r="P1440" s="76"/>
      <c r="Q1440" s="26">
        <f t="shared" si="268"/>
        <v>2200</v>
      </c>
      <c r="R1440" s="26">
        <f t="shared" si="269"/>
        <v>0</v>
      </c>
      <c r="S1440" s="26">
        <f t="shared" si="269"/>
        <v>2200</v>
      </c>
    </row>
    <row r="1441" spans="2:19" x14ac:dyDescent="0.2">
      <c r="B1441" s="75">
        <f t="shared" si="265"/>
        <v>793</v>
      </c>
      <c r="C1441" s="4"/>
      <c r="D1441" s="4"/>
      <c r="E1441" s="4"/>
      <c r="F1441" s="53" t="s">
        <v>74</v>
      </c>
      <c r="G1441" s="4">
        <v>633</v>
      </c>
      <c r="H1441" s="4" t="s">
        <v>133</v>
      </c>
      <c r="I1441" s="26">
        <f>3700+10000</f>
        <v>13700</v>
      </c>
      <c r="J1441" s="26">
        <v>5000</v>
      </c>
      <c r="K1441" s="26">
        <f t="shared" si="263"/>
        <v>18700</v>
      </c>
      <c r="L1441" s="76"/>
      <c r="M1441" s="26"/>
      <c r="N1441" s="26"/>
      <c r="O1441" s="26">
        <f t="shared" si="264"/>
        <v>0</v>
      </c>
      <c r="P1441" s="76"/>
      <c r="Q1441" s="26">
        <f t="shared" si="268"/>
        <v>13700</v>
      </c>
      <c r="R1441" s="26">
        <f t="shared" si="269"/>
        <v>5000</v>
      </c>
      <c r="S1441" s="26">
        <f t="shared" si="269"/>
        <v>18700</v>
      </c>
    </row>
    <row r="1442" spans="2:19" x14ac:dyDescent="0.2">
      <c r="B1442" s="75">
        <f t="shared" si="265"/>
        <v>794</v>
      </c>
      <c r="C1442" s="4"/>
      <c r="D1442" s="4"/>
      <c r="E1442" s="4"/>
      <c r="F1442" s="53" t="s">
        <v>74</v>
      </c>
      <c r="G1442" s="4">
        <v>634</v>
      </c>
      <c r="H1442" s="4" t="s">
        <v>138</v>
      </c>
      <c r="I1442" s="26">
        <v>7270</v>
      </c>
      <c r="J1442" s="26"/>
      <c r="K1442" s="26">
        <f t="shared" si="263"/>
        <v>7270</v>
      </c>
      <c r="L1442" s="76"/>
      <c r="M1442" s="26"/>
      <c r="N1442" s="26"/>
      <c r="O1442" s="26">
        <f t="shared" si="264"/>
        <v>0</v>
      </c>
      <c r="P1442" s="76"/>
      <c r="Q1442" s="26">
        <f t="shared" si="268"/>
        <v>7270</v>
      </c>
      <c r="R1442" s="26">
        <f t="shared" si="269"/>
        <v>0</v>
      </c>
      <c r="S1442" s="26">
        <f t="shared" si="269"/>
        <v>7270</v>
      </c>
    </row>
    <row r="1443" spans="2:19" x14ac:dyDescent="0.2">
      <c r="B1443" s="75">
        <f t="shared" si="265"/>
        <v>795</v>
      </c>
      <c r="C1443" s="4"/>
      <c r="D1443" s="4"/>
      <c r="E1443" s="4"/>
      <c r="F1443" s="53" t="s">
        <v>74</v>
      </c>
      <c r="G1443" s="4">
        <v>635</v>
      </c>
      <c r="H1443" s="4" t="s">
        <v>139</v>
      </c>
      <c r="I1443" s="26">
        <v>1400</v>
      </c>
      <c r="J1443" s="26"/>
      <c r="K1443" s="26">
        <f t="shared" si="263"/>
        <v>1400</v>
      </c>
      <c r="L1443" s="76"/>
      <c r="M1443" s="26"/>
      <c r="N1443" s="26"/>
      <c r="O1443" s="26">
        <f t="shared" si="264"/>
        <v>0</v>
      </c>
      <c r="P1443" s="76"/>
      <c r="Q1443" s="26">
        <f t="shared" si="268"/>
        <v>1400</v>
      </c>
      <c r="R1443" s="26">
        <f t="shared" si="269"/>
        <v>0</v>
      </c>
      <c r="S1443" s="26">
        <f t="shared" si="269"/>
        <v>1400</v>
      </c>
    </row>
    <row r="1444" spans="2:19" x14ac:dyDescent="0.2">
      <c r="B1444" s="75">
        <f t="shared" si="265"/>
        <v>796</v>
      </c>
      <c r="C1444" s="4"/>
      <c r="D1444" s="4"/>
      <c r="E1444" s="4"/>
      <c r="F1444" s="53" t="s">
        <v>74</v>
      </c>
      <c r="G1444" s="4">
        <v>636</v>
      </c>
      <c r="H1444" s="4" t="s">
        <v>134</v>
      </c>
      <c r="I1444" s="26">
        <v>2350</v>
      </c>
      <c r="J1444" s="26"/>
      <c r="K1444" s="26">
        <f t="shared" si="263"/>
        <v>2350</v>
      </c>
      <c r="L1444" s="76"/>
      <c r="M1444" s="26"/>
      <c r="N1444" s="26"/>
      <c r="O1444" s="26">
        <f t="shared" si="264"/>
        <v>0</v>
      </c>
      <c r="P1444" s="76"/>
      <c r="Q1444" s="26">
        <f t="shared" si="268"/>
        <v>2350</v>
      </c>
      <c r="R1444" s="26">
        <f t="shared" si="269"/>
        <v>0</v>
      </c>
      <c r="S1444" s="26">
        <f t="shared" si="269"/>
        <v>2350</v>
      </c>
    </row>
    <row r="1445" spans="2:19" x14ac:dyDescent="0.2">
      <c r="B1445" s="75">
        <f t="shared" si="265"/>
        <v>797</v>
      </c>
      <c r="C1445" s="4"/>
      <c r="D1445" s="4"/>
      <c r="E1445" s="4"/>
      <c r="F1445" s="53" t="s">
        <v>74</v>
      </c>
      <c r="G1445" s="4">
        <v>637</v>
      </c>
      <c r="H1445" s="4" t="s">
        <v>130</v>
      </c>
      <c r="I1445" s="26">
        <v>40100</v>
      </c>
      <c r="J1445" s="26"/>
      <c r="K1445" s="26">
        <f t="shared" si="263"/>
        <v>40100</v>
      </c>
      <c r="L1445" s="76"/>
      <c r="M1445" s="26"/>
      <c r="N1445" s="26"/>
      <c r="O1445" s="26">
        <f t="shared" si="264"/>
        <v>0</v>
      </c>
      <c r="P1445" s="76"/>
      <c r="Q1445" s="26">
        <f t="shared" si="268"/>
        <v>40100</v>
      </c>
      <c r="R1445" s="26">
        <f t="shared" si="269"/>
        <v>0</v>
      </c>
      <c r="S1445" s="26">
        <f t="shared" si="269"/>
        <v>40100</v>
      </c>
    </row>
    <row r="1446" spans="2:19" x14ac:dyDescent="0.2">
      <c r="B1446" s="75">
        <f t="shared" si="265"/>
        <v>798</v>
      </c>
      <c r="C1446" s="15"/>
      <c r="D1446" s="15"/>
      <c r="E1446" s="15"/>
      <c r="F1446" s="52" t="s">
        <v>74</v>
      </c>
      <c r="G1446" s="15">
        <v>640</v>
      </c>
      <c r="H1446" s="15" t="s">
        <v>136</v>
      </c>
      <c r="I1446" s="49">
        <v>3490</v>
      </c>
      <c r="J1446" s="49">
        <v>900</v>
      </c>
      <c r="K1446" s="49">
        <f t="shared" si="263"/>
        <v>4390</v>
      </c>
      <c r="L1446" s="123"/>
      <c r="M1446" s="49"/>
      <c r="N1446" s="49"/>
      <c r="O1446" s="49">
        <f t="shared" si="264"/>
        <v>0</v>
      </c>
      <c r="P1446" s="123"/>
      <c r="Q1446" s="49">
        <f t="shared" si="268"/>
        <v>3490</v>
      </c>
      <c r="R1446" s="49">
        <f t="shared" si="269"/>
        <v>900</v>
      </c>
      <c r="S1446" s="49">
        <f t="shared" si="269"/>
        <v>4390</v>
      </c>
    </row>
    <row r="1507" spans="2:19" ht="27" x14ac:dyDescent="0.35">
      <c r="B1507" s="234" t="s">
        <v>357</v>
      </c>
      <c r="C1507" s="235"/>
      <c r="D1507" s="235"/>
      <c r="E1507" s="235"/>
      <c r="F1507" s="235"/>
      <c r="G1507" s="235"/>
      <c r="H1507" s="235"/>
      <c r="I1507" s="235"/>
      <c r="J1507" s="235"/>
      <c r="K1507" s="235"/>
      <c r="L1507" s="235"/>
      <c r="M1507" s="235"/>
      <c r="N1507" s="235"/>
      <c r="O1507" s="235"/>
      <c r="P1507" s="235"/>
      <c r="Q1507" s="235"/>
    </row>
    <row r="1508" spans="2:19" x14ac:dyDescent="0.2">
      <c r="B1508" s="236" t="s">
        <v>285</v>
      </c>
      <c r="C1508" s="237"/>
      <c r="D1508" s="237"/>
      <c r="E1508" s="237"/>
      <c r="F1508" s="237"/>
      <c r="G1508" s="237"/>
      <c r="H1508" s="237"/>
      <c r="I1508" s="237"/>
      <c r="J1508" s="237"/>
      <c r="K1508" s="237"/>
      <c r="L1508" s="237"/>
      <c r="M1508" s="237"/>
      <c r="N1508" s="182"/>
      <c r="O1508" s="182"/>
      <c r="P1508" s="183"/>
      <c r="Q1508" s="222" t="s">
        <v>602</v>
      </c>
      <c r="R1508" s="222" t="s">
        <v>657</v>
      </c>
      <c r="S1508" s="222" t="s">
        <v>602</v>
      </c>
    </row>
    <row r="1509" spans="2:19" x14ac:dyDescent="0.2">
      <c r="B1509" s="238" t="s">
        <v>113</v>
      </c>
      <c r="C1509" s="225" t="s">
        <v>121</v>
      </c>
      <c r="D1509" s="225" t="s">
        <v>122</v>
      </c>
      <c r="E1509" s="231" t="s">
        <v>126</v>
      </c>
      <c r="F1509" s="225" t="s">
        <v>123</v>
      </c>
      <c r="G1509" s="225" t="s">
        <v>124</v>
      </c>
      <c r="H1509" s="240" t="s">
        <v>125</v>
      </c>
      <c r="I1509" s="222" t="s">
        <v>599</v>
      </c>
      <c r="J1509" s="222" t="s">
        <v>657</v>
      </c>
      <c r="K1509" s="222" t="s">
        <v>659</v>
      </c>
      <c r="L1509" s="168"/>
      <c r="M1509" s="222" t="s">
        <v>600</v>
      </c>
      <c r="N1509" s="222" t="s">
        <v>657</v>
      </c>
      <c r="O1509" s="222" t="s">
        <v>660</v>
      </c>
      <c r="P1509" s="169"/>
      <c r="Q1509" s="223"/>
      <c r="R1509" s="223"/>
      <c r="S1509" s="223"/>
    </row>
    <row r="1510" spans="2:19" x14ac:dyDescent="0.2">
      <c r="B1510" s="238"/>
      <c r="C1510" s="225"/>
      <c r="D1510" s="225"/>
      <c r="E1510" s="232"/>
      <c r="F1510" s="225"/>
      <c r="G1510" s="225"/>
      <c r="H1510" s="240"/>
      <c r="I1510" s="223"/>
      <c r="J1510" s="223"/>
      <c r="K1510" s="223"/>
      <c r="L1510" s="169"/>
      <c r="M1510" s="223"/>
      <c r="N1510" s="223"/>
      <c r="O1510" s="223"/>
      <c r="P1510" s="169"/>
      <c r="Q1510" s="223"/>
      <c r="R1510" s="223"/>
      <c r="S1510" s="223"/>
    </row>
    <row r="1511" spans="2:19" x14ac:dyDescent="0.2">
      <c r="B1511" s="238"/>
      <c r="C1511" s="225"/>
      <c r="D1511" s="225"/>
      <c r="E1511" s="232"/>
      <c r="F1511" s="225"/>
      <c r="G1511" s="225"/>
      <c r="H1511" s="240"/>
      <c r="I1511" s="223"/>
      <c r="J1511" s="223"/>
      <c r="K1511" s="223"/>
      <c r="L1511" s="169"/>
      <c r="M1511" s="223"/>
      <c r="N1511" s="223"/>
      <c r="O1511" s="223"/>
      <c r="P1511" s="169"/>
      <c r="Q1511" s="223"/>
      <c r="R1511" s="223"/>
      <c r="S1511" s="223"/>
    </row>
    <row r="1512" spans="2:19" ht="13.5" thickBot="1" x14ac:dyDescent="0.25">
      <c r="B1512" s="239"/>
      <c r="C1512" s="226"/>
      <c r="D1512" s="226"/>
      <c r="E1512" s="233"/>
      <c r="F1512" s="226"/>
      <c r="G1512" s="226"/>
      <c r="H1512" s="241"/>
      <c r="I1512" s="224"/>
      <c r="J1512" s="224"/>
      <c r="K1512" s="224"/>
      <c r="L1512" s="170"/>
      <c r="M1512" s="224"/>
      <c r="N1512" s="224"/>
      <c r="O1512" s="224"/>
      <c r="P1512" s="170"/>
      <c r="Q1512" s="224"/>
      <c r="R1512" s="224"/>
      <c r="S1512" s="224"/>
    </row>
    <row r="1513" spans="2:19" ht="16.5" thickTop="1" x14ac:dyDescent="0.2">
      <c r="B1513" s="75">
        <f t="shared" ref="B1513:B1576" si="270">B1512+1</f>
        <v>1</v>
      </c>
      <c r="C1513" s="242" t="s">
        <v>309</v>
      </c>
      <c r="D1513" s="243"/>
      <c r="E1513" s="243"/>
      <c r="F1513" s="243"/>
      <c r="G1513" s="243"/>
      <c r="H1513" s="244"/>
      <c r="I1513" s="44">
        <f>I1593+I1529+I1517+I1514</f>
        <v>1591434</v>
      </c>
      <c r="J1513" s="44">
        <f>J1593+J1529+J1517+J1514</f>
        <v>0</v>
      </c>
      <c r="K1513" s="44">
        <f t="shared" ref="K1513:K1576" si="271">I1513+J1513</f>
        <v>1591434</v>
      </c>
      <c r="L1513" s="171"/>
      <c r="M1513" s="44">
        <f>M1593+M1529+M1517+M1514</f>
        <v>1050855</v>
      </c>
      <c r="N1513" s="44">
        <f>N1593+N1529+N1517+N1514</f>
        <v>0</v>
      </c>
      <c r="O1513" s="44">
        <f t="shared" ref="O1513:O1576" si="272">M1513+N1513</f>
        <v>1050855</v>
      </c>
      <c r="P1513" s="171"/>
      <c r="Q1513" s="44">
        <f t="shared" ref="Q1513:Q1544" si="273">I1513+M1513</f>
        <v>2642289</v>
      </c>
      <c r="R1513" s="44">
        <f t="shared" ref="R1513:S1528" si="274">J1513+N1513</f>
        <v>0</v>
      </c>
      <c r="S1513" s="44">
        <f t="shared" si="274"/>
        <v>2642289</v>
      </c>
    </row>
    <row r="1514" spans="2:19" ht="15" x14ac:dyDescent="0.2">
      <c r="B1514" s="75">
        <f t="shared" si="270"/>
        <v>2</v>
      </c>
      <c r="C1514" s="164">
        <v>1</v>
      </c>
      <c r="D1514" s="230" t="s">
        <v>12</v>
      </c>
      <c r="E1514" s="228"/>
      <c r="F1514" s="228"/>
      <c r="G1514" s="228"/>
      <c r="H1514" s="229"/>
      <c r="I1514" s="45">
        <f>I1515</f>
        <v>1700</v>
      </c>
      <c r="J1514" s="45">
        <f>J1515</f>
        <v>0</v>
      </c>
      <c r="K1514" s="45">
        <f t="shared" si="271"/>
        <v>1700</v>
      </c>
      <c r="L1514" s="172"/>
      <c r="M1514" s="45">
        <f>M1515</f>
        <v>0</v>
      </c>
      <c r="N1514" s="45">
        <f>N1515</f>
        <v>0</v>
      </c>
      <c r="O1514" s="45">
        <f t="shared" si="272"/>
        <v>0</v>
      </c>
      <c r="P1514" s="172"/>
      <c r="Q1514" s="45">
        <f t="shared" si="273"/>
        <v>1700</v>
      </c>
      <c r="R1514" s="45">
        <f t="shared" si="274"/>
        <v>0</v>
      </c>
      <c r="S1514" s="45">
        <f t="shared" si="274"/>
        <v>1700</v>
      </c>
    </row>
    <row r="1515" spans="2:19" x14ac:dyDescent="0.2">
      <c r="B1515" s="75">
        <f t="shared" si="270"/>
        <v>3</v>
      </c>
      <c r="C1515" s="15"/>
      <c r="D1515" s="15"/>
      <c r="E1515" s="15"/>
      <c r="F1515" s="52" t="s">
        <v>190</v>
      </c>
      <c r="G1515" s="15">
        <v>630</v>
      </c>
      <c r="H1515" s="15" t="s">
        <v>129</v>
      </c>
      <c r="I1515" s="49">
        <f>I1516</f>
        <v>1700</v>
      </c>
      <c r="J1515" s="49">
        <f>J1516</f>
        <v>0</v>
      </c>
      <c r="K1515" s="49">
        <f t="shared" si="271"/>
        <v>1700</v>
      </c>
      <c r="L1515" s="123"/>
      <c r="M1515" s="49">
        <v>0</v>
      </c>
      <c r="N1515" s="49"/>
      <c r="O1515" s="49">
        <f t="shared" si="272"/>
        <v>0</v>
      </c>
      <c r="P1515" s="123"/>
      <c r="Q1515" s="49">
        <f t="shared" si="273"/>
        <v>1700</v>
      </c>
      <c r="R1515" s="49">
        <f t="shared" si="274"/>
        <v>0</v>
      </c>
      <c r="S1515" s="49">
        <f t="shared" si="274"/>
        <v>1700</v>
      </c>
    </row>
    <row r="1516" spans="2:19" x14ac:dyDescent="0.2">
      <c r="B1516" s="75">
        <f t="shared" si="270"/>
        <v>4</v>
      </c>
      <c r="C1516" s="15"/>
      <c r="D1516" s="15"/>
      <c r="E1516" s="15"/>
      <c r="F1516" s="64" t="s">
        <v>190</v>
      </c>
      <c r="G1516" s="60">
        <v>633</v>
      </c>
      <c r="H1516" s="60" t="s">
        <v>364</v>
      </c>
      <c r="I1516" s="58">
        <v>1700</v>
      </c>
      <c r="J1516" s="58"/>
      <c r="K1516" s="58">
        <f t="shared" si="271"/>
        <v>1700</v>
      </c>
      <c r="L1516" s="76"/>
      <c r="M1516" s="49"/>
      <c r="N1516" s="49"/>
      <c r="O1516" s="49">
        <f t="shared" si="272"/>
        <v>0</v>
      </c>
      <c r="P1516" s="123"/>
      <c r="Q1516" s="26">
        <f t="shared" si="273"/>
        <v>1700</v>
      </c>
      <c r="R1516" s="26">
        <f t="shared" si="274"/>
        <v>0</v>
      </c>
      <c r="S1516" s="26">
        <f t="shared" si="274"/>
        <v>1700</v>
      </c>
    </row>
    <row r="1517" spans="2:19" ht="15" x14ac:dyDescent="0.2">
      <c r="B1517" s="75">
        <f t="shared" si="270"/>
        <v>5</v>
      </c>
      <c r="C1517" s="164">
        <v>2</v>
      </c>
      <c r="D1517" s="230" t="s">
        <v>358</v>
      </c>
      <c r="E1517" s="228"/>
      <c r="F1517" s="228"/>
      <c r="G1517" s="228"/>
      <c r="H1517" s="229"/>
      <c r="I1517" s="45">
        <f>I1518</f>
        <v>337934</v>
      </c>
      <c r="J1517" s="45">
        <f>J1518</f>
        <v>0</v>
      </c>
      <c r="K1517" s="45">
        <f t="shared" si="271"/>
        <v>337934</v>
      </c>
      <c r="L1517" s="172"/>
      <c r="M1517" s="45">
        <f>M1518</f>
        <v>0</v>
      </c>
      <c r="N1517" s="45">
        <f>N1518</f>
        <v>0</v>
      </c>
      <c r="O1517" s="45">
        <f t="shared" si="272"/>
        <v>0</v>
      </c>
      <c r="P1517" s="172"/>
      <c r="Q1517" s="45">
        <f t="shared" si="273"/>
        <v>337934</v>
      </c>
      <c r="R1517" s="45">
        <f t="shared" si="274"/>
        <v>0</v>
      </c>
      <c r="S1517" s="45">
        <f t="shared" si="274"/>
        <v>337934</v>
      </c>
    </row>
    <row r="1518" spans="2:19" x14ac:dyDescent="0.2">
      <c r="B1518" s="75">
        <f t="shared" si="270"/>
        <v>6</v>
      </c>
      <c r="C1518" s="15"/>
      <c r="D1518" s="15"/>
      <c r="E1518" s="15"/>
      <c r="F1518" s="52" t="s">
        <v>190</v>
      </c>
      <c r="G1518" s="15">
        <v>640</v>
      </c>
      <c r="H1518" s="15" t="s">
        <v>136</v>
      </c>
      <c r="I1518" s="49">
        <f>SUM(I1519:I1528)</f>
        <v>337934</v>
      </c>
      <c r="J1518" s="49">
        <f>SUM(J1519:J1528)</f>
        <v>0</v>
      </c>
      <c r="K1518" s="49">
        <f t="shared" si="271"/>
        <v>337934</v>
      </c>
      <c r="L1518" s="123"/>
      <c r="M1518" s="49">
        <f>SUM(M1519:M1522)</f>
        <v>0</v>
      </c>
      <c r="N1518" s="49">
        <f>SUM(N1519:N1522)</f>
        <v>0</v>
      </c>
      <c r="O1518" s="49">
        <f t="shared" si="272"/>
        <v>0</v>
      </c>
      <c r="P1518" s="123"/>
      <c r="Q1518" s="49">
        <f t="shared" si="273"/>
        <v>337934</v>
      </c>
      <c r="R1518" s="49">
        <f t="shared" si="274"/>
        <v>0</v>
      </c>
      <c r="S1518" s="49">
        <f t="shared" si="274"/>
        <v>337934</v>
      </c>
    </row>
    <row r="1519" spans="2:19" x14ac:dyDescent="0.2">
      <c r="B1519" s="75">
        <f t="shared" si="270"/>
        <v>7</v>
      </c>
      <c r="C1519" s="15"/>
      <c r="D1519" s="57"/>
      <c r="E1519" s="15"/>
      <c r="F1519" s="52"/>
      <c r="G1519" s="15"/>
      <c r="H1519" s="59" t="s">
        <v>191</v>
      </c>
      <c r="I1519" s="58">
        <f>50000-10000</f>
        <v>40000</v>
      </c>
      <c r="J1519" s="58"/>
      <c r="K1519" s="58">
        <f t="shared" si="271"/>
        <v>40000</v>
      </c>
      <c r="L1519" s="76"/>
      <c r="M1519" s="58"/>
      <c r="N1519" s="58"/>
      <c r="O1519" s="58">
        <f t="shared" si="272"/>
        <v>0</v>
      </c>
      <c r="P1519" s="76"/>
      <c r="Q1519" s="58">
        <f t="shared" si="273"/>
        <v>40000</v>
      </c>
      <c r="R1519" s="58">
        <f t="shared" si="274"/>
        <v>0</v>
      </c>
      <c r="S1519" s="58">
        <f t="shared" si="274"/>
        <v>40000</v>
      </c>
    </row>
    <row r="1520" spans="2:19" x14ac:dyDescent="0.2">
      <c r="B1520" s="75">
        <f t="shared" si="270"/>
        <v>8</v>
      </c>
      <c r="C1520" s="15"/>
      <c r="D1520" s="57"/>
      <c r="E1520" s="15"/>
      <c r="F1520" s="52"/>
      <c r="G1520" s="15"/>
      <c r="H1520" s="59" t="s">
        <v>348</v>
      </c>
      <c r="I1520" s="58">
        <v>5000</v>
      </c>
      <c r="J1520" s="58"/>
      <c r="K1520" s="58">
        <f t="shared" si="271"/>
        <v>5000</v>
      </c>
      <c r="L1520" s="76"/>
      <c r="M1520" s="58"/>
      <c r="N1520" s="58"/>
      <c r="O1520" s="58">
        <f t="shared" si="272"/>
        <v>0</v>
      </c>
      <c r="P1520" s="76"/>
      <c r="Q1520" s="58">
        <f t="shared" si="273"/>
        <v>5000</v>
      </c>
      <c r="R1520" s="58">
        <f t="shared" si="274"/>
        <v>0</v>
      </c>
      <c r="S1520" s="58">
        <f t="shared" si="274"/>
        <v>5000</v>
      </c>
    </row>
    <row r="1521" spans="2:19" x14ac:dyDescent="0.2">
      <c r="B1521" s="75">
        <f t="shared" si="270"/>
        <v>9</v>
      </c>
      <c r="C1521" s="15"/>
      <c r="D1521" s="57"/>
      <c r="E1521" s="15"/>
      <c r="F1521" s="52"/>
      <c r="G1521" s="15"/>
      <c r="H1521" s="59" t="s">
        <v>349</v>
      </c>
      <c r="I1521" s="58">
        <f>8500+10000</f>
        <v>18500</v>
      </c>
      <c r="J1521" s="58"/>
      <c r="K1521" s="58">
        <f t="shared" si="271"/>
        <v>18500</v>
      </c>
      <c r="L1521" s="76"/>
      <c r="M1521" s="58"/>
      <c r="N1521" s="58"/>
      <c r="O1521" s="58">
        <f t="shared" si="272"/>
        <v>0</v>
      </c>
      <c r="P1521" s="76"/>
      <c r="Q1521" s="58">
        <f t="shared" si="273"/>
        <v>18500</v>
      </c>
      <c r="R1521" s="58">
        <f t="shared" si="274"/>
        <v>0</v>
      </c>
      <c r="S1521" s="58">
        <f t="shared" si="274"/>
        <v>18500</v>
      </c>
    </row>
    <row r="1522" spans="2:19" x14ac:dyDescent="0.2">
      <c r="B1522" s="75">
        <f t="shared" si="270"/>
        <v>10</v>
      </c>
      <c r="C1522" s="68"/>
      <c r="D1522" s="69"/>
      <c r="E1522" s="68"/>
      <c r="F1522" s="72"/>
      <c r="G1522" s="68"/>
      <c r="H1522" s="83" t="s">
        <v>350</v>
      </c>
      <c r="I1522" s="65">
        <v>3000</v>
      </c>
      <c r="J1522" s="65"/>
      <c r="K1522" s="65">
        <f t="shared" si="271"/>
        <v>3000</v>
      </c>
      <c r="L1522" s="161"/>
      <c r="M1522" s="65"/>
      <c r="N1522" s="65"/>
      <c r="O1522" s="65">
        <f t="shared" si="272"/>
        <v>0</v>
      </c>
      <c r="P1522" s="161"/>
      <c r="Q1522" s="58">
        <f t="shared" si="273"/>
        <v>3000</v>
      </c>
      <c r="R1522" s="58">
        <f t="shared" si="274"/>
        <v>0</v>
      </c>
      <c r="S1522" s="58">
        <f t="shared" si="274"/>
        <v>3000</v>
      </c>
    </row>
    <row r="1523" spans="2:19" x14ac:dyDescent="0.2">
      <c r="B1523" s="74">
        <f t="shared" si="270"/>
        <v>11</v>
      </c>
      <c r="C1523" s="68"/>
      <c r="D1523" s="69"/>
      <c r="E1523" s="68"/>
      <c r="F1523" s="72"/>
      <c r="G1523" s="68"/>
      <c r="H1523" s="83" t="s">
        <v>360</v>
      </c>
      <c r="I1523" s="65">
        <v>2000</v>
      </c>
      <c r="J1523" s="65"/>
      <c r="K1523" s="65">
        <f t="shared" si="271"/>
        <v>2000</v>
      </c>
      <c r="L1523" s="161"/>
      <c r="M1523" s="65"/>
      <c r="N1523" s="65"/>
      <c r="O1523" s="65">
        <f t="shared" si="272"/>
        <v>0</v>
      </c>
      <c r="P1523" s="161"/>
      <c r="Q1523" s="65">
        <f t="shared" si="273"/>
        <v>2000</v>
      </c>
      <c r="R1523" s="65">
        <f t="shared" si="274"/>
        <v>0</v>
      </c>
      <c r="S1523" s="65">
        <f t="shared" si="274"/>
        <v>2000</v>
      </c>
    </row>
    <row r="1524" spans="2:19" x14ac:dyDescent="0.2">
      <c r="B1524" s="74">
        <f t="shared" si="270"/>
        <v>12</v>
      </c>
      <c r="C1524" s="68"/>
      <c r="D1524" s="69"/>
      <c r="E1524" s="68"/>
      <c r="F1524" s="72"/>
      <c r="G1524" s="68"/>
      <c r="H1524" s="83" t="s">
        <v>361</v>
      </c>
      <c r="I1524" s="65">
        <v>4000</v>
      </c>
      <c r="J1524" s="65"/>
      <c r="K1524" s="65">
        <f t="shared" si="271"/>
        <v>4000</v>
      </c>
      <c r="L1524" s="161"/>
      <c r="M1524" s="65"/>
      <c r="N1524" s="65"/>
      <c r="O1524" s="65">
        <f t="shared" si="272"/>
        <v>0</v>
      </c>
      <c r="P1524" s="161"/>
      <c r="Q1524" s="65">
        <f t="shared" si="273"/>
        <v>4000</v>
      </c>
      <c r="R1524" s="65">
        <f t="shared" si="274"/>
        <v>0</v>
      </c>
      <c r="S1524" s="65">
        <f t="shared" si="274"/>
        <v>4000</v>
      </c>
    </row>
    <row r="1525" spans="2:19" ht="24" x14ac:dyDescent="0.2">
      <c r="B1525" s="74">
        <f t="shared" si="270"/>
        <v>13</v>
      </c>
      <c r="C1525" s="68"/>
      <c r="D1525" s="69"/>
      <c r="E1525" s="68"/>
      <c r="F1525" s="72"/>
      <c r="G1525" s="68"/>
      <c r="H1525" s="83" t="s">
        <v>560</v>
      </c>
      <c r="I1525" s="65">
        <v>133448</v>
      </c>
      <c r="J1525" s="65"/>
      <c r="K1525" s="65">
        <f t="shared" si="271"/>
        <v>133448</v>
      </c>
      <c r="L1525" s="161"/>
      <c r="M1525" s="65"/>
      <c r="N1525" s="65"/>
      <c r="O1525" s="65">
        <f t="shared" si="272"/>
        <v>0</v>
      </c>
      <c r="P1525" s="161"/>
      <c r="Q1525" s="65">
        <f t="shared" si="273"/>
        <v>133448</v>
      </c>
      <c r="R1525" s="65">
        <f t="shared" si="274"/>
        <v>0</v>
      </c>
      <c r="S1525" s="65">
        <f t="shared" si="274"/>
        <v>133448</v>
      </c>
    </row>
    <row r="1526" spans="2:19" ht="24" x14ac:dyDescent="0.2">
      <c r="B1526" s="74">
        <f t="shared" si="270"/>
        <v>14</v>
      </c>
      <c r="C1526" s="68"/>
      <c r="D1526" s="69"/>
      <c r="E1526" s="68"/>
      <c r="F1526" s="72"/>
      <c r="G1526" s="68"/>
      <c r="H1526" s="83" t="s">
        <v>561</v>
      </c>
      <c r="I1526" s="65">
        <v>80274</v>
      </c>
      <c r="J1526" s="65"/>
      <c r="K1526" s="65">
        <f t="shared" si="271"/>
        <v>80274</v>
      </c>
      <c r="L1526" s="161"/>
      <c r="M1526" s="65"/>
      <c r="N1526" s="65"/>
      <c r="O1526" s="65">
        <f t="shared" si="272"/>
        <v>0</v>
      </c>
      <c r="P1526" s="161"/>
      <c r="Q1526" s="65">
        <f t="shared" si="273"/>
        <v>80274</v>
      </c>
      <c r="R1526" s="65">
        <f t="shared" si="274"/>
        <v>0</v>
      </c>
      <c r="S1526" s="65">
        <f t="shared" si="274"/>
        <v>80274</v>
      </c>
    </row>
    <row r="1527" spans="2:19" ht="24" x14ac:dyDescent="0.2">
      <c r="B1527" s="74">
        <f t="shared" si="270"/>
        <v>15</v>
      </c>
      <c r="C1527" s="68"/>
      <c r="D1527" s="69"/>
      <c r="E1527" s="68"/>
      <c r="F1527" s="72"/>
      <c r="G1527" s="68"/>
      <c r="H1527" s="83" t="s">
        <v>562</v>
      </c>
      <c r="I1527" s="65">
        <v>33363</v>
      </c>
      <c r="J1527" s="65"/>
      <c r="K1527" s="65">
        <f t="shared" si="271"/>
        <v>33363</v>
      </c>
      <c r="L1527" s="161"/>
      <c r="M1527" s="65"/>
      <c r="N1527" s="65"/>
      <c r="O1527" s="65">
        <f t="shared" si="272"/>
        <v>0</v>
      </c>
      <c r="P1527" s="161"/>
      <c r="Q1527" s="65">
        <f t="shared" si="273"/>
        <v>33363</v>
      </c>
      <c r="R1527" s="65">
        <f t="shared" si="274"/>
        <v>0</v>
      </c>
      <c r="S1527" s="65">
        <f t="shared" si="274"/>
        <v>33363</v>
      </c>
    </row>
    <row r="1528" spans="2:19" ht="24" x14ac:dyDescent="0.2">
      <c r="B1528" s="74">
        <f t="shared" si="270"/>
        <v>16</v>
      </c>
      <c r="C1528" s="68"/>
      <c r="D1528" s="69"/>
      <c r="E1528" s="68"/>
      <c r="F1528" s="72"/>
      <c r="G1528" s="68"/>
      <c r="H1528" s="83" t="s">
        <v>563</v>
      </c>
      <c r="I1528" s="65">
        <v>18349</v>
      </c>
      <c r="J1528" s="65"/>
      <c r="K1528" s="65">
        <f t="shared" si="271"/>
        <v>18349</v>
      </c>
      <c r="L1528" s="161"/>
      <c r="M1528" s="65"/>
      <c r="N1528" s="65"/>
      <c r="O1528" s="65">
        <f t="shared" si="272"/>
        <v>0</v>
      </c>
      <c r="P1528" s="161"/>
      <c r="Q1528" s="65">
        <f t="shared" si="273"/>
        <v>18349</v>
      </c>
      <c r="R1528" s="65">
        <f t="shared" si="274"/>
        <v>0</v>
      </c>
      <c r="S1528" s="65">
        <f t="shared" si="274"/>
        <v>18349</v>
      </c>
    </row>
    <row r="1529" spans="2:19" ht="15" x14ac:dyDescent="0.2">
      <c r="B1529" s="75">
        <f t="shared" si="270"/>
        <v>17</v>
      </c>
      <c r="C1529" s="164">
        <v>3</v>
      </c>
      <c r="D1529" s="247" t="s">
        <v>212</v>
      </c>
      <c r="E1529" s="246"/>
      <c r="F1529" s="246"/>
      <c r="G1529" s="246"/>
      <c r="H1529" s="246"/>
      <c r="I1529" s="45">
        <f>I1583+I1566+I1545+I1534+I1530</f>
        <v>1231800</v>
      </c>
      <c r="J1529" s="45">
        <f>J1583+J1566+J1545+J1534+J1530</f>
        <v>0</v>
      </c>
      <c r="K1529" s="45">
        <f t="shared" si="271"/>
        <v>1231800</v>
      </c>
      <c r="L1529" s="172"/>
      <c r="M1529" s="45">
        <f>M1583+M1566+M1545+M1534+M1530</f>
        <v>934755</v>
      </c>
      <c r="N1529" s="45">
        <f>N1583+N1566+N1545+N1534+N1530</f>
        <v>0</v>
      </c>
      <c r="O1529" s="45">
        <f t="shared" si="272"/>
        <v>934755</v>
      </c>
      <c r="P1529" s="172"/>
      <c r="Q1529" s="45">
        <f t="shared" si="273"/>
        <v>2166555</v>
      </c>
      <c r="R1529" s="45">
        <f t="shared" ref="R1529:S1544" si="275">J1529+N1529</f>
        <v>0</v>
      </c>
      <c r="S1529" s="45">
        <f t="shared" si="275"/>
        <v>2166555</v>
      </c>
    </row>
    <row r="1530" spans="2:19" ht="15" x14ac:dyDescent="0.25">
      <c r="B1530" s="75">
        <f t="shared" si="270"/>
        <v>18</v>
      </c>
      <c r="C1530" s="163"/>
      <c r="D1530" s="163">
        <v>1</v>
      </c>
      <c r="E1530" s="245" t="s">
        <v>211</v>
      </c>
      <c r="F1530" s="246"/>
      <c r="G1530" s="246"/>
      <c r="H1530" s="246"/>
      <c r="I1530" s="46">
        <f>I1531</f>
        <v>160750</v>
      </c>
      <c r="J1530" s="46">
        <f>J1531</f>
        <v>0</v>
      </c>
      <c r="K1530" s="46">
        <f t="shared" si="271"/>
        <v>160750</v>
      </c>
      <c r="L1530" s="173"/>
      <c r="M1530" s="46">
        <f>M1531</f>
        <v>0</v>
      </c>
      <c r="N1530" s="46">
        <f>N1531</f>
        <v>0</v>
      </c>
      <c r="O1530" s="46">
        <f t="shared" si="272"/>
        <v>0</v>
      </c>
      <c r="P1530" s="173"/>
      <c r="Q1530" s="46">
        <f t="shared" si="273"/>
        <v>160750</v>
      </c>
      <c r="R1530" s="46">
        <f t="shared" si="275"/>
        <v>0</v>
      </c>
      <c r="S1530" s="46">
        <f t="shared" si="275"/>
        <v>160750</v>
      </c>
    </row>
    <row r="1531" spans="2:19" x14ac:dyDescent="0.2">
      <c r="B1531" s="75">
        <f t="shared" si="270"/>
        <v>19</v>
      </c>
      <c r="C1531" s="15"/>
      <c r="D1531" s="15"/>
      <c r="E1531" s="15"/>
      <c r="F1531" s="52" t="s">
        <v>190</v>
      </c>
      <c r="G1531" s="15">
        <v>630</v>
      </c>
      <c r="H1531" s="15" t="s">
        <v>129</v>
      </c>
      <c r="I1531" s="49">
        <f>I1532+I1533</f>
        <v>160750</v>
      </c>
      <c r="J1531" s="49">
        <f>J1532+J1533</f>
        <v>0</v>
      </c>
      <c r="K1531" s="49">
        <f t="shared" si="271"/>
        <v>160750</v>
      </c>
      <c r="L1531" s="123"/>
      <c r="M1531" s="49">
        <v>0</v>
      </c>
      <c r="N1531" s="49"/>
      <c r="O1531" s="49">
        <f t="shared" si="272"/>
        <v>0</v>
      </c>
      <c r="P1531" s="123"/>
      <c r="Q1531" s="49">
        <f t="shared" si="273"/>
        <v>160750</v>
      </c>
      <c r="R1531" s="49">
        <f t="shared" si="275"/>
        <v>0</v>
      </c>
      <c r="S1531" s="49">
        <f t="shared" si="275"/>
        <v>160750</v>
      </c>
    </row>
    <row r="1532" spans="2:19" x14ac:dyDescent="0.2">
      <c r="B1532" s="75">
        <f t="shared" si="270"/>
        <v>20</v>
      </c>
      <c r="C1532" s="4"/>
      <c r="D1532" s="4"/>
      <c r="E1532" s="4"/>
      <c r="F1532" s="53" t="s">
        <v>190</v>
      </c>
      <c r="G1532" s="4">
        <v>636</v>
      </c>
      <c r="H1532" s="4" t="s">
        <v>134</v>
      </c>
      <c r="I1532" s="26">
        <v>159950</v>
      </c>
      <c r="J1532" s="26"/>
      <c r="K1532" s="26">
        <f t="shared" si="271"/>
        <v>159950</v>
      </c>
      <c r="L1532" s="76"/>
      <c r="M1532" s="26"/>
      <c r="N1532" s="26"/>
      <c r="O1532" s="26">
        <f t="shared" si="272"/>
        <v>0</v>
      </c>
      <c r="P1532" s="76"/>
      <c r="Q1532" s="26">
        <f t="shared" si="273"/>
        <v>159950</v>
      </c>
      <c r="R1532" s="26">
        <f t="shared" si="275"/>
        <v>0</v>
      </c>
      <c r="S1532" s="26">
        <f t="shared" si="275"/>
        <v>159950</v>
      </c>
    </row>
    <row r="1533" spans="2:19" x14ac:dyDescent="0.2">
      <c r="B1533" s="75">
        <f t="shared" si="270"/>
        <v>21</v>
      </c>
      <c r="C1533" s="4"/>
      <c r="D1533" s="4"/>
      <c r="E1533" s="4"/>
      <c r="F1533" s="53" t="s">
        <v>190</v>
      </c>
      <c r="G1533" s="4">
        <v>637</v>
      </c>
      <c r="H1533" s="4" t="s">
        <v>130</v>
      </c>
      <c r="I1533" s="26">
        <v>800</v>
      </c>
      <c r="J1533" s="26"/>
      <c r="K1533" s="26">
        <f t="shared" si="271"/>
        <v>800</v>
      </c>
      <c r="L1533" s="76"/>
      <c r="M1533" s="26"/>
      <c r="N1533" s="26"/>
      <c r="O1533" s="26">
        <f t="shared" si="272"/>
        <v>0</v>
      </c>
      <c r="P1533" s="76"/>
      <c r="Q1533" s="26">
        <f t="shared" si="273"/>
        <v>800</v>
      </c>
      <c r="R1533" s="26">
        <f t="shared" si="275"/>
        <v>0</v>
      </c>
      <c r="S1533" s="26">
        <f t="shared" si="275"/>
        <v>800</v>
      </c>
    </row>
    <row r="1534" spans="2:19" ht="15" x14ac:dyDescent="0.25">
      <c r="B1534" s="75">
        <f t="shared" si="270"/>
        <v>22</v>
      </c>
      <c r="C1534" s="163"/>
      <c r="D1534" s="163">
        <v>2</v>
      </c>
      <c r="E1534" s="245" t="s">
        <v>213</v>
      </c>
      <c r="F1534" s="246"/>
      <c r="G1534" s="246"/>
      <c r="H1534" s="246"/>
      <c r="I1534" s="46">
        <f>I1535+I1541</f>
        <v>204280</v>
      </c>
      <c r="J1534" s="46">
        <f>J1535+J1541</f>
        <v>0</v>
      </c>
      <c r="K1534" s="46">
        <f t="shared" si="271"/>
        <v>204280</v>
      </c>
      <c r="L1534" s="173"/>
      <c r="M1534" s="46">
        <f>M1535+M1541</f>
        <v>19000</v>
      </c>
      <c r="N1534" s="46">
        <f>N1535+N1541</f>
        <v>0</v>
      </c>
      <c r="O1534" s="46">
        <f t="shared" si="272"/>
        <v>19000</v>
      </c>
      <c r="P1534" s="173"/>
      <c r="Q1534" s="46">
        <f t="shared" si="273"/>
        <v>223280</v>
      </c>
      <c r="R1534" s="46">
        <f t="shared" si="275"/>
        <v>0</v>
      </c>
      <c r="S1534" s="46">
        <f t="shared" si="275"/>
        <v>223280</v>
      </c>
    </row>
    <row r="1535" spans="2:19" x14ac:dyDescent="0.2">
      <c r="B1535" s="75">
        <f t="shared" si="270"/>
        <v>23</v>
      </c>
      <c r="C1535" s="15"/>
      <c r="D1535" s="15"/>
      <c r="E1535" s="15"/>
      <c r="F1535" s="52" t="s">
        <v>190</v>
      </c>
      <c r="G1535" s="15">
        <v>630</v>
      </c>
      <c r="H1535" s="15" t="s">
        <v>129</v>
      </c>
      <c r="I1535" s="49">
        <f>I1540+I1539+I1536</f>
        <v>204280</v>
      </c>
      <c r="J1535" s="49">
        <f>J1540+J1539+J1536</f>
        <v>0</v>
      </c>
      <c r="K1535" s="49">
        <f t="shared" si="271"/>
        <v>204280</v>
      </c>
      <c r="L1535" s="123"/>
      <c r="M1535" s="49">
        <f>M1540+M1539+M1536</f>
        <v>0</v>
      </c>
      <c r="N1535" s="49">
        <f>N1540+N1539+N1536</f>
        <v>0</v>
      </c>
      <c r="O1535" s="49">
        <f t="shared" si="272"/>
        <v>0</v>
      </c>
      <c r="P1535" s="123"/>
      <c r="Q1535" s="49">
        <f t="shared" si="273"/>
        <v>204280</v>
      </c>
      <c r="R1535" s="49">
        <f t="shared" si="275"/>
        <v>0</v>
      </c>
      <c r="S1535" s="49">
        <f t="shared" si="275"/>
        <v>204280</v>
      </c>
    </row>
    <row r="1536" spans="2:19" x14ac:dyDescent="0.2">
      <c r="B1536" s="75">
        <f t="shared" si="270"/>
        <v>24</v>
      </c>
      <c r="C1536" s="4"/>
      <c r="D1536" s="4"/>
      <c r="E1536" s="4"/>
      <c r="F1536" s="53" t="s">
        <v>190</v>
      </c>
      <c r="G1536" s="4">
        <v>632</v>
      </c>
      <c r="H1536" s="4" t="s">
        <v>140</v>
      </c>
      <c r="I1536" s="26">
        <f>I1537+I1538</f>
        <v>3200</v>
      </c>
      <c r="J1536" s="26"/>
      <c r="K1536" s="26">
        <f t="shared" si="271"/>
        <v>3200</v>
      </c>
      <c r="L1536" s="76"/>
      <c r="M1536" s="26"/>
      <c r="N1536" s="26"/>
      <c r="O1536" s="26">
        <f t="shared" si="272"/>
        <v>0</v>
      </c>
      <c r="P1536" s="76"/>
      <c r="Q1536" s="26">
        <f t="shared" si="273"/>
        <v>3200</v>
      </c>
      <c r="R1536" s="26">
        <f t="shared" si="275"/>
        <v>0</v>
      </c>
      <c r="S1536" s="26">
        <f t="shared" si="275"/>
        <v>3200</v>
      </c>
    </row>
    <row r="1537" spans="2:19" x14ac:dyDescent="0.2">
      <c r="B1537" s="75">
        <f t="shared" si="270"/>
        <v>25</v>
      </c>
      <c r="C1537" s="4"/>
      <c r="D1537" s="4"/>
      <c r="E1537" s="4"/>
      <c r="F1537" s="53"/>
      <c r="G1537" s="4"/>
      <c r="H1537" s="4" t="s">
        <v>282</v>
      </c>
      <c r="I1537" s="26">
        <v>1000</v>
      </c>
      <c r="J1537" s="26"/>
      <c r="K1537" s="26">
        <f t="shared" si="271"/>
        <v>1000</v>
      </c>
      <c r="L1537" s="76"/>
      <c r="M1537" s="26"/>
      <c r="N1537" s="26"/>
      <c r="O1537" s="26">
        <f t="shared" si="272"/>
        <v>0</v>
      </c>
      <c r="P1537" s="76"/>
      <c r="Q1537" s="26">
        <f t="shared" si="273"/>
        <v>1000</v>
      </c>
      <c r="R1537" s="26">
        <f t="shared" si="275"/>
        <v>0</v>
      </c>
      <c r="S1537" s="26">
        <f t="shared" si="275"/>
        <v>1000</v>
      </c>
    </row>
    <row r="1538" spans="2:19" x14ac:dyDescent="0.2">
      <c r="B1538" s="75">
        <f t="shared" si="270"/>
        <v>26</v>
      </c>
      <c r="C1538" s="4"/>
      <c r="D1538" s="4"/>
      <c r="E1538" s="4"/>
      <c r="F1538" s="53"/>
      <c r="G1538" s="4"/>
      <c r="H1538" s="4" t="s">
        <v>363</v>
      </c>
      <c r="I1538" s="26">
        <v>2200</v>
      </c>
      <c r="J1538" s="26"/>
      <c r="K1538" s="26">
        <f t="shared" si="271"/>
        <v>2200</v>
      </c>
      <c r="L1538" s="76"/>
      <c r="M1538" s="26"/>
      <c r="N1538" s="26"/>
      <c r="O1538" s="26">
        <f t="shared" si="272"/>
        <v>0</v>
      </c>
      <c r="P1538" s="76"/>
      <c r="Q1538" s="26">
        <f t="shared" si="273"/>
        <v>2200</v>
      </c>
      <c r="R1538" s="26">
        <f t="shared" si="275"/>
        <v>0</v>
      </c>
      <c r="S1538" s="26">
        <f t="shared" si="275"/>
        <v>2200</v>
      </c>
    </row>
    <row r="1539" spans="2:19" x14ac:dyDescent="0.2">
      <c r="B1539" s="75">
        <f t="shared" si="270"/>
        <v>27</v>
      </c>
      <c r="C1539" s="4"/>
      <c r="D1539" s="4"/>
      <c r="E1539" s="4"/>
      <c r="F1539" s="53" t="s">
        <v>190</v>
      </c>
      <c r="G1539" s="4">
        <v>636</v>
      </c>
      <c r="H1539" s="4" t="s">
        <v>134</v>
      </c>
      <c r="I1539" s="58">
        <f>40000+160000</f>
        <v>200000</v>
      </c>
      <c r="J1539" s="58"/>
      <c r="K1539" s="58">
        <f t="shared" si="271"/>
        <v>200000</v>
      </c>
      <c r="L1539" s="76"/>
      <c r="M1539" s="26"/>
      <c r="N1539" s="26"/>
      <c r="O1539" s="26">
        <f t="shared" si="272"/>
        <v>0</v>
      </c>
      <c r="P1539" s="76"/>
      <c r="Q1539" s="26">
        <f t="shared" si="273"/>
        <v>200000</v>
      </c>
      <c r="R1539" s="26">
        <f t="shared" si="275"/>
        <v>0</v>
      </c>
      <c r="S1539" s="26">
        <f t="shared" si="275"/>
        <v>200000</v>
      </c>
    </row>
    <row r="1540" spans="2:19" x14ac:dyDescent="0.2">
      <c r="B1540" s="75">
        <f t="shared" si="270"/>
        <v>28</v>
      </c>
      <c r="C1540" s="4"/>
      <c r="D1540" s="4"/>
      <c r="E1540" s="4"/>
      <c r="F1540" s="53" t="s">
        <v>190</v>
      </c>
      <c r="G1540" s="4">
        <v>637</v>
      </c>
      <c r="H1540" s="4" t="s">
        <v>130</v>
      </c>
      <c r="I1540" s="26">
        <v>1080</v>
      </c>
      <c r="J1540" s="26"/>
      <c r="K1540" s="26">
        <f t="shared" si="271"/>
        <v>1080</v>
      </c>
      <c r="L1540" s="76"/>
      <c r="M1540" s="26"/>
      <c r="N1540" s="26"/>
      <c r="O1540" s="26">
        <f t="shared" si="272"/>
        <v>0</v>
      </c>
      <c r="P1540" s="76"/>
      <c r="Q1540" s="26">
        <f t="shared" si="273"/>
        <v>1080</v>
      </c>
      <c r="R1540" s="26">
        <f t="shared" si="275"/>
        <v>0</v>
      </c>
      <c r="S1540" s="26">
        <f t="shared" si="275"/>
        <v>1080</v>
      </c>
    </row>
    <row r="1541" spans="2:19" x14ac:dyDescent="0.2">
      <c r="B1541" s="75">
        <f t="shared" si="270"/>
        <v>29</v>
      </c>
      <c r="C1541" s="15"/>
      <c r="D1541" s="15"/>
      <c r="E1541" s="15"/>
      <c r="F1541" s="52" t="s">
        <v>190</v>
      </c>
      <c r="G1541" s="15">
        <v>710</v>
      </c>
      <c r="H1541" s="15" t="s">
        <v>185</v>
      </c>
      <c r="I1541" s="49">
        <f>I1542</f>
        <v>0</v>
      </c>
      <c r="J1541" s="49">
        <f>J1542</f>
        <v>0</v>
      </c>
      <c r="K1541" s="49">
        <f t="shared" si="271"/>
        <v>0</v>
      </c>
      <c r="L1541" s="123"/>
      <c r="M1541" s="49">
        <f>M1542</f>
        <v>19000</v>
      </c>
      <c r="N1541" s="49">
        <f>N1542</f>
        <v>0</v>
      </c>
      <c r="O1541" s="49">
        <f t="shared" si="272"/>
        <v>19000</v>
      </c>
      <c r="P1541" s="123"/>
      <c r="Q1541" s="49">
        <f t="shared" si="273"/>
        <v>19000</v>
      </c>
      <c r="R1541" s="49">
        <f t="shared" si="275"/>
        <v>0</v>
      </c>
      <c r="S1541" s="49">
        <f t="shared" si="275"/>
        <v>19000</v>
      </c>
    </row>
    <row r="1542" spans="2:19" x14ac:dyDescent="0.2">
      <c r="B1542" s="75">
        <f t="shared" si="270"/>
        <v>30</v>
      </c>
      <c r="C1542" s="4"/>
      <c r="D1542" s="4"/>
      <c r="E1542" s="4"/>
      <c r="F1542" s="86" t="s">
        <v>190</v>
      </c>
      <c r="G1542" s="87">
        <v>717</v>
      </c>
      <c r="H1542" s="87" t="s">
        <v>195</v>
      </c>
      <c r="I1542" s="88"/>
      <c r="J1542" s="88"/>
      <c r="K1542" s="88">
        <f t="shared" si="271"/>
        <v>0</v>
      </c>
      <c r="L1542" s="76"/>
      <c r="M1542" s="88">
        <f>SUM(M1543:M1544)</f>
        <v>19000</v>
      </c>
      <c r="N1542" s="88">
        <f>SUM(N1543:N1544)</f>
        <v>0</v>
      </c>
      <c r="O1542" s="88">
        <f t="shared" si="272"/>
        <v>19000</v>
      </c>
      <c r="P1542" s="76"/>
      <c r="Q1542" s="88">
        <f t="shared" si="273"/>
        <v>19000</v>
      </c>
      <c r="R1542" s="88">
        <f t="shared" si="275"/>
        <v>0</v>
      </c>
      <c r="S1542" s="88">
        <f t="shared" si="275"/>
        <v>19000</v>
      </c>
    </row>
    <row r="1543" spans="2:19" x14ac:dyDescent="0.2">
      <c r="B1543" s="75">
        <f t="shared" si="270"/>
        <v>31</v>
      </c>
      <c r="C1543" s="4"/>
      <c r="D1543" s="4"/>
      <c r="E1543" s="4"/>
      <c r="F1543" s="53"/>
      <c r="G1543" s="4"/>
      <c r="H1543" s="4" t="s">
        <v>458</v>
      </c>
      <c r="I1543" s="26"/>
      <c r="J1543" s="26"/>
      <c r="K1543" s="26">
        <f t="shared" si="271"/>
        <v>0</v>
      </c>
      <c r="L1543" s="76"/>
      <c r="M1543" s="26">
        <v>11500</v>
      </c>
      <c r="N1543" s="26"/>
      <c r="O1543" s="26">
        <f t="shared" si="272"/>
        <v>11500</v>
      </c>
      <c r="P1543" s="76"/>
      <c r="Q1543" s="26">
        <f t="shared" si="273"/>
        <v>11500</v>
      </c>
      <c r="R1543" s="26">
        <f t="shared" si="275"/>
        <v>0</v>
      </c>
      <c r="S1543" s="26">
        <f t="shared" si="275"/>
        <v>11500</v>
      </c>
    </row>
    <row r="1544" spans="2:19" x14ac:dyDescent="0.2">
      <c r="B1544" s="75">
        <f t="shared" si="270"/>
        <v>32</v>
      </c>
      <c r="C1544" s="4"/>
      <c r="D1544" s="4"/>
      <c r="E1544" s="4"/>
      <c r="F1544" s="53"/>
      <c r="G1544" s="4"/>
      <c r="H1544" s="4" t="s">
        <v>508</v>
      </c>
      <c r="I1544" s="26"/>
      <c r="J1544" s="26"/>
      <c r="K1544" s="26">
        <f t="shared" si="271"/>
        <v>0</v>
      </c>
      <c r="L1544" s="76"/>
      <c r="M1544" s="26">
        <v>7500</v>
      </c>
      <c r="N1544" s="26"/>
      <c r="O1544" s="26">
        <f t="shared" si="272"/>
        <v>7500</v>
      </c>
      <c r="P1544" s="76"/>
      <c r="Q1544" s="26">
        <f t="shared" si="273"/>
        <v>7500</v>
      </c>
      <c r="R1544" s="26">
        <f t="shared" si="275"/>
        <v>0</v>
      </c>
      <c r="S1544" s="26">
        <f t="shared" si="275"/>
        <v>7500</v>
      </c>
    </row>
    <row r="1545" spans="2:19" ht="15" x14ac:dyDescent="0.25">
      <c r="B1545" s="75">
        <f t="shared" si="270"/>
        <v>33</v>
      </c>
      <c r="C1545" s="163"/>
      <c r="D1545" s="163">
        <v>3</v>
      </c>
      <c r="E1545" s="245" t="s">
        <v>214</v>
      </c>
      <c r="F1545" s="246"/>
      <c r="G1545" s="246"/>
      <c r="H1545" s="246"/>
      <c r="I1545" s="46">
        <f>I1546+I1548+I1556</f>
        <v>395505</v>
      </c>
      <c r="J1545" s="46">
        <f>J1546+J1548+J1556</f>
        <v>0</v>
      </c>
      <c r="K1545" s="46">
        <f t="shared" si="271"/>
        <v>395505</v>
      </c>
      <c r="L1545" s="173"/>
      <c r="M1545" s="46">
        <f>M1546+M1548+M1556</f>
        <v>247000</v>
      </c>
      <c r="N1545" s="46">
        <f>N1546+N1548+N1556</f>
        <v>0</v>
      </c>
      <c r="O1545" s="46">
        <f t="shared" si="272"/>
        <v>247000</v>
      </c>
      <c r="P1545" s="173"/>
      <c r="Q1545" s="46">
        <f t="shared" ref="Q1545:Q1576" si="276">I1545+M1545</f>
        <v>642505</v>
      </c>
      <c r="R1545" s="46">
        <f t="shared" ref="R1545:S1560" si="277">J1545+N1545</f>
        <v>0</v>
      </c>
      <c r="S1545" s="46">
        <f t="shared" si="277"/>
        <v>642505</v>
      </c>
    </row>
    <row r="1546" spans="2:19" x14ac:dyDescent="0.2">
      <c r="B1546" s="75">
        <f t="shared" si="270"/>
        <v>34</v>
      </c>
      <c r="C1546" s="15"/>
      <c r="D1546" s="15"/>
      <c r="E1546" s="15"/>
      <c r="F1546" s="52" t="s">
        <v>190</v>
      </c>
      <c r="G1546" s="15">
        <v>630</v>
      </c>
      <c r="H1546" s="15" t="s">
        <v>129</v>
      </c>
      <c r="I1546" s="49">
        <f>I1547</f>
        <v>2670</v>
      </c>
      <c r="J1546" s="49">
        <f>J1547</f>
        <v>0</v>
      </c>
      <c r="K1546" s="49">
        <f t="shared" si="271"/>
        <v>2670</v>
      </c>
      <c r="L1546" s="123"/>
      <c r="M1546" s="49">
        <f>M1547</f>
        <v>0</v>
      </c>
      <c r="N1546" s="49">
        <f>N1547</f>
        <v>0</v>
      </c>
      <c r="O1546" s="49">
        <f t="shared" si="272"/>
        <v>0</v>
      </c>
      <c r="P1546" s="123"/>
      <c r="Q1546" s="49">
        <f t="shared" si="276"/>
        <v>2670</v>
      </c>
      <c r="R1546" s="49">
        <f t="shared" si="277"/>
        <v>0</v>
      </c>
      <c r="S1546" s="49">
        <f t="shared" si="277"/>
        <v>2670</v>
      </c>
    </row>
    <row r="1547" spans="2:19" x14ac:dyDescent="0.2">
      <c r="B1547" s="75">
        <f t="shared" si="270"/>
        <v>35</v>
      </c>
      <c r="C1547" s="4"/>
      <c r="D1547" s="4"/>
      <c r="E1547" s="4"/>
      <c r="F1547" s="53" t="s">
        <v>190</v>
      </c>
      <c r="G1547" s="4">
        <v>637</v>
      </c>
      <c r="H1547" s="4" t="s">
        <v>130</v>
      </c>
      <c r="I1547" s="26">
        <v>2670</v>
      </c>
      <c r="J1547" s="26"/>
      <c r="K1547" s="26">
        <f t="shared" si="271"/>
        <v>2670</v>
      </c>
      <c r="L1547" s="76"/>
      <c r="M1547" s="26"/>
      <c r="N1547" s="26"/>
      <c r="O1547" s="26">
        <f t="shared" si="272"/>
        <v>0</v>
      </c>
      <c r="P1547" s="76"/>
      <c r="Q1547" s="26">
        <f t="shared" si="276"/>
        <v>2670</v>
      </c>
      <c r="R1547" s="26">
        <f t="shared" si="277"/>
        <v>0</v>
      </c>
      <c r="S1547" s="26">
        <f t="shared" si="277"/>
        <v>2670</v>
      </c>
    </row>
    <row r="1548" spans="2:19" x14ac:dyDescent="0.2">
      <c r="B1548" s="75">
        <f t="shared" si="270"/>
        <v>36</v>
      </c>
      <c r="C1548" s="15"/>
      <c r="D1548" s="15"/>
      <c r="E1548" s="15"/>
      <c r="F1548" s="52" t="s">
        <v>190</v>
      </c>
      <c r="G1548" s="15">
        <v>710</v>
      </c>
      <c r="H1548" s="15" t="s">
        <v>185</v>
      </c>
      <c r="I1548" s="49">
        <v>0</v>
      </c>
      <c r="J1548" s="49">
        <v>0</v>
      </c>
      <c r="K1548" s="49">
        <f t="shared" si="271"/>
        <v>0</v>
      </c>
      <c r="L1548" s="123"/>
      <c r="M1548" s="49">
        <f>M1549+M1552</f>
        <v>247000</v>
      </c>
      <c r="N1548" s="49">
        <f>N1549+N1552</f>
        <v>0</v>
      </c>
      <c r="O1548" s="49">
        <f t="shared" si="272"/>
        <v>247000</v>
      </c>
      <c r="P1548" s="123"/>
      <c r="Q1548" s="49">
        <f t="shared" si="276"/>
        <v>247000</v>
      </c>
      <c r="R1548" s="49">
        <f t="shared" si="277"/>
        <v>0</v>
      </c>
      <c r="S1548" s="49">
        <f t="shared" si="277"/>
        <v>247000</v>
      </c>
    </row>
    <row r="1549" spans="2:19" x14ac:dyDescent="0.2">
      <c r="B1549" s="75">
        <f t="shared" si="270"/>
        <v>37</v>
      </c>
      <c r="C1549" s="15"/>
      <c r="D1549" s="15"/>
      <c r="E1549" s="15"/>
      <c r="F1549" s="86" t="s">
        <v>190</v>
      </c>
      <c r="G1549" s="87">
        <v>716</v>
      </c>
      <c r="H1549" s="87" t="s">
        <v>0</v>
      </c>
      <c r="I1549" s="88"/>
      <c r="J1549" s="88"/>
      <c r="K1549" s="88">
        <f t="shared" si="271"/>
        <v>0</v>
      </c>
      <c r="L1549" s="76"/>
      <c r="M1549" s="88">
        <f>M1550+M1551</f>
        <v>3800</v>
      </c>
      <c r="N1549" s="88">
        <f>N1550+N1551</f>
        <v>0</v>
      </c>
      <c r="O1549" s="88">
        <f t="shared" si="272"/>
        <v>3800</v>
      </c>
      <c r="P1549" s="76"/>
      <c r="Q1549" s="88">
        <f t="shared" si="276"/>
        <v>3800</v>
      </c>
      <c r="R1549" s="88">
        <f t="shared" si="277"/>
        <v>0</v>
      </c>
      <c r="S1549" s="88">
        <f t="shared" si="277"/>
        <v>3800</v>
      </c>
    </row>
    <row r="1550" spans="2:19" x14ac:dyDescent="0.2">
      <c r="B1550" s="75">
        <f t="shared" si="270"/>
        <v>38</v>
      </c>
      <c r="C1550" s="15"/>
      <c r="D1550" s="15"/>
      <c r="E1550" s="15"/>
      <c r="F1550" s="52"/>
      <c r="G1550" s="15"/>
      <c r="H1550" s="4" t="s">
        <v>475</v>
      </c>
      <c r="I1550" s="49"/>
      <c r="J1550" s="49"/>
      <c r="K1550" s="49">
        <f t="shared" si="271"/>
        <v>0</v>
      </c>
      <c r="L1550" s="123"/>
      <c r="M1550" s="58">
        <v>2000</v>
      </c>
      <c r="N1550" s="58"/>
      <c r="O1550" s="58">
        <f t="shared" si="272"/>
        <v>2000</v>
      </c>
      <c r="P1550" s="76"/>
      <c r="Q1550" s="58">
        <f t="shared" si="276"/>
        <v>2000</v>
      </c>
      <c r="R1550" s="58">
        <f t="shared" si="277"/>
        <v>0</v>
      </c>
      <c r="S1550" s="58">
        <f t="shared" si="277"/>
        <v>2000</v>
      </c>
    </row>
    <row r="1551" spans="2:19" x14ac:dyDescent="0.2">
      <c r="B1551" s="75">
        <f t="shared" si="270"/>
        <v>39</v>
      </c>
      <c r="C1551" s="15"/>
      <c r="D1551" s="15"/>
      <c r="E1551" s="15"/>
      <c r="F1551" s="52"/>
      <c r="G1551" s="15"/>
      <c r="H1551" s="4" t="s">
        <v>526</v>
      </c>
      <c r="I1551" s="49"/>
      <c r="J1551" s="49"/>
      <c r="K1551" s="49">
        <f t="shared" si="271"/>
        <v>0</v>
      </c>
      <c r="L1551" s="123"/>
      <c r="M1551" s="58">
        <v>1800</v>
      </c>
      <c r="N1551" s="58"/>
      <c r="O1551" s="58">
        <f t="shared" si="272"/>
        <v>1800</v>
      </c>
      <c r="P1551" s="76"/>
      <c r="Q1551" s="58">
        <f t="shared" si="276"/>
        <v>1800</v>
      </c>
      <c r="R1551" s="58">
        <f t="shared" si="277"/>
        <v>0</v>
      </c>
      <c r="S1551" s="58">
        <f t="shared" si="277"/>
        <v>1800</v>
      </c>
    </row>
    <row r="1552" spans="2:19" x14ac:dyDescent="0.2">
      <c r="B1552" s="75">
        <f t="shared" si="270"/>
        <v>40</v>
      </c>
      <c r="C1552" s="4"/>
      <c r="D1552" s="4"/>
      <c r="E1552" s="4"/>
      <c r="F1552" s="86" t="s">
        <v>190</v>
      </c>
      <c r="G1552" s="87">
        <v>717</v>
      </c>
      <c r="H1552" s="87" t="s">
        <v>195</v>
      </c>
      <c r="I1552" s="88"/>
      <c r="J1552" s="88"/>
      <c r="K1552" s="88">
        <f t="shared" si="271"/>
        <v>0</v>
      </c>
      <c r="L1552" s="76"/>
      <c r="M1552" s="88">
        <f>SUM(M1553:M1555)</f>
        <v>243200</v>
      </c>
      <c r="N1552" s="88">
        <f>SUM(N1553:N1555)</f>
        <v>0</v>
      </c>
      <c r="O1552" s="88">
        <f t="shared" si="272"/>
        <v>243200</v>
      </c>
      <c r="P1552" s="76"/>
      <c r="Q1552" s="88">
        <f t="shared" si="276"/>
        <v>243200</v>
      </c>
      <c r="R1552" s="88">
        <f t="shared" si="277"/>
        <v>0</v>
      </c>
      <c r="S1552" s="88">
        <f t="shared" si="277"/>
        <v>243200</v>
      </c>
    </row>
    <row r="1553" spans="2:19" x14ac:dyDescent="0.2">
      <c r="B1553" s="75">
        <f t="shared" si="270"/>
        <v>41</v>
      </c>
      <c r="C1553" s="4"/>
      <c r="D1553" s="4"/>
      <c r="E1553" s="4"/>
      <c r="F1553" s="53"/>
      <c r="G1553" s="4"/>
      <c r="H1553" s="4" t="s">
        <v>655</v>
      </c>
      <c r="I1553" s="26"/>
      <c r="J1553" s="26"/>
      <c r="K1553" s="26">
        <f t="shared" si="271"/>
        <v>0</v>
      </c>
      <c r="L1553" s="76"/>
      <c r="M1553" s="26">
        <f>200000-1800</f>
        <v>198200</v>
      </c>
      <c r="N1553" s="26"/>
      <c r="O1553" s="26">
        <f t="shared" si="272"/>
        <v>198200</v>
      </c>
      <c r="P1553" s="76"/>
      <c r="Q1553" s="26">
        <f t="shared" si="276"/>
        <v>198200</v>
      </c>
      <c r="R1553" s="26">
        <f t="shared" si="277"/>
        <v>0</v>
      </c>
      <c r="S1553" s="26">
        <f t="shared" si="277"/>
        <v>198200</v>
      </c>
    </row>
    <row r="1554" spans="2:19" x14ac:dyDescent="0.2">
      <c r="B1554" s="75">
        <f t="shared" si="270"/>
        <v>42</v>
      </c>
      <c r="C1554" s="4"/>
      <c r="D1554" s="4"/>
      <c r="E1554" s="4"/>
      <c r="F1554" s="53"/>
      <c r="G1554" s="4"/>
      <c r="H1554" s="4" t="s">
        <v>475</v>
      </c>
      <c r="I1554" s="26"/>
      <c r="J1554" s="26"/>
      <c r="K1554" s="26">
        <f t="shared" si="271"/>
        <v>0</v>
      </c>
      <c r="L1554" s="76"/>
      <c r="M1554" s="26">
        <f>55000-2000-8000</f>
        <v>45000</v>
      </c>
      <c r="N1554" s="26"/>
      <c r="O1554" s="26">
        <f t="shared" si="272"/>
        <v>45000</v>
      </c>
      <c r="P1554" s="76"/>
      <c r="Q1554" s="26">
        <f t="shared" si="276"/>
        <v>45000</v>
      </c>
      <c r="R1554" s="26">
        <f t="shared" si="277"/>
        <v>0</v>
      </c>
      <c r="S1554" s="26">
        <f t="shared" si="277"/>
        <v>45000</v>
      </c>
    </row>
    <row r="1555" spans="2:19" x14ac:dyDescent="0.2">
      <c r="B1555" s="75">
        <f t="shared" si="270"/>
        <v>43</v>
      </c>
      <c r="C1555" s="4"/>
      <c r="D1555" s="4"/>
      <c r="E1555" s="4"/>
      <c r="F1555" s="53"/>
      <c r="G1555" s="4"/>
      <c r="H1555" s="4" t="s">
        <v>626</v>
      </c>
      <c r="I1555" s="26"/>
      <c r="J1555" s="26"/>
      <c r="K1555" s="26">
        <f t="shared" si="271"/>
        <v>0</v>
      </c>
      <c r="L1555" s="76"/>
      <c r="M1555" s="26">
        <f>280000-280000</f>
        <v>0</v>
      </c>
      <c r="N1555" s="26">
        <f>280000-280000</f>
        <v>0</v>
      </c>
      <c r="O1555" s="26">
        <f t="shared" si="272"/>
        <v>0</v>
      </c>
      <c r="P1555" s="76"/>
      <c r="Q1555" s="26">
        <f t="shared" si="276"/>
        <v>0</v>
      </c>
      <c r="R1555" s="26">
        <f t="shared" si="277"/>
        <v>0</v>
      </c>
      <c r="S1555" s="26">
        <f t="shared" si="277"/>
        <v>0</v>
      </c>
    </row>
    <row r="1556" spans="2:19" ht="15" x14ac:dyDescent="0.25">
      <c r="B1556" s="75">
        <f t="shared" si="270"/>
        <v>44</v>
      </c>
      <c r="C1556" s="18"/>
      <c r="D1556" s="18"/>
      <c r="E1556" s="18">
        <v>2</v>
      </c>
      <c r="F1556" s="50"/>
      <c r="G1556" s="18"/>
      <c r="H1556" s="18" t="s">
        <v>258</v>
      </c>
      <c r="I1556" s="47">
        <f>I1557+I1558+I1559+I1565</f>
        <v>392835</v>
      </c>
      <c r="J1556" s="47">
        <f>J1557+J1558+J1559+J1565</f>
        <v>0</v>
      </c>
      <c r="K1556" s="47">
        <f t="shared" si="271"/>
        <v>392835</v>
      </c>
      <c r="L1556" s="174"/>
      <c r="M1556" s="47">
        <f>M1557+M1558+M1559+M1565</f>
        <v>0</v>
      </c>
      <c r="N1556" s="47">
        <f>N1557+N1558+N1559+N1565</f>
        <v>0</v>
      </c>
      <c r="O1556" s="47">
        <f t="shared" si="272"/>
        <v>0</v>
      </c>
      <c r="P1556" s="174"/>
      <c r="Q1556" s="47">
        <f t="shared" si="276"/>
        <v>392835</v>
      </c>
      <c r="R1556" s="47">
        <f t="shared" si="277"/>
        <v>0</v>
      </c>
      <c r="S1556" s="47">
        <f t="shared" si="277"/>
        <v>392835</v>
      </c>
    </row>
    <row r="1557" spans="2:19" x14ac:dyDescent="0.2">
      <c r="B1557" s="75">
        <f t="shared" si="270"/>
        <v>45</v>
      </c>
      <c r="C1557" s="15"/>
      <c r="D1557" s="15"/>
      <c r="E1557" s="15"/>
      <c r="F1557" s="52" t="s">
        <v>190</v>
      </c>
      <c r="G1557" s="15">
        <v>610</v>
      </c>
      <c r="H1557" s="15" t="s">
        <v>137</v>
      </c>
      <c r="I1557" s="49">
        <v>96000</v>
      </c>
      <c r="J1557" s="49"/>
      <c r="K1557" s="49">
        <f t="shared" si="271"/>
        <v>96000</v>
      </c>
      <c r="L1557" s="123"/>
      <c r="M1557" s="49"/>
      <c r="N1557" s="49"/>
      <c r="O1557" s="49">
        <f t="shared" si="272"/>
        <v>0</v>
      </c>
      <c r="P1557" s="123"/>
      <c r="Q1557" s="49">
        <f t="shared" si="276"/>
        <v>96000</v>
      </c>
      <c r="R1557" s="49">
        <f t="shared" si="277"/>
        <v>0</v>
      </c>
      <c r="S1557" s="49">
        <f t="shared" si="277"/>
        <v>96000</v>
      </c>
    </row>
    <row r="1558" spans="2:19" x14ac:dyDescent="0.2">
      <c r="B1558" s="75">
        <f t="shared" si="270"/>
        <v>46</v>
      </c>
      <c r="C1558" s="15"/>
      <c r="D1558" s="15"/>
      <c r="E1558" s="15"/>
      <c r="F1558" s="52" t="s">
        <v>190</v>
      </c>
      <c r="G1558" s="15">
        <v>620</v>
      </c>
      <c r="H1558" s="15" t="s">
        <v>132</v>
      </c>
      <c r="I1558" s="49">
        <v>34145</v>
      </c>
      <c r="J1558" s="49"/>
      <c r="K1558" s="49">
        <f t="shared" si="271"/>
        <v>34145</v>
      </c>
      <c r="L1558" s="123"/>
      <c r="M1558" s="49"/>
      <c r="N1558" s="49"/>
      <c r="O1558" s="49">
        <f t="shared" si="272"/>
        <v>0</v>
      </c>
      <c r="P1558" s="123"/>
      <c r="Q1558" s="49">
        <f t="shared" si="276"/>
        <v>34145</v>
      </c>
      <c r="R1558" s="49">
        <f t="shared" si="277"/>
        <v>0</v>
      </c>
      <c r="S1558" s="49">
        <f t="shared" si="277"/>
        <v>34145</v>
      </c>
    </row>
    <row r="1559" spans="2:19" x14ac:dyDescent="0.2">
      <c r="B1559" s="75">
        <f t="shared" si="270"/>
        <v>47</v>
      </c>
      <c r="C1559" s="15"/>
      <c r="D1559" s="15"/>
      <c r="E1559" s="15"/>
      <c r="F1559" s="52" t="s">
        <v>190</v>
      </c>
      <c r="G1559" s="15">
        <v>630</v>
      </c>
      <c r="H1559" s="15" t="s">
        <v>129</v>
      </c>
      <c r="I1559" s="49">
        <f>SUM(I1560:I1564)</f>
        <v>262590</v>
      </c>
      <c r="J1559" s="49">
        <f>SUM(J1560:J1564)</f>
        <v>-150</v>
      </c>
      <c r="K1559" s="49">
        <f t="shared" si="271"/>
        <v>262440</v>
      </c>
      <c r="L1559" s="123"/>
      <c r="M1559" s="49">
        <f>SUM(M1560:M1564)</f>
        <v>0</v>
      </c>
      <c r="N1559" s="49">
        <f>SUM(N1560:N1564)</f>
        <v>0</v>
      </c>
      <c r="O1559" s="49">
        <f t="shared" si="272"/>
        <v>0</v>
      </c>
      <c r="P1559" s="123"/>
      <c r="Q1559" s="49">
        <f t="shared" si="276"/>
        <v>262590</v>
      </c>
      <c r="R1559" s="49">
        <f t="shared" si="277"/>
        <v>-150</v>
      </c>
      <c r="S1559" s="49">
        <f t="shared" si="277"/>
        <v>262440</v>
      </c>
    </row>
    <row r="1560" spans="2:19" x14ac:dyDescent="0.2">
      <c r="B1560" s="75">
        <f t="shared" si="270"/>
        <v>48</v>
      </c>
      <c r="C1560" s="4"/>
      <c r="D1560" s="4"/>
      <c r="E1560" s="4"/>
      <c r="F1560" s="53" t="s">
        <v>190</v>
      </c>
      <c r="G1560" s="4">
        <v>632</v>
      </c>
      <c r="H1560" s="4" t="s">
        <v>140</v>
      </c>
      <c r="I1560" s="26">
        <v>206470</v>
      </c>
      <c r="J1560" s="26"/>
      <c r="K1560" s="26">
        <f t="shared" si="271"/>
        <v>206470</v>
      </c>
      <c r="L1560" s="76"/>
      <c r="M1560" s="26"/>
      <c r="N1560" s="26"/>
      <c r="O1560" s="26">
        <f t="shared" si="272"/>
        <v>0</v>
      </c>
      <c r="P1560" s="76"/>
      <c r="Q1560" s="26">
        <f t="shared" si="276"/>
        <v>206470</v>
      </c>
      <c r="R1560" s="26">
        <f t="shared" si="277"/>
        <v>0</v>
      </c>
      <c r="S1560" s="26">
        <f t="shared" si="277"/>
        <v>206470</v>
      </c>
    </row>
    <row r="1561" spans="2:19" x14ac:dyDescent="0.2">
      <c r="B1561" s="75">
        <f t="shared" si="270"/>
        <v>49</v>
      </c>
      <c r="C1561" s="4"/>
      <c r="D1561" s="4"/>
      <c r="E1561" s="4"/>
      <c r="F1561" s="53" t="s">
        <v>190</v>
      </c>
      <c r="G1561" s="4">
        <v>633</v>
      </c>
      <c r="H1561" s="4" t="s">
        <v>133</v>
      </c>
      <c r="I1561" s="26">
        <v>12200</v>
      </c>
      <c r="J1561" s="26"/>
      <c r="K1561" s="26">
        <f t="shared" si="271"/>
        <v>12200</v>
      </c>
      <c r="L1561" s="76"/>
      <c r="M1561" s="26"/>
      <c r="N1561" s="26"/>
      <c r="O1561" s="26">
        <f t="shared" si="272"/>
        <v>0</v>
      </c>
      <c r="P1561" s="76"/>
      <c r="Q1561" s="26">
        <f t="shared" si="276"/>
        <v>12200</v>
      </c>
      <c r="R1561" s="26">
        <f t="shared" ref="R1561:S1576" si="278">J1561+N1561</f>
        <v>0</v>
      </c>
      <c r="S1561" s="26">
        <f t="shared" si="278"/>
        <v>12200</v>
      </c>
    </row>
    <row r="1562" spans="2:19" x14ac:dyDescent="0.2">
      <c r="B1562" s="75">
        <f t="shared" si="270"/>
        <v>50</v>
      </c>
      <c r="C1562" s="4"/>
      <c r="D1562" s="4"/>
      <c r="E1562" s="4"/>
      <c r="F1562" s="53" t="s">
        <v>190</v>
      </c>
      <c r="G1562" s="4">
        <v>635</v>
      </c>
      <c r="H1562" s="4" t="s">
        <v>139</v>
      </c>
      <c r="I1562" s="26">
        <v>10000</v>
      </c>
      <c r="J1562" s="26">
        <v>-150</v>
      </c>
      <c r="K1562" s="26">
        <f t="shared" si="271"/>
        <v>9850</v>
      </c>
      <c r="L1562" s="76"/>
      <c r="M1562" s="26"/>
      <c r="N1562" s="26"/>
      <c r="O1562" s="26">
        <f t="shared" si="272"/>
        <v>0</v>
      </c>
      <c r="P1562" s="76"/>
      <c r="Q1562" s="26">
        <f t="shared" si="276"/>
        <v>10000</v>
      </c>
      <c r="R1562" s="26">
        <f t="shared" si="278"/>
        <v>-150</v>
      </c>
      <c r="S1562" s="26">
        <f t="shared" si="278"/>
        <v>9850</v>
      </c>
    </row>
    <row r="1563" spans="2:19" x14ac:dyDescent="0.2">
      <c r="B1563" s="75">
        <f t="shared" si="270"/>
        <v>51</v>
      </c>
      <c r="C1563" s="4"/>
      <c r="D1563" s="4"/>
      <c r="E1563" s="4"/>
      <c r="F1563" s="53" t="s">
        <v>190</v>
      </c>
      <c r="G1563" s="4">
        <v>636</v>
      </c>
      <c r="H1563" s="4" t="s">
        <v>134</v>
      </c>
      <c r="I1563" s="26">
        <v>200</v>
      </c>
      <c r="J1563" s="26"/>
      <c r="K1563" s="26">
        <f t="shared" si="271"/>
        <v>200</v>
      </c>
      <c r="L1563" s="76"/>
      <c r="M1563" s="26"/>
      <c r="N1563" s="26"/>
      <c r="O1563" s="26">
        <f t="shared" si="272"/>
        <v>0</v>
      </c>
      <c r="P1563" s="76"/>
      <c r="Q1563" s="26">
        <f t="shared" si="276"/>
        <v>200</v>
      </c>
      <c r="R1563" s="26">
        <f t="shared" si="278"/>
        <v>0</v>
      </c>
      <c r="S1563" s="26">
        <f t="shared" si="278"/>
        <v>200</v>
      </c>
    </row>
    <row r="1564" spans="2:19" x14ac:dyDescent="0.2">
      <c r="B1564" s="75">
        <f t="shared" si="270"/>
        <v>52</v>
      </c>
      <c r="C1564" s="4"/>
      <c r="D1564" s="4"/>
      <c r="E1564" s="4"/>
      <c r="F1564" s="53" t="s">
        <v>190</v>
      </c>
      <c r="G1564" s="4">
        <v>637</v>
      </c>
      <c r="H1564" s="4" t="s">
        <v>130</v>
      </c>
      <c r="I1564" s="26">
        <f>33200+520</f>
        <v>33720</v>
      </c>
      <c r="J1564" s="26"/>
      <c r="K1564" s="26">
        <f t="shared" si="271"/>
        <v>33720</v>
      </c>
      <c r="L1564" s="76"/>
      <c r="M1564" s="26"/>
      <c r="N1564" s="26"/>
      <c r="O1564" s="26">
        <f t="shared" si="272"/>
        <v>0</v>
      </c>
      <c r="P1564" s="76"/>
      <c r="Q1564" s="26">
        <f t="shared" si="276"/>
        <v>33720</v>
      </c>
      <c r="R1564" s="26">
        <f t="shared" si="278"/>
        <v>0</v>
      </c>
      <c r="S1564" s="26">
        <f t="shared" si="278"/>
        <v>33720</v>
      </c>
    </row>
    <row r="1565" spans="2:19" x14ac:dyDescent="0.2">
      <c r="B1565" s="75">
        <f t="shared" si="270"/>
        <v>53</v>
      </c>
      <c r="C1565" s="15"/>
      <c r="D1565" s="15"/>
      <c r="E1565" s="15"/>
      <c r="F1565" s="52" t="s">
        <v>190</v>
      </c>
      <c r="G1565" s="15">
        <v>640</v>
      </c>
      <c r="H1565" s="15" t="s">
        <v>136</v>
      </c>
      <c r="I1565" s="49">
        <v>100</v>
      </c>
      <c r="J1565" s="49">
        <v>150</v>
      </c>
      <c r="K1565" s="49">
        <f t="shared" si="271"/>
        <v>250</v>
      </c>
      <c r="L1565" s="123"/>
      <c r="M1565" s="49"/>
      <c r="N1565" s="49"/>
      <c r="O1565" s="49">
        <f t="shared" si="272"/>
        <v>0</v>
      </c>
      <c r="P1565" s="123"/>
      <c r="Q1565" s="49">
        <f t="shared" si="276"/>
        <v>100</v>
      </c>
      <c r="R1565" s="49">
        <f t="shared" si="278"/>
        <v>150</v>
      </c>
      <c r="S1565" s="49">
        <f t="shared" si="278"/>
        <v>250</v>
      </c>
    </row>
    <row r="1566" spans="2:19" ht="15" x14ac:dyDescent="0.25">
      <c r="B1566" s="75">
        <f t="shared" si="270"/>
        <v>54</v>
      </c>
      <c r="C1566" s="163"/>
      <c r="D1566" s="163">
        <v>4</v>
      </c>
      <c r="E1566" s="245" t="s">
        <v>215</v>
      </c>
      <c r="F1566" s="246"/>
      <c r="G1566" s="246"/>
      <c r="H1566" s="246"/>
      <c r="I1566" s="46">
        <f>I1567+I1570+I1574</f>
        <v>471265</v>
      </c>
      <c r="J1566" s="46">
        <f>J1567+J1570+J1574</f>
        <v>0</v>
      </c>
      <c r="K1566" s="46">
        <f t="shared" si="271"/>
        <v>471265</v>
      </c>
      <c r="L1566" s="173"/>
      <c r="M1566" s="46">
        <f>M1567+M1570+M1574</f>
        <v>668755</v>
      </c>
      <c r="N1566" s="46">
        <f>N1567+N1570+N1574</f>
        <v>0</v>
      </c>
      <c r="O1566" s="46">
        <f t="shared" si="272"/>
        <v>668755</v>
      </c>
      <c r="P1566" s="173"/>
      <c r="Q1566" s="46">
        <f t="shared" si="276"/>
        <v>1140020</v>
      </c>
      <c r="R1566" s="46">
        <f t="shared" si="278"/>
        <v>0</v>
      </c>
      <c r="S1566" s="46">
        <f t="shared" si="278"/>
        <v>1140020</v>
      </c>
    </row>
    <row r="1567" spans="2:19" x14ac:dyDescent="0.2">
      <c r="B1567" s="75">
        <f t="shared" si="270"/>
        <v>55</v>
      </c>
      <c r="C1567" s="15"/>
      <c r="D1567" s="15"/>
      <c r="E1567" s="15"/>
      <c r="F1567" s="52" t="s">
        <v>190</v>
      </c>
      <c r="G1567" s="15">
        <v>630</v>
      </c>
      <c r="H1567" s="15" t="s">
        <v>129</v>
      </c>
      <c r="I1567" s="49">
        <f>I1569+I1568</f>
        <v>3760</v>
      </c>
      <c r="J1567" s="49">
        <f>J1569+J1568</f>
        <v>0</v>
      </c>
      <c r="K1567" s="49">
        <f t="shared" si="271"/>
        <v>3760</v>
      </c>
      <c r="L1567" s="123"/>
      <c r="M1567" s="49">
        <f>M1569</f>
        <v>0</v>
      </c>
      <c r="N1567" s="49">
        <f>N1569</f>
        <v>0</v>
      </c>
      <c r="O1567" s="49">
        <f t="shared" si="272"/>
        <v>0</v>
      </c>
      <c r="P1567" s="123"/>
      <c r="Q1567" s="49">
        <f t="shared" si="276"/>
        <v>3760</v>
      </c>
      <c r="R1567" s="49">
        <f t="shared" si="278"/>
        <v>0</v>
      </c>
      <c r="S1567" s="49">
        <f t="shared" si="278"/>
        <v>3760</v>
      </c>
    </row>
    <row r="1568" spans="2:19" x14ac:dyDescent="0.2">
      <c r="B1568" s="75">
        <f t="shared" si="270"/>
        <v>56</v>
      </c>
      <c r="C1568" s="15"/>
      <c r="D1568" s="15"/>
      <c r="E1568" s="15"/>
      <c r="F1568" s="53" t="s">
        <v>190</v>
      </c>
      <c r="G1568" s="4">
        <v>632</v>
      </c>
      <c r="H1568" s="4" t="s">
        <v>140</v>
      </c>
      <c r="I1568" s="26">
        <v>800</v>
      </c>
      <c r="J1568" s="26"/>
      <c r="K1568" s="26">
        <f t="shared" si="271"/>
        <v>800</v>
      </c>
      <c r="L1568" s="76"/>
      <c r="M1568" s="26"/>
      <c r="N1568" s="26"/>
      <c r="O1568" s="26">
        <f t="shared" si="272"/>
        <v>0</v>
      </c>
      <c r="P1568" s="76"/>
      <c r="Q1568" s="26">
        <f t="shared" si="276"/>
        <v>800</v>
      </c>
      <c r="R1568" s="26">
        <f t="shared" si="278"/>
        <v>0</v>
      </c>
      <c r="S1568" s="26">
        <f t="shared" si="278"/>
        <v>800</v>
      </c>
    </row>
    <row r="1569" spans="2:19" x14ac:dyDescent="0.2">
      <c r="B1569" s="75">
        <f t="shared" si="270"/>
        <v>57</v>
      </c>
      <c r="C1569" s="4"/>
      <c r="D1569" s="4"/>
      <c r="E1569" s="4"/>
      <c r="F1569" s="53" t="s">
        <v>190</v>
      </c>
      <c r="G1569" s="4">
        <v>637</v>
      </c>
      <c r="H1569" s="4" t="s">
        <v>130</v>
      </c>
      <c r="I1569" s="26">
        <f>2260+700</f>
        <v>2960</v>
      </c>
      <c r="J1569" s="26"/>
      <c r="K1569" s="26">
        <f t="shared" si="271"/>
        <v>2960</v>
      </c>
      <c r="L1569" s="76"/>
      <c r="M1569" s="26"/>
      <c r="N1569" s="26"/>
      <c r="O1569" s="26">
        <f t="shared" si="272"/>
        <v>0</v>
      </c>
      <c r="P1569" s="76"/>
      <c r="Q1569" s="26">
        <f t="shared" si="276"/>
        <v>2960</v>
      </c>
      <c r="R1569" s="26">
        <f t="shared" si="278"/>
        <v>0</v>
      </c>
      <c r="S1569" s="26">
        <f t="shared" si="278"/>
        <v>2960</v>
      </c>
    </row>
    <row r="1570" spans="2:19" x14ac:dyDescent="0.2">
      <c r="B1570" s="75">
        <f t="shared" si="270"/>
        <v>58</v>
      </c>
      <c r="C1570" s="15"/>
      <c r="D1570" s="15"/>
      <c r="E1570" s="15"/>
      <c r="F1570" s="52" t="s">
        <v>190</v>
      </c>
      <c r="G1570" s="15">
        <v>710</v>
      </c>
      <c r="H1570" s="15" t="s">
        <v>185</v>
      </c>
      <c r="I1570" s="49">
        <v>0</v>
      </c>
      <c r="J1570" s="49"/>
      <c r="K1570" s="49">
        <f t="shared" si="271"/>
        <v>0</v>
      </c>
      <c r="L1570" s="123"/>
      <c r="M1570" s="49">
        <f>M1571</f>
        <v>668755</v>
      </c>
      <c r="N1570" s="49">
        <f>N1571</f>
        <v>0</v>
      </c>
      <c r="O1570" s="49">
        <f t="shared" si="272"/>
        <v>668755</v>
      </c>
      <c r="P1570" s="123"/>
      <c r="Q1570" s="49">
        <f t="shared" si="276"/>
        <v>668755</v>
      </c>
      <c r="R1570" s="49">
        <f t="shared" si="278"/>
        <v>0</v>
      </c>
      <c r="S1570" s="49">
        <f t="shared" si="278"/>
        <v>668755</v>
      </c>
    </row>
    <row r="1571" spans="2:19" x14ac:dyDescent="0.2">
      <c r="B1571" s="75">
        <f t="shared" si="270"/>
        <v>59</v>
      </c>
      <c r="C1571" s="4"/>
      <c r="D1571" s="4"/>
      <c r="E1571" s="4"/>
      <c r="F1571" s="86" t="s">
        <v>190</v>
      </c>
      <c r="G1571" s="87">
        <v>717</v>
      </c>
      <c r="H1571" s="87" t="s">
        <v>195</v>
      </c>
      <c r="I1571" s="88"/>
      <c r="J1571" s="88"/>
      <c r="K1571" s="88">
        <f t="shared" si="271"/>
        <v>0</v>
      </c>
      <c r="L1571" s="76"/>
      <c r="M1571" s="88">
        <f>SUM(M1572:M1573)</f>
        <v>668755</v>
      </c>
      <c r="N1571" s="88">
        <f>SUM(N1572:N1573)</f>
        <v>0</v>
      </c>
      <c r="O1571" s="88">
        <f t="shared" si="272"/>
        <v>668755</v>
      </c>
      <c r="P1571" s="76"/>
      <c r="Q1571" s="88">
        <f t="shared" si="276"/>
        <v>668755</v>
      </c>
      <c r="R1571" s="88">
        <f t="shared" si="278"/>
        <v>0</v>
      </c>
      <c r="S1571" s="88">
        <f t="shared" si="278"/>
        <v>668755</v>
      </c>
    </row>
    <row r="1572" spans="2:19" x14ac:dyDescent="0.2">
      <c r="B1572" s="75">
        <f t="shared" si="270"/>
        <v>60</v>
      </c>
      <c r="C1572" s="4"/>
      <c r="D1572" s="4"/>
      <c r="E1572" s="4"/>
      <c r="F1572" s="53"/>
      <c r="G1572" s="4"/>
      <c r="H1572" s="4" t="s">
        <v>477</v>
      </c>
      <c r="I1572" s="26"/>
      <c r="J1572" s="26"/>
      <c r="K1572" s="26">
        <f t="shared" si="271"/>
        <v>0</v>
      </c>
      <c r="L1572" s="76"/>
      <c r="M1572" s="26">
        <f>130000-1500</f>
        <v>128500</v>
      </c>
      <c r="N1572" s="26"/>
      <c r="O1572" s="26">
        <f t="shared" si="272"/>
        <v>128500</v>
      </c>
      <c r="P1572" s="76"/>
      <c r="Q1572" s="26">
        <f t="shared" si="276"/>
        <v>128500</v>
      </c>
      <c r="R1572" s="26">
        <f t="shared" si="278"/>
        <v>0</v>
      </c>
      <c r="S1572" s="26">
        <f t="shared" si="278"/>
        <v>128500</v>
      </c>
    </row>
    <row r="1573" spans="2:19" x14ac:dyDescent="0.2">
      <c r="B1573" s="75">
        <f t="shared" si="270"/>
        <v>61</v>
      </c>
      <c r="C1573" s="4"/>
      <c r="D1573" s="4"/>
      <c r="E1573" s="4"/>
      <c r="F1573" s="53"/>
      <c r="G1573" s="4"/>
      <c r="H1573" s="4" t="s">
        <v>351</v>
      </c>
      <c r="I1573" s="26"/>
      <c r="J1573" s="26"/>
      <c r="K1573" s="26">
        <f t="shared" si="271"/>
        <v>0</v>
      </c>
      <c r="L1573" s="76"/>
      <c r="M1573" s="26">
        <v>540255</v>
      </c>
      <c r="N1573" s="26"/>
      <c r="O1573" s="26">
        <f t="shared" si="272"/>
        <v>540255</v>
      </c>
      <c r="P1573" s="76"/>
      <c r="Q1573" s="26">
        <f t="shared" si="276"/>
        <v>540255</v>
      </c>
      <c r="R1573" s="26">
        <f t="shared" si="278"/>
        <v>0</v>
      </c>
      <c r="S1573" s="26">
        <f t="shared" si="278"/>
        <v>540255</v>
      </c>
    </row>
    <row r="1574" spans="2:19" ht="15" x14ac:dyDescent="0.25">
      <c r="B1574" s="75">
        <f t="shared" si="270"/>
        <v>62</v>
      </c>
      <c r="C1574" s="18"/>
      <c r="D1574" s="18"/>
      <c r="E1574" s="18">
        <v>2</v>
      </c>
      <c r="F1574" s="50"/>
      <c r="G1574" s="18"/>
      <c r="H1574" s="18" t="s">
        <v>258</v>
      </c>
      <c r="I1574" s="47">
        <f>I1575+I1576+I1577+I1582</f>
        <v>467505</v>
      </c>
      <c r="J1574" s="47">
        <f>J1575+J1576+J1577+J1582</f>
        <v>0</v>
      </c>
      <c r="K1574" s="47">
        <f t="shared" si="271"/>
        <v>467505</v>
      </c>
      <c r="L1574" s="174"/>
      <c r="M1574" s="47">
        <v>0</v>
      </c>
      <c r="N1574" s="47">
        <v>0</v>
      </c>
      <c r="O1574" s="47">
        <f t="shared" si="272"/>
        <v>0</v>
      </c>
      <c r="P1574" s="174"/>
      <c r="Q1574" s="47">
        <f t="shared" si="276"/>
        <v>467505</v>
      </c>
      <c r="R1574" s="47">
        <f t="shared" si="278"/>
        <v>0</v>
      </c>
      <c r="S1574" s="47">
        <f t="shared" si="278"/>
        <v>467505</v>
      </c>
    </row>
    <row r="1575" spans="2:19" x14ac:dyDescent="0.2">
      <c r="B1575" s="75">
        <f t="shared" si="270"/>
        <v>63</v>
      </c>
      <c r="C1575" s="15"/>
      <c r="D1575" s="15"/>
      <c r="E1575" s="15"/>
      <c r="F1575" s="52" t="s">
        <v>190</v>
      </c>
      <c r="G1575" s="15">
        <v>610</v>
      </c>
      <c r="H1575" s="15" t="s">
        <v>137</v>
      </c>
      <c r="I1575" s="49">
        <v>116000</v>
      </c>
      <c r="J1575" s="49"/>
      <c r="K1575" s="49">
        <f t="shared" si="271"/>
        <v>116000</v>
      </c>
      <c r="L1575" s="123"/>
      <c r="M1575" s="49"/>
      <c r="N1575" s="49"/>
      <c r="O1575" s="49">
        <f t="shared" si="272"/>
        <v>0</v>
      </c>
      <c r="P1575" s="123"/>
      <c r="Q1575" s="49">
        <f t="shared" si="276"/>
        <v>116000</v>
      </c>
      <c r="R1575" s="49">
        <f t="shared" si="278"/>
        <v>0</v>
      </c>
      <c r="S1575" s="49">
        <f t="shared" si="278"/>
        <v>116000</v>
      </c>
    </row>
    <row r="1576" spans="2:19" x14ac:dyDescent="0.2">
      <c r="B1576" s="75">
        <f t="shared" si="270"/>
        <v>64</v>
      </c>
      <c r="C1576" s="15"/>
      <c r="D1576" s="15"/>
      <c r="E1576" s="15"/>
      <c r="F1576" s="52" t="s">
        <v>190</v>
      </c>
      <c r="G1576" s="15">
        <v>620</v>
      </c>
      <c r="H1576" s="15" t="s">
        <v>132</v>
      </c>
      <c r="I1576" s="49">
        <v>52500</v>
      </c>
      <c r="J1576" s="49"/>
      <c r="K1576" s="49">
        <f t="shared" si="271"/>
        <v>52500</v>
      </c>
      <c r="L1576" s="123"/>
      <c r="M1576" s="49"/>
      <c r="N1576" s="49"/>
      <c r="O1576" s="49">
        <f t="shared" si="272"/>
        <v>0</v>
      </c>
      <c r="P1576" s="123"/>
      <c r="Q1576" s="49">
        <f t="shared" si="276"/>
        <v>52500</v>
      </c>
      <c r="R1576" s="49">
        <f t="shared" si="278"/>
        <v>0</v>
      </c>
      <c r="S1576" s="49">
        <f t="shared" si="278"/>
        <v>52500</v>
      </c>
    </row>
    <row r="1577" spans="2:19" x14ac:dyDescent="0.2">
      <c r="B1577" s="75">
        <f t="shared" ref="B1577:B1612" si="279">B1576+1</f>
        <v>65</v>
      </c>
      <c r="C1577" s="15"/>
      <c r="D1577" s="15"/>
      <c r="E1577" s="15"/>
      <c r="F1577" s="52" t="s">
        <v>190</v>
      </c>
      <c r="G1577" s="15">
        <v>630</v>
      </c>
      <c r="H1577" s="15" t="s">
        <v>129</v>
      </c>
      <c r="I1577" s="49">
        <f>I1581+I1580+I1579+I1578</f>
        <v>298905</v>
      </c>
      <c r="J1577" s="49">
        <f>J1581+J1580+J1579+J1578</f>
        <v>-250</v>
      </c>
      <c r="K1577" s="49">
        <f t="shared" ref="K1577:K1612" si="280">I1577+J1577</f>
        <v>298655</v>
      </c>
      <c r="L1577" s="123"/>
      <c r="M1577" s="49">
        <v>0</v>
      </c>
      <c r="N1577" s="49">
        <v>0</v>
      </c>
      <c r="O1577" s="49">
        <f t="shared" ref="O1577:O1612" si="281">M1577+N1577</f>
        <v>0</v>
      </c>
      <c r="P1577" s="123"/>
      <c r="Q1577" s="49">
        <f t="shared" ref="Q1577:Q1595" si="282">I1577+M1577</f>
        <v>298905</v>
      </c>
      <c r="R1577" s="49">
        <f t="shared" ref="R1577:S1592" si="283">J1577+N1577</f>
        <v>-250</v>
      </c>
      <c r="S1577" s="49">
        <f t="shared" si="283"/>
        <v>298655</v>
      </c>
    </row>
    <row r="1578" spans="2:19" x14ac:dyDescent="0.2">
      <c r="B1578" s="75">
        <f t="shared" si="279"/>
        <v>66</v>
      </c>
      <c r="C1578" s="4"/>
      <c r="D1578" s="4"/>
      <c r="E1578" s="4"/>
      <c r="F1578" s="53" t="s">
        <v>190</v>
      </c>
      <c r="G1578" s="4">
        <v>632</v>
      </c>
      <c r="H1578" s="4" t="s">
        <v>140</v>
      </c>
      <c r="I1578" s="26">
        <v>189000</v>
      </c>
      <c r="J1578" s="26"/>
      <c r="K1578" s="26">
        <f t="shared" si="280"/>
        <v>189000</v>
      </c>
      <c r="L1578" s="76"/>
      <c r="M1578" s="26"/>
      <c r="N1578" s="26"/>
      <c r="O1578" s="26">
        <f t="shared" si="281"/>
        <v>0</v>
      </c>
      <c r="P1578" s="76"/>
      <c r="Q1578" s="26">
        <f t="shared" si="282"/>
        <v>189000</v>
      </c>
      <c r="R1578" s="26">
        <f t="shared" si="283"/>
        <v>0</v>
      </c>
      <c r="S1578" s="26">
        <f t="shared" si="283"/>
        <v>189000</v>
      </c>
    </row>
    <row r="1579" spans="2:19" x14ac:dyDescent="0.2">
      <c r="B1579" s="75">
        <f t="shared" si="279"/>
        <v>67</v>
      </c>
      <c r="C1579" s="4"/>
      <c r="D1579" s="4"/>
      <c r="E1579" s="4"/>
      <c r="F1579" s="53" t="s">
        <v>190</v>
      </c>
      <c r="G1579" s="4">
        <v>633</v>
      </c>
      <c r="H1579" s="4" t="s">
        <v>133</v>
      </c>
      <c r="I1579" s="26">
        <v>33115</v>
      </c>
      <c r="J1579" s="26"/>
      <c r="K1579" s="26">
        <f t="shared" si="280"/>
        <v>33115</v>
      </c>
      <c r="L1579" s="76"/>
      <c r="M1579" s="26"/>
      <c r="N1579" s="26"/>
      <c r="O1579" s="26">
        <f t="shared" si="281"/>
        <v>0</v>
      </c>
      <c r="P1579" s="76"/>
      <c r="Q1579" s="26">
        <f t="shared" si="282"/>
        <v>33115</v>
      </c>
      <c r="R1579" s="26">
        <f t="shared" si="283"/>
        <v>0</v>
      </c>
      <c r="S1579" s="26">
        <f t="shared" si="283"/>
        <v>33115</v>
      </c>
    </row>
    <row r="1580" spans="2:19" x14ac:dyDescent="0.2">
      <c r="B1580" s="75">
        <f t="shared" si="279"/>
        <v>68</v>
      </c>
      <c r="C1580" s="4"/>
      <c r="D1580" s="4"/>
      <c r="E1580" s="4"/>
      <c r="F1580" s="53" t="s">
        <v>190</v>
      </c>
      <c r="G1580" s="4">
        <v>635</v>
      </c>
      <c r="H1580" s="4" t="s">
        <v>139</v>
      </c>
      <c r="I1580" s="26">
        <v>26600</v>
      </c>
      <c r="J1580" s="26">
        <v>-2500</v>
      </c>
      <c r="K1580" s="26">
        <f t="shared" si="280"/>
        <v>24100</v>
      </c>
      <c r="L1580" s="76"/>
      <c r="M1580" s="26"/>
      <c r="N1580" s="26"/>
      <c r="O1580" s="26">
        <f t="shared" si="281"/>
        <v>0</v>
      </c>
      <c r="P1580" s="76"/>
      <c r="Q1580" s="26">
        <f t="shared" si="282"/>
        <v>26600</v>
      </c>
      <c r="R1580" s="26">
        <f t="shared" si="283"/>
        <v>-2500</v>
      </c>
      <c r="S1580" s="26">
        <f t="shared" si="283"/>
        <v>24100</v>
      </c>
    </row>
    <row r="1581" spans="2:19" x14ac:dyDescent="0.2">
      <c r="B1581" s="75">
        <f t="shared" si="279"/>
        <v>69</v>
      </c>
      <c r="C1581" s="4"/>
      <c r="D1581" s="4"/>
      <c r="E1581" s="4"/>
      <c r="F1581" s="53" t="s">
        <v>190</v>
      </c>
      <c r="G1581" s="4">
        <v>637</v>
      </c>
      <c r="H1581" s="4" t="s">
        <v>130</v>
      </c>
      <c r="I1581" s="26">
        <f>49650+540</f>
        <v>50190</v>
      </c>
      <c r="J1581" s="26">
        <f>-250+2500</f>
        <v>2250</v>
      </c>
      <c r="K1581" s="26">
        <f t="shared" si="280"/>
        <v>52440</v>
      </c>
      <c r="L1581" s="76"/>
      <c r="M1581" s="26"/>
      <c r="N1581" s="26"/>
      <c r="O1581" s="26">
        <f t="shared" si="281"/>
        <v>0</v>
      </c>
      <c r="P1581" s="76"/>
      <c r="Q1581" s="26">
        <f t="shared" si="282"/>
        <v>50190</v>
      </c>
      <c r="R1581" s="26">
        <f t="shared" si="283"/>
        <v>2250</v>
      </c>
      <c r="S1581" s="26">
        <f t="shared" si="283"/>
        <v>52440</v>
      </c>
    </row>
    <row r="1582" spans="2:19" x14ac:dyDescent="0.2">
      <c r="B1582" s="75">
        <f t="shared" si="279"/>
        <v>70</v>
      </c>
      <c r="C1582" s="15"/>
      <c r="D1582" s="15"/>
      <c r="E1582" s="15"/>
      <c r="F1582" s="52" t="s">
        <v>190</v>
      </c>
      <c r="G1582" s="15">
        <v>640</v>
      </c>
      <c r="H1582" s="15" t="s">
        <v>136</v>
      </c>
      <c r="I1582" s="49">
        <v>100</v>
      </c>
      <c r="J1582" s="49">
        <v>250</v>
      </c>
      <c r="K1582" s="49">
        <f t="shared" si="280"/>
        <v>350</v>
      </c>
      <c r="L1582" s="123"/>
      <c r="M1582" s="49"/>
      <c r="N1582" s="49"/>
      <c r="O1582" s="49">
        <f t="shared" si="281"/>
        <v>0</v>
      </c>
      <c r="P1582" s="123"/>
      <c r="Q1582" s="49">
        <f t="shared" si="282"/>
        <v>100</v>
      </c>
      <c r="R1582" s="49">
        <f t="shared" si="283"/>
        <v>250</v>
      </c>
      <c r="S1582" s="49">
        <f t="shared" si="283"/>
        <v>350</v>
      </c>
    </row>
    <row r="1583" spans="2:19" ht="15" x14ac:dyDescent="0.25">
      <c r="B1583" s="75">
        <f t="shared" si="279"/>
        <v>71</v>
      </c>
      <c r="C1583" s="163"/>
      <c r="D1583" s="163">
        <v>5</v>
      </c>
      <c r="E1583" s="245" t="s">
        <v>37</v>
      </c>
      <c r="F1583" s="246"/>
      <c r="G1583" s="246"/>
      <c r="H1583" s="246"/>
      <c r="I1583" s="46">
        <f>I1584</f>
        <v>0</v>
      </c>
      <c r="J1583" s="46">
        <f>J1584</f>
        <v>0</v>
      </c>
      <c r="K1583" s="46">
        <f t="shared" si="280"/>
        <v>0</v>
      </c>
      <c r="L1583" s="173"/>
      <c r="M1583" s="46">
        <v>0</v>
      </c>
      <c r="N1583" s="46">
        <v>0</v>
      </c>
      <c r="O1583" s="46">
        <f t="shared" si="281"/>
        <v>0</v>
      </c>
      <c r="P1583" s="173"/>
      <c r="Q1583" s="46">
        <f t="shared" si="282"/>
        <v>0</v>
      </c>
      <c r="R1583" s="46">
        <f t="shared" si="283"/>
        <v>0</v>
      </c>
      <c r="S1583" s="46">
        <f t="shared" si="283"/>
        <v>0</v>
      </c>
    </row>
    <row r="1584" spans="2:19" ht="15" x14ac:dyDescent="0.25">
      <c r="B1584" s="75">
        <f t="shared" si="279"/>
        <v>72</v>
      </c>
      <c r="C1584" s="18"/>
      <c r="D1584" s="18"/>
      <c r="E1584" s="18">
        <v>2</v>
      </c>
      <c r="F1584" s="50"/>
      <c r="G1584" s="18"/>
      <c r="H1584" s="18" t="s">
        <v>258</v>
      </c>
      <c r="I1584" s="47">
        <f>I1585+I1586+I1587</f>
        <v>0</v>
      </c>
      <c r="J1584" s="47">
        <f>J1585+J1586+J1587</f>
        <v>0</v>
      </c>
      <c r="K1584" s="47">
        <f t="shared" si="280"/>
        <v>0</v>
      </c>
      <c r="L1584" s="174"/>
      <c r="M1584" s="47">
        <v>0</v>
      </c>
      <c r="N1584" s="47">
        <v>0</v>
      </c>
      <c r="O1584" s="47">
        <f t="shared" si="281"/>
        <v>0</v>
      </c>
      <c r="P1584" s="174"/>
      <c r="Q1584" s="47">
        <f t="shared" si="282"/>
        <v>0</v>
      </c>
      <c r="R1584" s="47">
        <f t="shared" si="283"/>
        <v>0</v>
      </c>
      <c r="S1584" s="47">
        <f t="shared" si="283"/>
        <v>0</v>
      </c>
    </row>
    <row r="1585" spans="2:19" x14ac:dyDescent="0.2">
      <c r="B1585" s="75">
        <f t="shared" si="279"/>
        <v>73</v>
      </c>
      <c r="C1585" s="15"/>
      <c r="D1585" s="15"/>
      <c r="E1585" s="15"/>
      <c r="F1585" s="52" t="s">
        <v>190</v>
      </c>
      <c r="G1585" s="15">
        <v>610</v>
      </c>
      <c r="H1585" s="15" t="s">
        <v>137</v>
      </c>
      <c r="I1585" s="49">
        <f>7800-7800</f>
        <v>0</v>
      </c>
      <c r="J1585" s="49">
        <f>7800-7800</f>
        <v>0</v>
      </c>
      <c r="K1585" s="49">
        <f t="shared" si="280"/>
        <v>0</v>
      </c>
      <c r="L1585" s="123"/>
      <c r="M1585" s="49"/>
      <c r="N1585" s="49"/>
      <c r="O1585" s="49">
        <f t="shared" si="281"/>
        <v>0</v>
      </c>
      <c r="P1585" s="123"/>
      <c r="Q1585" s="49">
        <f t="shared" si="282"/>
        <v>0</v>
      </c>
      <c r="R1585" s="49">
        <f t="shared" si="283"/>
        <v>0</v>
      </c>
      <c r="S1585" s="49">
        <f t="shared" si="283"/>
        <v>0</v>
      </c>
    </row>
    <row r="1586" spans="2:19" x14ac:dyDescent="0.2">
      <c r="B1586" s="75">
        <f t="shared" si="279"/>
        <v>74</v>
      </c>
      <c r="C1586" s="15"/>
      <c r="D1586" s="15"/>
      <c r="E1586" s="15"/>
      <c r="F1586" s="52" t="s">
        <v>190</v>
      </c>
      <c r="G1586" s="15">
        <v>620</v>
      </c>
      <c r="H1586" s="15" t="s">
        <v>132</v>
      </c>
      <c r="I1586" s="49">
        <f>2700-2700</f>
        <v>0</v>
      </c>
      <c r="J1586" s="49">
        <f>2700-2700</f>
        <v>0</v>
      </c>
      <c r="K1586" s="49">
        <f t="shared" si="280"/>
        <v>0</v>
      </c>
      <c r="L1586" s="123"/>
      <c r="M1586" s="49"/>
      <c r="N1586" s="49"/>
      <c r="O1586" s="49">
        <f t="shared" si="281"/>
        <v>0</v>
      </c>
      <c r="P1586" s="123"/>
      <c r="Q1586" s="49">
        <f t="shared" si="282"/>
        <v>0</v>
      </c>
      <c r="R1586" s="49">
        <f t="shared" si="283"/>
        <v>0</v>
      </c>
      <c r="S1586" s="49">
        <f t="shared" si="283"/>
        <v>0</v>
      </c>
    </row>
    <row r="1587" spans="2:19" x14ac:dyDescent="0.2">
      <c r="B1587" s="75">
        <f t="shared" si="279"/>
        <v>75</v>
      </c>
      <c r="C1587" s="15"/>
      <c r="D1587" s="15"/>
      <c r="E1587" s="15"/>
      <c r="F1587" s="52" t="s">
        <v>190</v>
      </c>
      <c r="G1587" s="15">
        <v>630</v>
      </c>
      <c r="H1587" s="15" t="s">
        <v>129</v>
      </c>
      <c r="I1587" s="49">
        <f>I1592+I1591+I1589+I1588+I1590</f>
        <v>0</v>
      </c>
      <c r="J1587" s="49">
        <f>J1592+J1591+J1589+J1588+J1590</f>
        <v>0</v>
      </c>
      <c r="K1587" s="49">
        <f t="shared" si="280"/>
        <v>0</v>
      </c>
      <c r="L1587" s="123"/>
      <c r="M1587" s="49">
        <v>0</v>
      </c>
      <c r="N1587" s="49">
        <v>0</v>
      </c>
      <c r="O1587" s="49">
        <f t="shared" si="281"/>
        <v>0</v>
      </c>
      <c r="P1587" s="123"/>
      <c r="Q1587" s="49">
        <f t="shared" si="282"/>
        <v>0</v>
      </c>
      <c r="R1587" s="49">
        <f t="shared" si="283"/>
        <v>0</v>
      </c>
      <c r="S1587" s="49">
        <f t="shared" si="283"/>
        <v>0</v>
      </c>
    </row>
    <row r="1588" spans="2:19" x14ac:dyDescent="0.2">
      <c r="B1588" s="75">
        <f t="shared" si="279"/>
        <v>76</v>
      </c>
      <c r="C1588" s="4"/>
      <c r="D1588" s="4"/>
      <c r="E1588" s="4"/>
      <c r="F1588" s="53" t="s">
        <v>190</v>
      </c>
      <c r="G1588" s="4">
        <v>632</v>
      </c>
      <c r="H1588" s="4" t="s">
        <v>140</v>
      </c>
      <c r="I1588" s="26">
        <f>17000-17000</f>
        <v>0</v>
      </c>
      <c r="J1588" s="26">
        <f>17000-17000</f>
        <v>0</v>
      </c>
      <c r="K1588" s="26">
        <f t="shared" si="280"/>
        <v>0</v>
      </c>
      <c r="L1588" s="76"/>
      <c r="M1588" s="26"/>
      <c r="N1588" s="26"/>
      <c r="O1588" s="26">
        <f t="shared" si="281"/>
        <v>0</v>
      </c>
      <c r="P1588" s="76"/>
      <c r="Q1588" s="26">
        <f t="shared" si="282"/>
        <v>0</v>
      </c>
      <c r="R1588" s="26">
        <f t="shared" si="283"/>
        <v>0</v>
      </c>
      <c r="S1588" s="26">
        <f t="shared" si="283"/>
        <v>0</v>
      </c>
    </row>
    <row r="1589" spans="2:19" x14ac:dyDescent="0.2">
      <c r="B1589" s="75">
        <f t="shared" si="279"/>
        <v>77</v>
      </c>
      <c r="C1589" s="4"/>
      <c r="D1589" s="4"/>
      <c r="E1589" s="4"/>
      <c r="F1589" s="53" t="s">
        <v>190</v>
      </c>
      <c r="G1589" s="4">
        <v>633</v>
      </c>
      <c r="H1589" s="4" t="s">
        <v>133</v>
      </c>
      <c r="I1589" s="26">
        <f>1300-1300</f>
        <v>0</v>
      </c>
      <c r="J1589" s="26">
        <f>1300-1300</f>
        <v>0</v>
      </c>
      <c r="K1589" s="26">
        <f t="shared" si="280"/>
        <v>0</v>
      </c>
      <c r="L1589" s="76"/>
      <c r="M1589" s="26"/>
      <c r="N1589" s="26"/>
      <c r="O1589" s="26">
        <f t="shared" si="281"/>
        <v>0</v>
      </c>
      <c r="P1589" s="76"/>
      <c r="Q1589" s="26">
        <f t="shared" si="282"/>
        <v>0</v>
      </c>
      <c r="R1589" s="26">
        <f t="shared" si="283"/>
        <v>0</v>
      </c>
      <c r="S1589" s="26">
        <f t="shared" si="283"/>
        <v>0</v>
      </c>
    </row>
    <row r="1590" spans="2:19" x14ac:dyDescent="0.2">
      <c r="B1590" s="75">
        <f t="shared" si="279"/>
        <v>78</v>
      </c>
      <c r="C1590" s="4"/>
      <c r="D1590" s="4"/>
      <c r="E1590" s="4"/>
      <c r="F1590" s="53" t="s">
        <v>190</v>
      </c>
      <c r="G1590" s="4">
        <v>634</v>
      </c>
      <c r="H1590" s="4" t="s">
        <v>138</v>
      </c>
      <c r="I1590" s="26">
        <f>200-200</f>
        <v>0</v>
      </c>
      <c r="J1590" s="26">
        <f>200-200</f>
        <v>0</v>
      </c>
      <c r="K1590" s="26">
        <f t="shared" si="280"/>
        <v>0</v>
      </c>
      <c r="L1590" s="76"/>
      <c r="M1590" s="26"/>
      <c r="N1590" s="26"/>
      <c r="O1590" s="26">
        <f t="shared" si="281"/>
        <v>0</v>
      </c>
      <c r="P1590" s="76"/>
      <c r="Q1590" s="26">
        <f t="shared" si="282"/>
        <v>0</v>
      </c>
      <c r="R1590" s="26">
        <f t="shared" si="283"/>
        <v>0</v>
      </c>
      <c r="S1590" s="26">
        <f t="shared" si="283"/>
        <v>0</v>
      </c>
    </row>
    <row r="1591" spans="2:19" x14ac:dyDescent="0.2">
      <c r="B1591" s="75">
        <f t="shared" si="279"/>
        <v>79</v>
      </c>
      <c r="C1591" s="4"/>
      <c r="D1591" s="4"/>
      <c r="E1591" s="4"/>
      <c r="F1591" s="53" t="s">
        <v>190</v>
      </c>
      <c r="G1591" s="4">
        <v>635</v>
      </c>
      <c r="H1591" s="4" t="s">
        <v>139</v>
      </c>
      <c r="I1591" s="26">
        <f>19800-19800</f>
        <v>0</v>
      </c>
      <c r="J1591" s="26">
        <f>19800-19800</f>
        <v>0</v>
      </c>
      <c r="K1591" s="26">
        <f t="shared" si="280"/>
        <v>0</v>
      </c>
      <c r="L1591" s="76"/>
      <c r="M1591" s="26"/>
      <c r="N1591" s="26"/>
      <c r="O1591" s="26">
        <f t="shared" si="281"/>
        <v>0</v>
      </c>
      <c r="P1591" s="76"/>
      <c r="Q1591" s="26">
        <f t="shared" si="282"/>
        <v>0</v>
      </c>
      <c r="R1591" s="26">
        <f t="shared" si="283"/>
        <v>0</v>
      </c>
      <c r="S1591" s="26">
        <f t="shared" si="283"/>
        <v>0</v>
      </c>
    </row>
    <row r="1592" spans="2:19" x14ac:dyDescent="0.2">
      <c r="B1592" s="75">
        <f t="shared" si="279"/>
        <v>80</v>
      </c>
      <c r="C1592" s="4"/>
      <c r="D1592" s="4"/>
      <c r="E1592" s="4"/>
      <c r="F1592" s="53" t="s">
        <v>190</v>
      </c>
      <c r="G1592" s="4">
        <v>637</v>
      </c>
      <c r="H1592" s="4" t="s">
        <v>130</v>
      </c>
      <c r="I1592" s="26">
        <f>1200-1200</f>
        <v>0</v>
      </c>
      <c r="J1592" s="26">
        <f>1200-1200</f>
        <v>0</v>
      </c>
      <c r="K1592" s="26">
        <f t="shared" si="280"/>
        <v>0</v>
      </c>
      <c r="L1592" s="76"/>
      <c r="M1592" s="26"/>
      <c r="N1592" s="26"/>
      <c r="O1592" s="26">
        <f t="shared" si="281"/>
        <v>0</v>
      </c>
      <c r="P1592" s="76"/>
      <c r="Q1592" s="26">
        <f t="shared" si="282"/>
        <v>0</v>
      </c>
      <c r="R1592" s="26">
        <f t="shared" si="283"/>
        <v>0</v>
      </c>
      <c r="S1592" s="26">
        <f t="shared" si="283"/>
        <v>0</v>
      </c>
    </row>
    <row r="1593" spans="2:19" ht="15" x14ac:dyDescent="0.2">
      <c r="B1593" s="75">
        <f t="shared" si="279"/>
        <v>81</v>
      </c>
      <c r="C1593" s="164">
        <v>4</v>
      </c>
      <c r="D1593" s="247" t="s">
        <v>59</v>
      </c>
      <c r="E1593" s="246"/>
      <c r="F1593" s="246"/>
      <c r="G1593" s="246"/>
      <c r="H1593" s="246"/>
      <c r="I1593" s="45">
        <f>I1594+I1604</f>
        <v>20000</v>
      </c>
      <c r="J1593" s="45">
        <f>J1594+J1604</f>
        <v>0</v>
      </c>
      <c r="K1593" s="45">
        <f t="shared" si="280"/>
        <v>20000</v>
      </c>
      <c r="L1593" s="172"/>
      <c r="M1593" s="45">
        <f>M1594+M1604</f>
        <v>116100</v>
      </c>
      <c r="N1593" s="45">
        <f>N1594+N1604</f>
        <v>0</v>
      </c>
      <c r="O1593" s="45">
        <f t="shared" si="281"/>
        <v>116100</v>
      </c>
      <c r="P1593" s="172"/>
      <c r="Q1593" s="45">
        <f t="shared" si="282"/>
        <v>136100</v>
      </c>
      <c r="R1593" s="45">
        <f t="shared" ref="R1593:S1595" si="284">J1593+N1593</f>
        <v>0</v>
      </c>
      <c r="S1593" s="45">
        <f t="shared" si="284"/>
        <v>136100</v>
      </c>
    </row>
    <row r="1594" spans="2:19" x14ac:dyDescent="0.2">
      <c r="B1594" s="75">
        <f t="shared" si="279"/>
        <v>82</v>
      </c>
      <c r="C1594" s="15"/>
      <c r="D1594" s="15"/>
      <c r="E1594" s="15"/>
      <c r="F1594" s="52" t="s">
        <v>190</v>
      </c>
      <c r="G1594" s="15">
        <v>710</v>
      </c>
      <c r="H1594" s="15" t="s">
        <v>185</v>
      </c>
      <c r="I1594" s="49">
        <v>0</v>
      </c>
      <c r="J1594" s="49"/>
      <c r="K1594" s="49">
        <f t="shared" si="280"/>
        <v>0</v>
      </c>
      <c r="L1594" s="123"/>
      <c r="M1594" s="49">
        <f>M1595+M1597+M1600</f>
        <v>116100</v>
      </c>
      <c r="N1594" s="49">
        <f>N1595+N1597+N1600</f>
        <v>0</v>
      </c>
      <c r="O1594" s="49">
        <f t="shared" si="281"/>
        <v>116100</v>
      </c>
      <c r="P1594" s="123"/>
      <c r="Q1594" s="49">
        <f t="shared" si="282"/>
        <v>116100</v>
      </c>
      <c r="R1594" s="49">
        <f t="shared" si="284"/>
        <v>0</v>
      </c>
      <c r="S1594" s="49">
        <f t="shared" si="284"/>
        <v>116100</v>
      </c>
    </row>
    <row r="1595" spans="2:19" x14ac:dyDescent="0.2">
      <c r="B1595" s="75">
        <f t="shared" si="279"/>
        <v>83</v>
      </c>
      <c r="C1595" s="15"/>
      <c r="D1595" s="15"/>
      <c r="E1595" s="15"/>
      <c r="F1595" s="86" t="s">
        <v>190</v>
      </c>
      <c r="G1595" s="87">
        <v>712</v>
      </c>
      <c r="H1595" s="87" t="s">
        <v>245</v>
      </c>
      <c r="I1595" s="88"/>
      <c r="J1595" s="88"/>
      <c r="K1595" s="88">
        <f t="shared" si="280"/>
        <v>0</v>
      </c>
      <c r="L1595" s="76"/>
      <c r="M1595" s="88">
        <f>M1596</f>
        <v>40000</v>
      </c>
      <c r="N1595" s="88">
        <f>N1596</f>
        <v>0</v>
      </c>
      <c r="O1595" s="88">
        <f t="shared" si="281"/>
        <v>40000</v>
      </c>
      <c r="P1595" s="76"/>
      <c r="Q1595" s="88">
        <f t="shared" si="282"/>
        <v>40000</v>
      </c>
      <c r="R1595" s="88">
        <f t="shared" si="284"/>
        <v>0</v>
      </c>
      <c r="S1595" s="88">
        <f t="shared" si="284"/>
        <v>40000</v>
      </c>
    </row>
    <row r="1596" spans="2:19" x14ac:dyDescent="0.2">
      <c r="B1596" s="75">
        <f t="shared" si="279"/>
        <v>84</v>
      </c>
      <c r="C1596" s="15"/>
      <c r="D1596" s="15"/>
      <c r="E1596" s="15"/>
      <c r="F1596" s="52"/>
      <c r="G1596" s="15"/>
      <c r="H1596" s="60" t="s">
        <v>627</v>
      </c>
      <c r="I1596" s="49"/>
      <c r="J1596" s="49"/>
      <c r="K1596" s="49">
        <f t="shared" si="280"/>
        <v>0</v>
      </c>
      <c r="L1596" s="123"/>
      <c r="M1596" s="58">
        <v>40000</v>
      </c>
      <c r="N1596" s="58"/>
      <c r="O1596" s="58">
        <f t="shared" si="281"/>
        <v>40000</v>
      </c>
      <c r="P1596" s="76"/>
      <c r="Q1596" s="49"/>
      <c r="R1596" s="49"/>
      <c r="S1596" s="49"/>
    </row>
    <row r="1597" spans="2:19" x14ac:dyDescent="0.2">
      <c r="B1597" s="75">
        <f t="shared" si="279"/>
        <v>85</v>
      </c>
      <c r="C1597" s="15"/>
      <c r="D1597" s="15"/>
      <c r="E1597" s="15"/>
      <c r="F1597" s="86" t="s">
        <v>190</v>
      </c>
      <c r="G1597" s="87">
        <v>716</v>
      </c>
      <c r="H1597" s="87" t="s">
        <v>0</v>
      </c>
      <c r="I1597" s="88"/>
      <c r="J1597" s="88"/>
      <c r="K1597" s="88">
        <f t="shared" si="280"/>
        <v>0</v>
      </c>
      <c r="L1597" s="76"/>
      <c r="M1597" s="88">
        <f>M1598+M1599</f>
        <v>3500</v>
      </c>
      <c r="N1597" s="88">
        <f>N1598+N1599</f>
        <v>0</v>
      </c>
      <c r="O1597" s="88">
        <f t="shared" si="281"/>
        <v>3500</v>
      </c>
      <c r="P1597" s="76"/>
      <c r="Q1597" s="88">
        <f>I1597+M1597</f>
        <v>3500</v>
      </c>
      <c r="R1597" s="88">
        <f t="shared" ref="R1597:S1601" si="285">J1597+N1597</f>
        <v>0</v>
      </c>
      <c r="S1597" s="88">
        <f t="shared" si="285"/>
        <v>3500</v>
      </c>
    </row>
    <row r="1598" spans="2:19" ht="12.75" customHeight="1" x14ac:dyDescent="0.2">
      <c r="B1598" s="75">
        <f t="shared" si="279"/>
        <v>86</v>
      </c>
      <c r="C1598" s="15"/>
      <c r="D1598" s="15"/>
      <c r="E1598" s="15"/>
      <c r="F1598" s="53"/>
      <c r="G1598" s="4"/>
      <c r="H1598" s="119" t="s">
        <v>567</v>
      </c>
      <c r="I1598" s="26"/>
      <c r="J1598" s="26"/>
      <c r="K1598" s="26">
        <f t="shared" si="280"/>
        <v>0</v>
      </c>
      <c r="L1598" s="76"/>
      <c r="M1598" s="26">
        <v>3000</v>
      </c>
      <c r="N1598" s="26"/>
      <c r="O1598" s="26">
        <f t="shared" si="281"/>
        <v>3000</v>
      </c>
      <c r="P1598" s="76"/>
      <c r="Q1598" s="26">
        <f>I1598+M1598</f>
        <v>3000</v>
      </c>
      <c r="R1598" s="26">
        <f t="shared" si="285"/>
        <v>0</v>
      </c>
      <c r="S1598" s="26">
        <f t="shared" si="285"/>
        <v>3000</v>
      </c>
    </row>
    <row r="1599" spans="2:19" ht="18" customHeight="1" x14ac:dyDescent="0.2">
      <c r="B1599" s="75">
        <f t="shared" si="279"/>
        <v>87</v>
      </c>
      <c r="C1599" s="15"/>
      <c r="D1599" s="15"/>
      <c r="E1599" s="15"/>
      <c r="F1599" s="142" t="s">
        <v>190</v>
      </c>
      <c r="G1599" s="143">
        <v>716</v>
      </c>
      <c r="H1599" s="144" t="s">
        <v>584</v>
      </c>
      <c r="I1599" s="141"/>
      <c r="J1599" s="141"/>
      <c r="K1599" s="141">
        <f t="shared" si="280"/>
        <v>0</v>
      </c>
      <c r="L1599" s="76"/>
      <c r="M1599" s="141">
        <v>500</v>
      </c>
      <c r="N1599" s="141"/>
      <c r="O1599" s="141">
        <f t="shared" si="281"/>
        <v>500</v>
      </c>
      <c r="P1599" s="76"/>
      <c r="Q1599" s="141">
        <f>I1599+M1599</f>
        <v>500</v>
      </c>
      <c r="R1599" s="141">
        <f t="shared" si="285"/>
        <v>0</v>
      </c>
      <c r="S1599" s="141">
        <f t="shared" si="285"/>
        <v>500</v>
      </c>
    </row>
    <row r="1600" spans="2:19" x14ac:dyDescent="0.2">
      <c r="B1600" s="75">
        <f t="shared" si="279"/>
        <v>88</v>
      </c>
      <c r="C1600" s="4"/>
      <c r="D1600" s="4"/>
      <c r="E1600" s="4"/>
      <c r="F1600" s="86" t="s">
        <v>190</v>
      </c>
      <c r="G1600" s="87">
        <v>717</v>
      </c>
      <c r="H1600" s="87" t="s">
        <v>195</v>
      </c>
      <c r="I1600" s="88"/>
      <c r="J1600" s="88"/>
      <c r="K1600" s="88">
        <f t="shared" si="280"/>
        <v>0</v>
      </c>
      <c r="L1600" s="76"/>
      <c r="M1600" s="88">
        <f>SUM(M1601:M1603)</f>
        <v>72600</v>
      </c>
      <c r="N1600" s="88">
        <f>SUM(N1601:N1603)</f>
        <v>0</v>
      </c>
      <c r="O1600" s="88">
        <f t="shared" si="281"/>
        <v>72600</v>
      </c>
      <c r="P1600" s="76"/>
      <c r="Q1600" s="88">
        <f>I1600+M1600</f>
        <v>72600</v>
      </c>
      <c r="R1600" s="88">
        <f t="shared" si="285"/>
        <v>0</v>
      </c>
      <c r="S1600" s="88">
        <f t="shared" si="285"/>
        <v>72600</v>
      </c>
    </row>
    <row r="1601" spans="1:19" ht="19.5" customHeight="1" x14ac:dyDescent="0.2">
      <c r="B1601" s="75">
        <f t="shared" si="279"/>
        <v>89</v>
      </c>
      <c r="C1601" s="4"/>
      <c r="D1601" s="4"/>
      <c r="E1601" s="4"/>
      <c r="F1601" s="53"/>
      <c r="G1601" s="4"/>
      <c r="H1601" s="119" t="s">
        <v>450</v>
      </c>
      <c r="I1601" s="26"/>
      <c r="J1601" s="26"/>
      <c r="K1601" s="26">
        <f t="shared" si="280"/>
        <v>0</v>
      </c>
      <c r="L1601" s="76"/>
      <c r="M1601" s="26">
        <f>5000-3000</f>
        <v>2000</v>
      </c>
      <c r="N1601" s="26"/>
      <c r="O1601" s="26">
        <f t="shared" si="281"/>
        <v>2000</v>
      </c>
      <c r="P1601" s="76"/>
      <c r="Q1601" s="26">
        <f>I1601+M1601</f>
        <v>2000</v>
      </c>
      <c r="R1601" s="26">
        <f t="shared" si="285"/>
        <v>0</v>
      </c>
      <c r="S1601" s="26">
        <f t="shared" si="285"/>
        <v>2000</v>
      </c>
    </row>
    <row r="1602" spans="1:19" ht="21" customHeight="1" x14ac:dyDescent="0.2">
      <c r="B1602" s="75">
        <f t="shared" si="279"/>
        <v>90</v>
      </c>
      <c r="C1602" s="4"/>
      <c r="D1602" s="4"/>
      <c r="E1602" s="4"/>
      <c r="F1602" s="53"/>
      <c r="G1602" s="4"/>
      <c r="H1602" s="149" t="s">
        <v>598</v>
      </c>
      <c r="I1602" s="134"/>
      <c r="J1602" s="134"/>
      <c r="K1602" s="134">
        <f t="shared" si="280"/>
        <v>0</v>
      </c>
      <c r="L1602" s="76"/>
      <c r="M1602" s="134">
        <v>30000</v>
      </c>
      <c r="N1602" s="134"/>
      <c r="O1602" s="134">
        <f t="shared" si="281"/>
        <v>30000</v>
      </c>
      <c r="P1602" s="76"/>
      <c r="Q1602" s="134">
        <f>M1602</f>
        <v>30000</v>
      </c>
      <c r="R1602" s="134">
        <f t="shared" ref="R1602:S1602" si="286">N1602</f>
        <v>0</v>
      </c>
      <c r="S1602" s="134">
        <f t="shared" si="286"/>
        <v>30000</v>
      </c>
    </row>
    <row r="1603" spans="1:19" x14ac:dyDescent="0.2">
      <c r="B1603" s="75">
        <f t="shared" si="279"/>
        <v>91</v>
      </c>
      <c r="C1603" s="4"/>
      <c r="D1603" s="4"/>
      <c r="E1603" s="4"/>
      <c r="F1603" s="53"/>
      <c r="G1603" s="4"/>
      <c r="H1603" s="4" t="s">
        <v>460</v>
      </c>
      <c r="I1603" s="26"/>
      <c r="J1603" s="26"/>
      <c r="K1603" s="26">
        <f t="shared" si="280"/>
        <v>0</v>
      </c>
      <c r="L1603" s="76"/>
      <c r="M1603" s="26">
        <v>40600</v>
      </c>
      <c r="N1603" s="26"/>
      <c r="O1603" s="26">
        <f t="shared" si="281"/>
        <v>40600</v>
      </c>
      <c r="P1603" s="76"/>
      <c r="Q1603" s="26">
        <f t="shared" ref="Q1603:Q1612" si="287">I1603+M1603</f>
        <v>40600</v>
      </c>
      <c r="R1603" s="26">
        <f t="shared" ref="R1603:S1612" si="288">J1603+N1603</f>
        <v>0</v>
      </c>
      <c r="S1603" s="26">
        <f t="shared" si="288"/>
        <v>40600</v>
      </c>
    </row>
    <row r="1604" spans="1:19" ht="15" x14ac:dyDescent="0.25">
      <c r="B1604" s="75">
        <f t="shared" si="279"/>
        <v>92</v>
      </c>
      <c r="C1604" s="18"/>
      <c r="D1604" s="18"/>
      <c r="E1604" s="18">
        <v>2</v>
      </c>
      <c r="F1604" s="50"/>
      <c r="G1604" s="18"/>
      <c r="H1604" s="18" t="s">
        <v>258</v>
      </c>
      <c r="I1604" s="47">
        <f>I1605+I1606+I1607</f>
        <v>20000</v>
      </c>
      <c r="J1604" s="47">
        <f>J1605+J1606+J1607</f>
        <v>0</v>
      </c>
      <c r="K1604" s="47">
        <f t="shared" si="280"/>
        <v>20000</v>
      </c>
      <c r="L1604" s="174"/>
      <c r="M1604" s="47">
        <f>M1605+M1606+M1607</f>
        <v>0</v>
      </c>
      <c r="N1604" s="47">
        <f>N1605+N1606+N1607</f>
        <v>0</v>
      </c>
      <c r="O1604" s="47">
        <f t="shared" si="281"/>
        <v>0</v>
      </c>
      <c r="P1604" s="174"/>
      <c r="Q1604" s="47">
        <f t="shared" si="287"/>
        <v>20000</v>
      </c>
      <c r="R1604" s="47">
        <f t="shared" si="288"/>
        <v>0</v>
      </c>
      <c r="S1604" s="47">
        <f t="shared" si="288"/>
        <v>20000</v>
      </c>
    </row>
    <row r="1605" spans="1:19" x14ac:dyDescent="0.2">
      <c r="B1605" s="75">
        <f t="shared" si="279"/>
        <v>93</v>
      </c>
      <c r="C1605" s="15"/>
      <c r="D1605" s="15"/>
      <c r="E1605" s="15"/>
      <c r="F1605" s="52" t="s">
        <v>190</v>
      </c>
      <c r="G1605" s="15">
        <v>610</v>
      </c>
      <c r="H1605" s="15" t="s">
        <v>137</v>
      </c>
      <c r="I1605" s="49">
        <v>7000</v>
      </c>
      <c r="J1605" s="49"/>
      <c r="K1605" s="49">
        <f t="shared" si="280"/>
        <v>7000</v>
      </c>
      <c r="L1605" s="123"/>
      <c r="M1605" s="49"/>
      <c r="N1605" s="49"/>
      <c r="O1605" s="49">
        <f t="shared" si="281"/>
        <v>0</v>
      </c>
      <c r="P1605" s="123"/>
      <c r="Q1605" s="49">
        <f t="shared" si="287"/>
        <v>7000</v>
      </c>
      <c r="R1605" s="49">
        <f t="shared" si="288"/>
        <v>0</v>
      </c>
      <c r="S1605" s="49">
        <f t="shared" si="288"/>
        <v>7000</v>
      </c>
    </row>
    <row r="1606" spans="1:19" x14ac:dyDescent="0.2">
      <c r="B1606" s="75">
        <f t="shared" si="279"/>
        <v>94</v>
      </c>
      <c r="C1606" s="15"/>
      <c r="D1606" s="15"/>
      <c r="E1606" s="15"/>
      <c r="F1606" s="52" t="s">
        <v>190</v>
      </c>
      <c r="G1606" s="15">
        <v>620</v>
      </c>
      <c r="H1606" s="15" t="s">
        <v>132</v>
      </c>
      <c r="I1606" s="49">
        <v>2930</v>
      </c>
      <c r="J1606" s="49"/>
      <c r="K1606" s="49">
        <f t="shared" si="280"/>
        <v>2930</v>
      </c>
      <c r="L1606" s="123"/>
      <c r="M1606" s="49"/>
      <c r="N1606" s="49"/>
      <c r="O1606" s="49">
        <f t="shared" si="281"/>
        <v>0</v>
      </c>
      <c r="P1606" s="123"/>
      <c r="Q1606" s="49">
        <f t="shared" si="287"/>
        <v>2930</v>
      </c>
      <c r="R1606" s="49">
        <f t="shared" si="288"/>
        <v>0</v>
      </c>
      <c r="S1606" s="49">
        <f t="shared" si="288"/>
        <v>2930</v>
      </c>
    </row>
    <row r="1607" spans="1:19" x14ac:dyDescent="0.2">
      <c r="B1607" s="75">
        <f t="shared" si="279"/>
        <v>95</v>
      </c>
      <c r="C1607" s="15"/>
      <c r="D1607" s="15"/>
      <c r="E1607" s="15"/>
      <c r="F1607" s="52" t="s">
        <v>190</v>
      </c>
      <c r="G1607" s="15">
        <v>630</v>
      </c>
      <c r="H1607" s="15" t="s">
        <v>129</v>
      </c>
      <c r="I1607" s="49">
        <f>I1612+I1611+I1610+I1609+I1608</f>
        <v>10070</v>
      </c>
      <c r="J1607" s="49">
        <f>J1612+J1611+J1610+J1609+J1608</f>
        <v>0</v>
      </c>
      <c r="K1607" s="49">
        <f t="shared" si="280"/>
        <v>10070</v>
      </c>
      <c r="L1607" s="123"/>
      <c r="M1607" s="49">
        <f>M1612+M1611+M1610+M1609+M1608</f>
        <v>0</v>
      </c>
      <c r="N1607" s="49">
        <f>N1612+N1611+N1610+N1609+N1608</f>
        <v>0</v>
      </c>
      <c r="O1607" s="49">
        <f t="shared" si="281"/>
        <v>0</v>
      </c>
      <c r="P1607" s="123"/>
      <c r="Q1607" s="49">
        <f t="shared" si="287"/>
        <v>10070</v>
      </c>
      <c r="R1607" s="49">
        <f t="shared" si="288"/>
        <v>0</v>
      </c>
      <c r="S1607" s="49">
        <f t="shared" si="288"/>
        <v>10070</v>
      </c>
    </row>
    <row r="1608" spans="1:19" x14ac:dyDescent="0.2">
      <c r="B1608" s="75">
        <f t="shared" si="279"/>
        <v>96</v>
      </c>
      <c r="C1608" s="4"/>
      <c r="D1608" s="4"/>
      <c r="E1608" s="4"/>
      <c r="F1608" s="53" t="s">
        <v>190</v>
      </c>
      <c r="G1608" s="4">
        <v>633</v>
      </c>
      <c r="H1608" s="4" t="s">
        <v>133</v>
      </c>
      <c r="I1608" s="26">
        <v>7050</v>
      </c>
      <c r="J1608" s="26"/>
      <c r="K1608" s="26">
        <f t="shared" si="280"/>
        <v>7050</v>
      </c>
      <c r="L1608" s="76"/>
      <c r="M1608" s="26"/>
      <c r="N1608" s="26"/>
      <c r="O1608" s="26">
        <f t="shared" si="281"/>
        <v>0</v>
      </c>
      <c r="P1608" s="76"/>
      <c r="Q1608" s="26">
        <f t="shared" si="287"/>
        <v>7050</v>
      </c>
      <c r="R1608" s="26">
        <f t="shared" si="288"/>
        <v>0</v>
      </c>
      <c r="S1608" s="26">
        <f t="shared" si="288"/>
        <v>7050</v>
      </c>
    </row>
    <row r="1609" spans="1:19" x14ac:dyDescent="0.2">
      <c r="B1609" s="75">
        <f t="shared" si="279"/>
        <v>97</v>
      </c>
      <c r="C1609" s="4"/>
      <c r="D1609" s="4"/>
      <c r="E1609" s="4"/>
      <c r="F1609" s="53" t="s">
        <v>190</v>
      </c>
      <c r="G1609" s="4">
        <v>634</v>
      </c>
      <c r="H1609" s="4" t="s">
        <v>138</v>
      </c>
      <c r="I1609" s="26">
        <v>900</v>
      </c>
      <c r="J1609" s="26"/>
      <c r="K1609" s="26">
        <f t="shared" si="280"/>
        <v>900</v>
      </c>
      <c r="L1609" s="76"/>
      <c r="M1609" s="26"/>
      <c r="N1609" s="26"/>
      <c r="O1609" s="26">
        <f t="shared" si="281"/>
        <v>0</v>
      </c>
      <c r="P1609" s="76"/>
      <c r="Q1609" s="26">
        <f t="shared" si="287"/>
        <v>900</v>
      </c>
      <c r="R1609" s="26">
        <f t="shared" si="288"/>
        <v>0</v>
      </c>
      <c r="S1609" s="26">
        <f t="shared" si="288"/>
        <v>900</v>
      </c>
    </row>
    <row r="1610" spans="1:19" x14ac:dyDescent="0.2">
      <c r="B1610" s="75">
        <f t="shared" si="279"/>
        <v>98</v>
      </c>
      <c r="C1610" s="4"/>
      <c r="D1610" s="4"/>
      <c r="E1610" s="4"/>
      <c r="F1610" s="53" t="s">
        <v>190</v>
      </c>
      <c r="G1610" s="4">
        <v>635</v>
      </c>
      <c r="H1610" s="4" t="s">
        <v>139</v>
      </c>
      <c r="I1610" s="26">
        <v>650</v>
      </c>
      <c r="J1610" s="26"/>
      <c r="K1610" s="26">
        <f t="shared" si="280"/>
        <v>650</v>
      </c>
      <c r="L1610" s="76"/>
      <c r="M1610" s="26"/>
      <c r="N1610" s="26"/>
      <c r="O1610" s="26">
        <f t="shared" si="281"/>
        <v>0</v>
      </c>
      <c r="P1610" s="76"/>
      <c r="Q1610" s="26">
        <f t="shared" si="287"/>
        <v>650</v>
      </c>
      <c r="R1610" s="26">
        <f t="shared" si="288"/>
        <v>0</v>
      </c>
      <c r="S1610" s="26">
        <f t="shared" si="288"/>
        <v>650</v>
      </c>
    </row>
    <row r="1611" spans="1:19" x14ac:dyDescent="0.2">
      <c r="B1611" s="75">
        <f t="shared" si="279"/>
        <v>99</v>
      </c>
      <c r="C1611" s="4"/>
      <c r="D1611" s="4"/>
      <c r="E1611" s="4"/>
      <c r="F1611" s="53" t="s">
        <v>190</v>
      </c>
      <c r="G1611" s="4">
        <v>636</v>
      </c>
      <c r="H1611" s="4" t="s">
        <v>134</v>
      </c>
      <c r="I1611" s="26">
        <v>50</v>
      </c>
      <c r="J1611" s="26"/>
      <c r="K1611" s="26">
        <f t="shared" si="280"/>
        <v>50</v>
      </c>
      <c r="L1611" s="76"/>
      <c r="M1611" s="26"/>
      <c r="N1611" s="26"/>
      <c r="O1611" s="26">
        <f t="shared" si="281"/>
        <v>0</v>
      </c>
      <c r="P1611" s="76"/>
      <c r="Q1611" s="26">
        <f t="shared" si="287"/>
        <v>50</v>
      </c>
      <c r="R1611" s="26">
        <f t="shared" si="288"/>
        <v>0</v>
      </c>
      <c r="S1611" s="26">
        <f t="shared" si="288"/>
        <v>50</v>
      </c>
    </row>
    <row r="1612" spans="1:19" s="71" customFormat="1" x14ac:dyDescent="0.2">
      <c r="A1612" s="67"/>
      <c r="B1612" s="75">
        <f t="shared" si="279"/>
        <v>100</v>
      </c>
      <c r="C1612" s="4"/>
      <c r="D1612" s="4"/>
      <c r="E1612" s="4"/>
      <c r="F1612" s="53" t="s">
        <v>190</v>
      </c>
      <c r="G1612" s="4">
        <v>637</v>
      </c>
      <c r="H1612" s="4" t="s">
        <v>130</v>
      </c>
      <c r="I1612" s="26">
        <v>1420</v>
      </c>
      <c r="J1612" s="26"/>
      <c r="K1612" s="26">
        <f t="shared" si="280"/>
        <v>1420</v>
      </c>
      <c r="L1612" s="76"/>
      <c r="M1612" s="26"/>
      <c r="N1612" s="26"/>
      <c r="O1612" s="26">
        <f t="shared" si="281"/>
        <v>0</v>
      </c>
      <c r="P1612" s="76"/>
      <c r="Q1612" s="26">
        <f t="shared" si="287"/>
        <v>1420</v>
      </c>
      <c r="R1612" s="26">
        <f t="shared" si="288"/>
        <v>0</v>
      </c>
      <c r="S1612" s="26">
        <f t="shared" si="288"/>
        <v>1420</v>
      </c>
    </row>
    <row r="1613" spans="1:19" s="71" customFormat="1" x14ac:dyDescent="0.2">
      <c r="A1613" s="67"/>
      <c r="L1613" s="178"/>
      <c r="P1613" s="178"/>
    </row>
    <row r="1614" spans="1:19" s="71" customFormat="1" x14ac:dyDescent="0.2">
      <c r="A1614" s="67"/>
      <c r="L1614" s="178"/>
      <c r="P1614" s="178"/>
    </row>
    <row r="1615" spans="1:19" s="71" customFormat="1" x14ac:dyDescent="0.2">
      <c r="A1615" s="67"/>
      <c r="L1615" s="178"/>
      <c r="P1615" s="178"/>
    </row>
    <row r="1616" spans="1:19" s="71" customFormat="1" x14ac:dyDescent="0.2">
      <c r="A1616" s="67"/>
      <c r="L1616" s="178"/>
      <c r="P1616" s="178"/>
    </row>
    <row r="1617" spans="1:19" s="71" customFormat="1" x14ac:dyDescent="0.2">
      <c r="A1617" s="67"/>
      <c r="L1617" s="178"/>
      <c r="P1617" s="178"/>
    </row>
    <row r="1618" spans="1:19" s="71" customFormat="1" x14ac:dyDescent="0.2">
      <c r="A1618" s="67"/>
      <c r="L1618" s="178"/>
      <c r="P1618" s="178"/>
    </row>
    <row r="1619" spans="1:19" s="71" customFormat="1" x14ac:dyDescent="0.2">
      <c r="A1619" s="67"/>
      <c r="L1619" s="178"/>
      <c r="P1619" s="178"/>
    </row>
    <row r="1620" spans="1:19" s="71" customFormat="1" x14ac:dyDescent="0.2">
      <c r="A1620" s="67"/>
      <c r="L1620" s="178"/>
      <c r="P1620" s="178"/>
    </row>
    <row r="1621" spans="1:19" s="71" customFormat="1" x14ac:dyDescent="0.2">
      <c r="A1621" s="67"/>
      <c r="L1621" s="178"/>
      <c r="P1621" s="178"/>
    </row>
    <row r="1622" spans="1:19" s="71" customFormat="1" x14ac:dyDescent="0.2">
      <c r="A1622" s="67"/>
      <c r="L1622" s="178"/>
      <c r="P1622" s="178"/>
    </row>
    <row r="1623" spans="1:19" ht="27" x14ac:dyDescent="0.35">
      <c r="B1623" s="234" t="s">
        <v>310</v>
      </c>
      <c r="C1623" s="235"/>
      <c r="D1623" s="235"/>
      <c r="E1623" s="235"/>
      <c r="F1623" s="235"/>
      <c r="G1623" s="235"/>
      <c r="H1623" s="235"/>
      <c r="I1623" s="235"/>
      <c r="J1623" s="235"/>
      <c r="K1623" s="235"/>
      <c r="L1623" s="235"/>
      <c r="M1623" s="235"/>
      <c r="N1623" s="235"/>
      <c r="O1623" s="235"/>
      <c r="P1623" s="235"/>
      <c r="Q1623" s="235"/>
    </row>
    <row r="1624" spans="1:19" x14ac:dyDescent="0.2">
      <c r="B1624" s="236" t="s">
        <v>285</v>
      </c>
      <c r="C1624" s="237"/>
      <c r="D1624" s="237"/>
      <c r="E1624" s="237"/>
      <c r="F1624" s="237"/>
      <c r="G1624" s="237"/>
      <c r="H1624" s="237"/>
      <c r="I1624" s="237"/>
      <c r="J1624" s="237"/>
      <c r="K1624" s="237"/>
      <c r="L1624" s="237"/>
      <c r="M1624" s="237"/>
      <c r="N1624" s="182"/>
      <c r="O1624" s="182"/>
      <c r="P1624" s="183"/>
      <c r="Q1624" s="222" t="s">
        <v>602</v>
      </c>
      <c r="R1624" s="222" t="s">
        <v>657</v>
      </c>
      <c r="S1624" s="222" t="s">
        <v>602</v>
      </c>
    </row>
    <row r="1625" spans="1:19" x14ac:dyDescent="0.2">
      <c r="B1625" s="238" t="s">
        <v>113</v>
      </c>
      <c r="C1625" s="225" t="s">
        <v>121</v>
      </c>
      <c r="D1625" s="225" t="s">
        <v>122</v>
      </c>
      <c r="E1625" s="231" t="s">
        <v>126</v>
      </c>
      <c r="F1625" s="225" t="s">
        <v>123</v>
      </c>
      <c r="G1625" s="225" t="s">
        <v>124</v>
      </c>
      <c r="H1625" s="240" t="s">
        <v>125</v>
      </c>
      <c r="I1625" s="222" t="s">
        <v>599</v>
      </c>
      <c r="J1625" s="222" t="s">
        <v>657</v>
      </c>
      <c r="K1625" s="222" t="s">
        <v>659</v>
      </c>
      <c r="L1625" s="168"/>
      <c r="M1625" s="222" t="s">
        <v>600</v>
      </c>
      <c r="N1625" s="222" t="s">
        <v>657</v>
      </c>
      <c r="O1625" s="222" t="s">
        <v>660</v>
      </c>
      <c r="P1625" s="169"/>
      <c r="Q1625" s="223"/>
      <c r="R1625" s="223"/>
      <c r="S1625" s="223"/>
    </row>
    <row r="1626" spans="1:19" x14ac:dyDescent="0.2">
      <c r="B1626" s="238"/>
      <c r="C1626" s="225"/>
      <c r="D1626" s="225"/>
      <c r="E1626" s="232"/>
      <c r="F1626" s="225"/>
      <c r="G1626" s="225"/>
      <c r="H1626" s="240"/>
      <c r="I1626" s="223"/>
      <c r="J1626" s="223"/>
      <c r="K1626" s="223"/>
      <c r="L1626" s="169"/>
      <c r="M1626" s="223"/>
      <c r="N1626" s="223"/>
      <c r="O1626" s="223"/>
      <c r="P1626" s="169"/>
      <c r="Q1626" s="223"/>
      <c r="R1626" s="223"/>
      <c r="S1626" s="223"/>
    </row>
    <row r="1627" spans="1:19" x14ac:dyDescent="0.2">
      <c r="B1627" s="238"/>
      <c r="C1627" s="225"/>
      <c r="D1627" s="225"/>
      <c r="E1627" s="232"/>
      <c r="F1627" s="225"/>
      <c r="G1627" s="225"/>
      <c r="H1627" s="240"/>
      <c r="I1627" s="223"/>
      <c r="J1627" s="223"/>
      <c r="K1627" s="223"/>
      <c r="L1627" s="169"/>
      <c r="M1627" s="223"/>
      <c r="N1627" s="223"/>
      <c r="O1627" s="223"/>
      <c r="P1627" s="169"/>
      <c r="Q1627" s="223"/>
      <c r="R1627" s="223"/>
      <c r="S1627" s="223"/>
    </row>
    <row r="1628" spans="1:19" ht="13.5" thickBot="1" x14ac:dyDescent="0.25">
      <c r="B1628" s="239"/>
      <c r="C1628" s="226"/>
      <c r="D1628" s="226"/>
      <c r="E1628" s="233"/>
      <c r="F1628" s="226"/>
      <c r="G1628" s="226"/>
      <c r="H1628" s="241"/>
      <c r="I1628" s="224"/>
      <c r="J1628" s="224"/>
      <c r="K1628" s="224"/>
      <c r="L1628" s="170"/>
      <c r="M1628" s="224"/>
      <c r="N1628" s="224"/>
      <c r="O1628" s="224"/>
      <c r="P1628" s="170"/>
      <c r="Q1628" s="224"/>
      <c r="R1628" s="224"/>
      <c r="S1628" s="224"/>
    </row>
    <row r="1629" spans="1:19" ht="16.5" thickTop="1" x14ac:dyDescent="0.2">
      <c r="B1629" s="75">
        <f t="shared" ref="B1629:B1677" si="289">B1628+1</f>
        <v>1</v>
      </c>
      <c r="C1629" s="242" t="s">
        <v>310</v>
      </c>
      <c r="D1629" s="243"/>
      <c r="E1629" s="243"/>
      <c r="F1629" s="243"/>
      <c r="G1629" s="243"/>
      <c r="H1629" s="244"/>
      <c r="I1629" s="44">
        <f>I1674+I1655+I1639+I1630</f>
        <v>353950</v>
      </c>
      <c r="J1629" s="44">
        <f>J1674+J1655+J1639+J1630</f>
        <v>-1000</v>
      </c>
      <c r="K1629" s="44">
        <f t="shared" ref="K1629:K1677" si="290">I1629+J1629</f>
        <v>352950</v>
      </c>
      <c r="L1629" s="171"/>
      <c r="M1629" s="44">
        <f>M1674+M1655+M1639+M1630</f>
        <v>18320</v>
      </c>
      <c r="N1629" s="44">
        <f>N1674+N1655+N1639+N1630</f>
        <v>5300</v>
      </c>
      <c r="O1629" s="44">
        <f t="shared" ref="O1629:O1677" si="291">M1629+N1629</f>
        <v>23620</v>
      </c>
      <c r="P1629" s="171"/>
      <c r="Q1629" s="44">
        <f t="shared" ref="Q1629:Q1667" si="292">I1629+M1629</f>
        <v>372270</v>
      </c>
      <c r="R1629" s="44">
        <f t="shared" ref="R1629:S1644" si="293">J1629+N1629</f>
        <v>4300</v>
      </c>
      <c r="S1629" s="44">
        <f t="shared" si="293"/>
        <v>376570</v>
      </c>
    </row>
    <row r="1630" spans="1:19" ht="15" x14ac:dyDescent="0.2">
      <c r="B1630" s="75">
        <f t="shared" si="289"/>
        <v>2</v>
      </c>
      <c r="C1630" s="164">
        <v>1</v>
      </c>
      <c r="D1630" s="230" t="s">
        <v>13</v>
      </c>
      <c r="E1630" s="228"/>
      <c r="F1630" s="228"/>
      <c r="G1630" s="228"/>
      <c r="H1630" s="229"/>
      <c r="I1630" s="45">
        <f>I1631</f>
        <v>104000</v>
      </c>
      <c r="J1630" s="45">
        <f>J1631</f>
        <v>0</v>
      </c>
      <c r="K1630" s="45">
        <f t="shared" si="290"/>
        <v>104000</v>
      </c>
      <c r="L1630" s="172"/>
      <c r="M1630" s="45">
        <f>M1631</f>
        <v>0</v>
      </c>
      <c r="N1630" s="45">
        <f>N1631</f>
        <v>0</v>
      </c>
      <c r="O1630" s="45">
        <f t="shared" si="291"/>
        <v>0</v>
      </c>
      <c r="P1630" s="172"/>
      <c r="Q1630" s="45">
        <f t="shared" si="292"/>
        <v>104000</v>
      </c>
      <c r="R1630" s="45">
        <f t="shared" si="293"/>
        <v>0</v>
      </c>
      <c r="S1630" s="45">
        <f t="shared" si="293"/>
        <v>104000</v>
      </c>
    </row>
    <row r="1631" spans="1:19" x14ac:dyDescent="0.2">
      <c r="B1631" s="75">
        <f t="shared" si="289"/>
        <v>3</v>
      </c>
      <c r="C1631" s="15"/>
      <c r="D1631" s="15"/>
      <c r="E1631" s="15"/>
      <c r="F1631" s="52" t="s">
        <v>76</v>
      </c>
      <c r="G1631" s="15">
        <v>640</v>
      </c>
      <c r="H1631" s="15" t="s">
        <v>136</v>
      </c>
      <c r="I1631" s="49">
        <f>SUM(I1632:I1638)</f>
        <v>104000</v>
      </c>
      <c r="J1631" s="49">
        <f>SUM(J1632:J1638)</f>
        <v>0</v>
      </c>
      <c r="K1631" s="49">
        <f t="shared" si="290"/>
        <v>104000</v>
      </c>
      <c r="L1631" s="123"/>
      <c r="M1631" s="49"/>
      <c r="N1631" s="49"/>
      <c r="O1631" s="49">
        <f t="shared" si="291"/>
        <v>0</v>
      </c>
      <c r="P1631" s="123"/>
      <c r="Q1631" s="49">
        <f t="shared" si="292"/>
        <v>104000</v>
      </c>
      <c r="R1631" s="49">
        <f t="shared" si="293"/>
        <v>0</v>
      </c>
      <c r="S1631" s="49">
        <f t="shared" si="293"/>
        <v>104000</v>
      </c>
    </row>
    <row r="1632" spans="1:19" x14ac:dyDescent="0.2">
      <c r="B1632" s="75">
        <f t="shared" si="289"/>
        <v>4</v>
      </c>
      <c r="C1632" s="15"/>
      <c r="D1632" s="57"/>
      <c r="E1632" s="15"/>
      <c r="F1632" s="52"/>
      <c r="G1632" s="15"/>
      <c r="H1632" s="60" t="s">
        <v>235</v>
      </c>
      <c r="I1632" s="58">
        <f>50000+20000-10000</f>
        <v>60000</v>
      </c>
      <c r="J1632" s="58"/>
      <c r="K1632" s="58">
        <f t="shared" si="290"/>
        <v>60000</v>
      </c>
      <c r="L1632" s="76"/>
      <c r="M1632" s="58"/>
      <c r="N1632" s="58"/>
      <c r="O1632" s="58">
        <f t="shared" si="291"/>
        <v>0</v>
      </c>
      <c r="P1632" s="76"/>
      <c r="Q1632" s="65">
        <f t="shared" si="292"/>
        <v>60000</v>
      </c>
      <c r="R1632" s="65">
        <f t="shared" si="293"/>
        <v>0</v>
      </c>
      <c r="S1632" s="65">
        <f t="shared" si="293"/>
        <v>60000</v>
      </c>
    </row>
    <row r="1633" spans="1:19" x14ac:dyDescent="0.2">
      <c r="B1633" s="75">
        <f t="shared" si="289"/>
        <v>5</v>
      </c>
      <c r="C1633" s="15"/>
      <c r="D1633" s="57"/>
      <c r="E1633" s="15"/>
      <c r="F1633" s="52"/>
      <c r="G1633" s="15"/>
      <c r="H1633" s="60" t="s">
        <v>352</v>
      </c>
      <c r="I1633" s="58">
        <v>20000</v>
      </c>
      <c r="J1633" s="58"/>
      <c r="K1633" s="58">
        <f t="shared" si="290"/>
        <v>20000</v>
      </c>
      <c r="L1633" s="76"/>
      <c r="M1633" s="58"/>
      <c r="N1633" s="58"/>
      <c r="O1633" s="58">
        <f t="shared" si="291"/>
        <v>0</v>
      </c>
      <c r="P1633" s="76"/>
      <c r="Q1633" s="65">
        <f t="shared" si="292"/>
        <v>20000</v>
      </c>
      <c r="R1633" s="65">
        <f t="shared" si="293"/>
        <v>0</v>
      </c>
      <c r="S1633" s="65">
        <f t="shared" si="293"/>
        <v>20000</v>
      </c>
    </row>
    <row r="1634" spans="1:19" x14ac:dyDescent="0.2">
      <c r="B1634" s="75">
        <f t="shared" si="289"/>
        <v>6</v>
      </c>
      <c r="C1634" s="15"/>
      <c r="D1634" s="57"/>
      <c r="E1634" s="15"/>
      <c r="F1634" s="52"/>
      <c r="G1634" s="15"/>
      <c r="H1634" s="60" t="s">
        <v>63</v>
      </c>
      <c r="I1634" s="58">
        <f>10000-10000</f>
        <v>0</v>
      </c>
      <c r="J1634" s="58"/>
      <c r="K1634" s="58">
        <f t="shared" si="290"/>
        <v>0</v>
      </c>
      <c r="L1634" s="76"/>
      <c r="M1634" s="58"/>
      <c r="N1634" s="58"/>
      <c r="O1634" s="58">
        <f t="shared" si="291"/>
        <v>0</v>
      </c>
      <c r="P1634" s="76"/>
      <c r="Q1634" s="65">
        <f t="shared" si="292"/>
        <v>0</v>
      </c>
      <c r="R1634" s="65">
        <f t="shared" si="293"/>
        <v>0</v>
      </c>
      <c r="S1634" s="65">
        <f t="shared" si="293"/>
        <v>0</v>
      </c>
    </row>
    <row r="1635" spans="1:19" x14ac:dyDescent="0.2">
      <c r="B1635" s="74">
        <f t="shared" si="289"/>
        <v>7</v>
      </c>
      <c r="C1635" s="68"/>
      <c r="D1635" s="69"/>
      <c r="E1635" s="68"/>
      <c r="F1635" s="72"/>
      <c r="G1635" s="68"/>
      <c r="H1635" s="83" t="s">
        <v>564</v>
      </c>
      <c r="I1635" s="65">
        <v>10000</v>
      </c>
      <c r="J1635" s="65"/>
      <c r="K1635" s="65">
        <f t="shared" si="290"/>
        <v>10000</v>
      </c>
      <c r="L1635" s="161"/>
      <c r="M1635" s="65"/>
      <c r="N1635" s="65"/>
      <c r="O1635" s="65">
        <f t="shared" si="291"/>
        <v>0</v>
      </c>
      <c r="P1635" s="161"/>
      <c r="Q1635" s="65">
        <f t="shared" si="292"/>
        <v>10000</v>
      </c>
      <c r="R1635" s="65">
        <f t="shared" si="293"/>
        <v>0</v>
      </c>
      <c r="S1635" s="65">
        <f t="shared" si="293"/>
        <v>10000</v>
      </c>
    </row>
    <row r="1636" spans="1:19" s="71" customFormat="1" x14ac:dyDescent="0.2">
      <c r="A1636" s="67"/>
      <c r="B1636" s="75">
        <f t="shared" si="289"/>
        <v>8</v>
      </c>
      <c r="C1636" s="15"/>
      <c r="D1636" s="57"/>
      <c r="E1636" s="15"/>
      <c r="F1636" s="52"/>
      <c r="G1636" s="15"/>
      <c r="H1636" s="59" t="s">
        <v>500</v>
      </c>
      <c r="I1636" s="58">
        <v>4000</v>
      </c>
      <c r="J1636" s="58"/>
      <c r="K1636" s="58">
        <f t="shared" si="290"/>
        <v>4000</v>
      </c>
      <c r="L1636" s="76"/>
      <c r="M1636" s="58"/>
      <c r="N1636" s="58"/>
      <c r="O1636" s="58">
        <f t="shared" si="291"/>
        <v>0</v>
      </c>
      <c r="P1636" s="76"/>
      <c r="Q1636" s="65">
        <f t="shared" si="292"/>
        <v>4000</v>
      </c>
      <c r="R1636" s="65">
        <f t="shared" si="293"/>
        <v>0</v>
      </c>
      <c r="S1636" s="65">
        <f t="shared" si="293"/>
        <v>4000</v>
      </c>
    </row>
    <row r="1637" spans="1:19" x14ac:dyDescent="0.2">
      <c r="B1637" s="75">
        <f t="shared" si="289"/>
        <v>9</v>
      </c>
      <c r="C1637" s="15"/>
      <c r="D1637" s="57"/>
      <c r="E1637" s="15"/>
      <c r="F1637" s="52"/>
      <c r="G1637" s="15"/>
      <c r="H1637" s="59" t="s">
        <v>628</v>
      </c>
      <c r="I1637" s="58">
        <v>5000</v>
      </c>
      <c r="J1637" s="58"/>
      <c r="K1637" s="58">
        <f t="shared" si="290"/>
        <v>5000</v>
      </c>
      <c r="L1637" s="76"/>
      <c r="M1637" s="58"/>
      <c r="N1637" s="58"/>
      <c r="O1637" s="58">
        <f t="shared" si="291"/>
        <v>0</v>
      </c>
      <c r="P1637" s="76"/>
      <c r="Q1637" s="65">
        <f t="shared" si="292"/>
        <v>5000</v>
      </c>
      <c r="R1637" s="65">
        <f t="shared" si="293"/>
        <v>0</v>
      </c>
      <c r="S1637" s="65">
        <f t="shared" si="293"/>
        <v>5000</v>
      </c>
    </row>
    <row r="1638" spans="1:19" x14ac:dyDescent="0.2">
      <c r="B1638" s="75">
        <f t="shared" si="289"/>
        <v>10</v>
      </c>
      <c r="C1638" s="15"/>
      <c r="D1638" s="57"/>
      <c r="E1638" s="15"/>
      <c r="F1638" s="52"/>
      <c r="G1638" s="15"/>
      <c r="H1638" s="59" t="s">
        <v>629</v>
      </c>
      <c r="I1638" s="58">
        <v>5000</v>
      </c>
      <c r="J1638" s="58"/>
      <c r="K1638" s="58">
        <f t="shared" si="290"/>
        <v>5000</v>
      </c>
      <c r="L1638" s="76"/>
      <c r="M1638" s="58"/>
      <c r="N1638" s="58"/>
      <c r="O1638" s="58">
        <f t="shared" si="291"/>
        <v>0</v>
      </c>
      <c r="P1638" s="76"/>
      <c r="Q1638" s="65">
        <f t="shared" si="292"/>
        <v>5000</v>
      </c>
      <c r="R1638" s="65">
        <f t="shared" si="293"/>
        <v>0</v>
      </c>
      <c r="S1638" s="65">
        <f t="shared" si="293"/>
        <v>5000</v>
      </c>
    </row>
    <row r="1639" spans="1:19" ht="15" x14ac:dyDescent="0.2">
      <c r="B1639" s="75">
        <f t="shared" si="289"/>
        <v>11</v>
      </c>
      <c r="C1639" s="164">
        <v>2</v>
      </c>
      <c r="D1639" s="230" t="s">
        <v>181</v>
      </c>
      <c r="E1639" s="228"/>
      <c r="F1639" s="228"/>
      <c r="G1639" s="228"/>
      <c r="H1639" s="229"/>
      <c r="I1639" s="45">
        <f>I1640</f>
        <v>80050</v>
      </c>
      <c r="J1639" s="45">
        <f>J1640</f>
        <v>0</v>
      </c>
      <c r="K1639" s="45">
        <f t="shared" si="290"/>
        <v>80050</v>
      </c>
      <c r="L1639" s="172"/>
      <c r="M1639" s="45">
        <v>0</v>
      </c>
      <c r="N1639" s="45"/>
      <c r="O1639" s="45">
        <f t="shared" si="291"/>
        <v>0</v>
      </c>
      <c r="P1639" s="172"/>
      <c r="Q1639" s="45">
        <f t="shared" si="292"/>
        <v>80050</v>
      </c>
      <c r="R1639" s="45">
        <f t="shared" si="293"/>
        <v>0</v>
      </c>
      <c r="S1639" s="45">
        <f t="shared" si="293"/>
        <v>80050</v>
      </c>
    </row>
    <row r="1640" spans="1:19" x14ac:dyDescent="0.2">
      <c r="B1640" s="75">
        <f t="shared" si="289"/>
        <v>12</v>
      </c>
      <c r="C1640" s="15"/>
      <c r="D1640" s="15"/>
      <c r="E1640" s="15"/>
      <c r="F1640" s="52" t="s">
        <v>76</v>
      </c>
      <c r="G1640" s="15">
        <v>630</v>
      </c>
      <c r="H1640" s="15" t="s">
        <v>129</v>
      </c>
      <c r="I1640" s="49">
        <f>I1642+I1641</f>
        <v>80050</v>
      </c>
      <c r="J1640" s="49">
        <f>J1642+J1641</f>
        <v>0</v>
      </c>
      <c r="K1640" s="49">
        <f t="shared" si="290"/>
        <v>80050</v>
      </c>
      <c r="L1640" s="123"/>
      <c r="M1640" s="49">
        <f>M1642+M1641</f>
        <v>0</v>
      </c>
      <c r="N1640" s="49">
        <f>N1642+N1641</f>
        <v>0</v>
      </c>
      <c r="O1640" s="49">
        <f t="shared" si="291"/>
        <v>0</v>
      </c>
      <c r="P1640" s="123"/>
      <c r="Q1640" s="49">
        <f t="shared" si="292"/>
        <v>80050</v>
      </c>
      <c r="R1640" s="49">
        <f t="shared" si="293"/>
        <v>0</v>
      </c>
      <c r="S1640" s="49">
        <f t="shared" si="293"/>
        <v>80050</v>
      </c>
    </row>
    <row r="1641" spans="1:19" x14ac:dyDescent="0.2">
      <c r="B1641" s="75">
        <f t="shared" si="289"/>
        <v>13</v>
      </c>
      <c r="C1641" s="4"/>
      <c r="D1641" s="4"/>
      <c r="E1641" s="4"/>
      <c r="F1641" s="53" t="s">
        <v>76</v>
      </c>
      <c r="G1641" s="4">
        <v>633</v>
      </c>
      <c r="H1641" s="4" t="s">
        <v>133</v>
      </c>
      <c r="I1641" s="26">
        <v>5100</v>
      </c>
      <c r="J1641" s="26"/>
      <c r="K1641" s="26">
        <f t="shared" si="290"/>
        <v>5100</v>
      </c>
      <c r="L1641" s="76"/>
      <c r="M1641" s="26"/>
      <c r="N1641" s="26"/>
      <c r="O1641" s="26">
        <f t="shared" si="291"/>
        <v>0</v>
      </c>
      <c r="P1641" s="76"/>
      <c r="Q1641" s="26">
        <f t="shared" si="292"/>
        <v>5100</v>
      </c>
      <c r="R1641" s="26">
        <f t="shared" si="293"/>
        <v>0</v>
      </c>
      <c r="S1641" s="26">
        <f t="shared" si="293"/>
        <v>5100</v>
      </c>
    </row>
    <row r="1642" spans="1:19" x14ac:dyDescent="0.2">
      <c r="B1642" s="75">
        <f t="shared" si="289"/>
        <v>14</v>
      </c>
      <c r="C1642" s="4"/>
      <c r="D1642" s="4"/>
      <c r="E1642" s="4"/>
      <c r="F1642" s="53" t="s">
        <v>76</v>
      </c>
      <c r="G1642" s="4">
        <v>637</v>
      </c>
      <c r="H1642" s="4" t="s">
        <v>130</v>
      </c>
      <c r="I1642" s="26">
        <f>SUM(I1643:I1654)</f>
        <v>74950</v>
      </c>
      <c r="J1642" s="26">
        <f>SUM(J1643:J1654)</f>
        <v>0</v>
      </c>
      <c r="K1642" s="26">
        <f t="shared" si="290"/>
        <v>74950</v>
      </c>
      <c r="L1642" s="76"/>
      <c r="M1642" s="26"/>
      <c r="N1642" s="26"/>
      <c r="O1642" s="26">
        <f t="shared" si="291"/>
        <v>0</v>
      </c>
      <c r="P1642" s="76"/>
      <c r="Q1642" s="26">
        <f t="shared" si="292"/>
        <v>74950</v>
      </c>
      <c r="R1642" s="26">
        <f t="shared" si="293"/>
        <v>0</v>
      </c>
      <c r="S1642" s="26">
        <f t="shared" si="293"/>
        <v>74950</v>
      </c>
    </row>
    <row r="1643" spans="1:19" x14ac:dyDescent="0.2">
      <c r="B1643" s="75">
        <f t="shared" si="289"/>
        <v>15</v>
      </c>
      <c r="C1643" s="4"/>
      <c r="D1643" s="4"/>
      <c r="E1643" s="4"/>
      <c r="F1643" s="53"/>
      <c r="G1643" s="4"/>
      <c r="H1643" s="4" t="s">
        <v>234</v>
      </c>
      <c r="I1643" s="58">
        <v>10000</v>
      </c>
      <c r="J1643" s="58"/>
      <c r="K1643" s="58">
        <f t="shared" si="290"/>
        <v>10000</v>
      </c>
      <c r="L1643" s="76"/>
      <c r="M1643" s="26"/>
      <c r="N1643" s="26"/>
      <c r="O1643" s="26">
        <f t="shared" si="291"/>
        <v>0</v>
      </c>
      <c r="P1643" s="76"/>
      <c r="Q1643" s="26">
        <f t="shared" si="292"/>
        <v>10000</v>
      </c>
      <c r="R1643" s="26">
        <f t="shared" si="293"/>
        <v>0</v>
      </c>
      <c r="S1643" s="26">
        <f t="shared" si="293"/>
        <v>10000</v>
      </c>
    </row>
    <row r="1644" spans="1:19" x14ac:dyDescent="0.2">
      <c r="B1644" s="75">
        <f t="shared" si="289"/>
        <v>16</v>
      </c>
      <c r="C1644" s="4"/>
      <c r="D1644" s="4"/>
      <c r="E1644" s="4"/>
      <c r="F1644" s="53"/>
      <c r="G1644" s="4"/>
      <c r="H1644" s="4" t="s">
        <v>353</v>
      </c>
      <c r="I1644" s="58">
        <v>3000</v>
      </c>
      <c r="J1644" s="58"/>
      <c r="K1644" s="58">
        <f t="shared" si="290"/>
        <v>3000</v>
      </c>
      <c r="L1644" s="76"/>
      <c r="M1644" s="26"/>
      <c r="N1644" s="26"/>
      <c r="O1644" s="26">
        <f t="shared" si="291"/>
        <v>0</v>
      </c>
      <c r="P1644" s="76"/>
      <c r="Q1644" s="26">
        <f t="shared" si="292"/>
        <v>3000</v>
      </c>
      <c r="R1644" s="26">
        <f t="shared" si="293"/>
        <v>0</v>
      </c>
      <c r="S1644" s="26">
        <f t="shared" si="293"/>
        <v>3000</v>
      </c>
    </row>
    <row r="1645" spans="1:19" x14ac:dyDescent="0.2">
      <c r="B1645" s="75">
        <f t="shared" si="289"/>
        <v>17</v>
      </c>
      <c r="C1645" s="4"/>
      <c r="D1645" s="4"/>
      <c r="E1645" s="4"/>
      <c r="F1645" s="53"/>
      <c r="G1645" s="4"/>
      <c r="H1645" s="4" t="s">
        <v>354</v>
      </c>
      <c r="I1645" s="58">
        <v>12000</v>
      </c>
      <c r="J1645" s="58"/>
      <c r="K1645" s="58">
        <f t="shared" si="290"/>
        <v>12000</v>
      </c>
      <c r="L1645" s="76"/>
      <c r="M1645" s="26"/>
      <c r="N1645" s="26"/>
      <c r="O1645" s="26">
        <f t="shared" si="291"/>
        <v>0</v>
      </c>
      <c r="P1645" s="76"/>
      <c r="Q1645" s="26">
        <f t="shared" si="292"/>
        <v>12000</v>
      </c>
      <c r="R1645" s="26">
        <f t="shared" ref="R1645:S1660" si="294">J1645+N1645</f>
        <v>0</v>
      </c>
      <c r="S1645" s="26">
        <f t="shared" si="294"/>
        <v>12000</v>
      </c>
    </row>
    <row r="1646" spans="1:19" ht="24" x14ac:dyDescent="0.2">
      <c r="B1646" s="75">
        <f t="shared" si="289"/>
        <v>18</v>
      </c>
      <c r="C1646" s="79"/>
      <c r="D1646" s="79"/>
      <c r="E1646" s="79"/>
      <c r="F1646" s="80"/>
      <c r="G1646" s="79"/>
      <c r="H1646" s="81" t="s">
        <v>437</v>
      </c>
      <c r="I1646" s="65">
        <v>3000</v>
      </c>
      <c r="J1646" s="65"/>
      <c r="K1646" s="65">
        <f t="shared" si="290"/>
        <v>3000</v>
      </c>
      <c r="L1646" s="161"/>
      <c r="M1646" s="62"/>
      <c r="N1646" s="62"/>
      <c r="O1646" s="62">
        <f t="shared" si="291"/>
        <v>0</v>
      </c>
      <c r="P1646" s="161"/>
      <c r="Q1646" s="62">
        <f t="shared" si="292"/>
        <v>3000</v>
      </c>
      <c r="R1646" s="62">
        <f t="shared" si="294"/>
        <v>0</v>
      </c>
      <c r="S1646" s="62">
        <f t="shared" si="294"/>
        <v>3000</v>
      </c>
    </row>
    <row r="1647" spans="1:19" x14ac:dyDescent="0.2">
      <c r="B1647" s="75">
        <f t="shared" si="289"/>
        <v>19</v>
      </c>
      <c r="C1647" s="79"/>
      <c r="D1647" s="79"/>
      <c r="E1647" s="79"/>
      <c r="F1647" s="80"/>
      <c r="G1647" s="79"/>
      <c r="H1647" s="81" t="s">
        <v>433</v>
      </c>
      <c r="I1647" s="65">
        <v>10000</v>
      </c>
      <c r="J1647" s="65"/>
      <c r="K1647" s="65">
        <f t="shared" si="290"/>
        <v>10000</v>
      </c>
      <c r="L1647" s="161"/>
      <c r="M1647" s="62"/>
      <c r="N1647" s="62"/>
      <c r="O1647" s="62">
        <f t="shared" si="291"/>
        <v>0</v>
      </c>
      <c r="P1647" s="161"/>
      <c r="Q1647" s="62">
        <f t="shared" si="292"/>
        <v>10000</v>
      </c>
      <c r="R1647" s="62">
        <f t="shared" si="294"/>
        <v>0</v>
      </c>
      <c r="S1647" s="62">
        <f t="shared" si="294"/>
        <v>10000</v>
      </c>
    </row>
    <row r="1648" spans="1:19" x14ac:dyDescent="0.2">
      <c r="B1648" s="75">
        <f t="shared" si="289"/>
        <v>20</v>
      </c>
      <c r="C1648" s="4"/>
      <c r="D1648" s="4"/>
      <c r="E1648" s="4"/>
      <c r="F1648" s="53"/>
      <c r="G1648" s="4"/>
      <c r="H1648" s="4" t="s">
        <v>246</v>
      </c>
      <c r="I1648" s="58">
        <v>3000</v>
      </c>
      <c r="J1648" s="58"/>
      <c r="K1648" s="58">
        <f t="shared" si="290"/>
        <v>3000</v>
      </c>
      <c r="L1648" s="76"/>
      <c r="M1648" s="26"/>
      <c r="N1648" s="26"/>
      <c r="O1648" s="26">
        <f t="shared" si="291"/>
        <v>0</v>
      </c>
      <c r="P1648" s="76"/>
      <c r="Q1648" s="26">
        <f t="shared" si="292"/>
        <v>3000</v>
      </c>
      <c r="R1648" s="26">
        <f t="shared" si="294"/>
        <v>0</v>
      </c>
      <c r="S1648" s="26">
        <f t="shared" si="294"/>
        <v>3000</v>
      </c>
    </row>
    <row r="1649" spans="1:19" x14ac:dyDescent="0.2">
      <c r="B1649" s="75">
        <f t="shared" si="289"/>
        <v>21</v>
      </c>
      <c r="C1649" s="4"/>
      <c r="D1649" s="4"/>
      <c r="E1649" s="4"/>
      <c r="F1649" s="53"/>
      <c r="G1649" s="4"/>
      <c r="H1649" s="4" t="s">
        <v>247</v>
      </c>
      <c r="I1649" s="58">
        <v>2500</v>
      </c>
      <c r="J1649" s="58"/>
      <c r="K1649" s="58">
        <f t="shared" si="290"/>
        <v>2500</v>
      </c>
      <c r="L1649" s="76"/>
      <c r="M1649" s="26"/>
      <c r="N1649" s="26"/>
      <c r="O1649" s="26">
        <f t="shared" si="291"/>
        <v>0</v>
      </c>
      <c r="P1649" s="76"/>
      <c r="Q1649" s="26">
        <f t="shared" si="292"/>
        <v>2500</v>
      </c>
      <c r="R1649" s="26">
        <f t="shared" si="294"/>
        <v>0</v>
      </c>
      <c r="S1649" s="26">
        <f t="shared" si="294"/>
        <v>2500</v>
      </c>
    </row>
    <row r="1650" spans="1:19" x14ac:dyDescent="0.2">
      <c r="B1650" s="75">
        <f t="shared" si="289"/>
        <v>22</v>
      </c>
      <c r="C1650" s="4"/>
      <c r="D1650" s="4"/>
      <c r="E1650" s="4"/>
      <c r="F1650" s="53"/>
      <c r="G1650" s="4"/>
      <c r="H1650" s="4" t="s">
        <v>18</v>
      </c>
      <c r="I1650" s="58">
        <v>18000</v>
      </c>
      <c r="J1650" s="58"/>
      <c r="K1650" s="58">
        <f t="shared" si="290"/>
        <v>18000</v>
      </c>
      <c r="L1650" s="76"/>
      <c r="M1650" s="26"/>
      <c r="N1650" s="26"/>
      <c r="O1650" s="26">
        <f t="shared" si="291"/>
        <v>0</v>
      </c>
      <c r="P1650" s="76"/>
      <c r="Q1650" s="26">
        <f t="shared" si="292"/>
        <v>18000</v>
      </c>
      <c r="R1650" s="26">
        <f t="shared" si="294"/>
        <v>0</v>
      </c>
      <c r="S1650" s="26">
        <f t="shared" si="294"/>
        <v>18000</v>
      </c>
    </row>
    <row r="1651" spans="1:19" x14ac:dyDescent="0.2">
      <c r="B1651" s="75">
        <f t="shared" si="289"/>
        <v>23</v>
      </c>
      <c r="C1651" s="4"/>
      <c r="D1651" s="4"/>
      <c r="E1651" s="4"/>
      <c r="F1651" s="53"/>
      <c r="G1651" s="4"/>
      <c r="H1651" s="4" t="s">
        <v>24</v>
      </c>
      <c r="I1651" s="58">
        <v>8000</v>
      </c>
      <c r="J1651" s="58"/>
      <c r="K1651" s="58">
        <f t="shared" si="290"/>
        <v>8000</v>
      </c>
      <c r="L1651" s="76"/>
      <c r="M1651" s="26"/>
      <c r="N1651" s="26"/>
      <c r="O1651" s="26">
        <f t="shared" si="291"/>
        <v>0</v>
      </c>
      <c r="P1651" s="76"/>
      <c r="Q1651" s="26">
        <f t="shared" si="292"/>
        <v>8000</v>
      </c>
      <c r="R1651" s="26">
        <f t="shared" si="294"/>
        <v>0</v>
      </c>
      <c r="S1651" s="26">
        <f t="shared" si="294"/>
        <v>8000</v>
      </c>
    </row>
    <row r="1652" spans="1:19" x14ac:dyDescent="0.2">
      <c r="B1652" s="75">
        <f t="shared" si="289"/>
        <v>24</v>
      </c>
      <c r="C1652" s="4"/>
      <c r="D1652" s="4"/>
      <c r="E1652" s="4"/>
      <c r="F1652" s="53"/>
      <c r="G1652" s="4"/>
      <c r="H1652" s="4" t="s">
        <v>80</v>
      </c>
      <c r="I1652" s="58">
        <v>1500</v>
      </c>
      <c r="J1652" s="58"/>
      <c r="K1652" s="58">
        <f t="shared" si="290"/>
        <v>1500</v>
      </c>
      <c r="L1652" s="76"/>
      <c r="M1652" s="26"/>
      <c r="N1652" s="26"/>
      <c r="O1652" s="26">
        <f t="shared" si="291"/>
        <v>0</v>
      </c>
      <c r="P1652" s="76"/>
      <c r="Q1652" s="26">
        <f t="shared" si="292"/>
        <v>1500</v>
      </c>
      <c r="R1652" s="26">
        <f t="shared" si="294"/>
        <v>0</v>
      </c>
      <c r="S1652" s="26">
        <f t="shared" si="294"/>
        <v>1500</v>
      </c>
    </row>
    <row r="1653" spans="1:19" x14ac:dyDescent="0.2">
      <c r="B1653" s="75">
        <f t="shared" si="289"/>
        <v>25</v>
      </c>
      <c r="C1653" s="4"/>
      <c r="D1653" s="4"/>
      <c r="E1653" s="4"/>
      <c r="F1653" s="53"/>
      <c r="G1653" s="4"/>
      <c r="H1653" s="4" t="s">
        <v>239</v>
      </c>
      <c r="I1653" s="58">
        <v>500</v>
      </c>
      <c r="J1653" s="58"/>
      <c r="K1653" s="58">
        <f t="shared" si="290"/>
        <v>500</v>
      </c>
      <c r="L1653" s="76"/>
      <c r="M1653" s="26"/>
      <c r="N1653" s="26"/>
      <c r="O1653" s="26">
        <f t="shared" si="291"/>
        <v>0</v>
      </c>
      <c r="P1653" s="76"/>
      <c r="Q1653" s="26">
        <f t="shared" si="292"/>
        <v>500</v>
      </c>
      <c r="R1653" s="26">
        <f t="shared" si="294"/>
        <v>0</v>
      </c>
      <c r="S1653" s="26">
        <f t="shared" si="294"/>
        <v>500</v>
      </c>
    </row>
    <row r="1654" spans="1:19" x14ac:dyDescent="0.2">
      <c r="B1654" s="75">
        <f t="shared" si="289"/>
        <v>26</v>
      </c>
      <c r="C1654" s="4"/>
      <c r="D1654" s="4"/>
      <c r="E1654" s="4"/>
      <c r="F1654" s="53"/>
      <c r="G1654" s="4"/>
      <c r="H1654" s="4" t="s">
        <v>482</v>
      </c>
      <c r="I1654" s="26">
        <f>4000-550</f>
        <v>3450</v>
      </c>
      <c r="J1654" s="26"/>
      <c r="K1654" s="26">
        <f t="shared" si="290"/>
        <v>3450</v>
      </c>
      <c r="L1654" s="76"/>
      <c r="M1654" s="26"/>
      <c r="N1654" s="26"/>
      <c r="O1654" s="26">
        <f t="shared" si="291"/>
        <v>0</v>
      </c>
      <c r="P1654" s="76"/>
      <c r="Q1654" s="26">
        <f t="shared" si="292"/>
        <v>3450</v>
      </c>
      <c r="R1654" s="26">
        <f t="shared" si="294"/>
        <v>0</v>
      </c>
      <c r="S1654" s="26">
        <f t="shared" si="294"/>
        <v>3450</v>
      </c>
    </row>
    <row r="1655" spans="1:19" ht="15" x14ac:dyDescent="0.2">
      <c r="B1655" s="75">
        <f t="shared" si="289"/>
        <v>27</v>
      </c>
      <c r="C1655" s="164">
        <v>3</v>
      </c>
      <c r="D1655" s="230" t="s">
        <v>143</v>
      </c>
      <c r="E1655" s="228"/>
      <c r="F1655" s="228"/>
      <c r="G1655" s="228"/>
      <c r="H1655" s="229"/>
      <c r="I1655" s="45">
        <f>I1656+I1657+I1664</f>
        <v>169900</v>
      </c>
      <c r="J1655" s="45">
        <f>J1656+J1657+J1664</f>
        <v>-1000</v>
      </c>
      <c r="K1655" s="45">
        <f t="shared" si="290"/>
        <v>168900</v>
      </c>
      <c r="L1655" s="172"/>
      <c r="M1655" s="45">
        <v>0</v>
      </c>
      <c r="N1655" s="45">
        <f>N1661</f>
        <v>5300</v>
      </c>
      <c r="O1655" s="45">
        <f t="shared" si="291"/>
        <v>5300</v>
      </c>
      <c r="P1655" s="172"/>
      <c r="Q1655" s="45">
        <f t="shared" si="292"/>
        <v>169900</v>
      </c>
      <c r="R1655" s="45">
        <f t="shared" si="294"/>
        <v>4300</v>
      </c>
      <c r="S1655" s="45">
        <f t="shared" si="294"/>
        <v>174200</v>
      </c>
    </row>
    <row r="1656" spans="1:19" x14ac:dyDescent="0.2">
      <c r="B1656" s="75">
        <f t="shared" si="289"/>
        <v>28</v>
      </c>
      <c r="C1656" s="15"/>
      <c r="D1656" s="15"/>
      <c r="E1656" s="15"/>
      <c r="F1656" s="52" t="s">
        <v>76</v>
      </c>
      <c r="G1656" s="15">
        <v>620</v>
      </c>
      <c r="H1656" s="15" t="s">
        <v>132</v>
      </c>
      <c r="I1656" s="49">
        <v>2400</v>
      </c>
      <c r="J1656" s="49"/>
      <c r="K1656" s="49">
        <f t="shared" si="290"/>
        <v>2400</v>
      </c>
      <c r="L1656" s="123"/>
      <c r="M1656" s="49"/>
      <c r="N1656" s="49"/>
      <c r="O1656" s="49">
        <f t="shared" si="291"/>
        <v>0</v>
      </c>
      <c r="P1656" s="123"/>
      <c r="Q1656" s="49">
        <f t="shared" si="292"/>
        <v>2400</v>
      </c>
      <c r="R1656" s="49">
        <f t="shared" si="294"/>
        <v>0</v>
      </c>
      <c r="S1656" s="49">
        <f t="shared" si="294"/>
        <v>2400</v>
      </c>
    </row>
    <row r="1657" spans="1:19" x14ac:dyDescent="0.2">
      <c r="B1657" s="75">
        <f t="shared" si="289"/>
        <v>29</v>
      </c>
      <c r="C1657" s="15"/>
      <c r="D1657" s="15"/>
      <c r="E1657" s="15"/>
      <c r="F1657" s="52" t="s">
        <v>76</v>
      </c>
      <c r="G1657" s="15">
        <v>630</v>
      </c>
      <c r="H1657" s="15" t="s">
        <v>129</v>
      </c>
      <c r="I1657" s="49">
        <f>I1658+I1659+I1660</f>
        <v>26700</v>
      </c>
      <c r="J1657" s="49">
        <f>J1658+J1659+J1660</f>
        <v>0</v>
      </c>
      <c r="K1657" s="49">
        <f t="shared" si="290"/>
        <v>26700</v>
      </c>
      <c r="L1657" s="123"/>
      <c r="M1657" s="49">
        <v>0</v>
      </c>
      <c r="N1657" s="49">
        <v>0</v>
      </c>
      <c r="O1657" s="49">
        <f t="shared" si="291"/>
        <v>0</v>
      </c>
      <c r="P1657" s="123"/>
      <c r="Q1657" s="49">
        <f t="shared" si="292"/>
        <v>26700</v>
      </c>
      <c r="R1657" s="49">
        <f t="shared" si="294"/>
        <v>0</v>
      </c>
      <c r="S1657" s="49">
        <f t="shared" si="294"/>
        <v>26700</v>
      </c>
    </row>
    <row r="1658" spans="1:19" x14ac:dyDescent="0.2">
      <c r="B1658" s="75">
        <f t="shared" si="289"/>
        <v>30</v>
      </c>
      <c r="C1658" s="4"/>
      <c r="D1658" s="4"/>
      <c r="E1658" s="4"/>
      <c r="F1658" s="53" t="s">
        <v>76</v>
      </c>
      <c r="G1658" s="4">
        <v>633</v>
      </c>
      <c r="H1658" s="4" t="s">
        <v>133</v>
      </c>
      <c r="I1658" s="26">
        <v>5000</v>
      </c>
      <c r="J1658" s="26"/>
      <c r="K1658" s="26">
        <f t="shared" si="290"/>
        <v>5000</v>
      </c>
      <c r="L1658" s="76"/>
      <c r="M1658" s="26"/>
      <c r="N1658" s="26"/>
      <c r="O1658" s="26">
        <f t="shared" si="291"/>
        <v>0</v>
      </c>
      <c r="P1658" s="76"/>
      <c r="Q1658" s="26">
        <f t="shared" si="292"/>
        <v>5000</v>
      </c>
      <c r="R1658" s="26">
        <f t="shared" si="294"/>
        <v>0</v>
      </c>
      <c r="S1658" s="26">
        <f t="shared" si="294"/>
        <v>5000</v>
      </c>
    </row>
    <row r="1659" spans="1:19" x14ac:dyDescent="0.2">
      <c r="B1659" s="75">
        <f t="shared" si="289"/>
        <v>31</v>
      </c>
      <c r="C1659" s="4"/>
      <c r="D1659" s="4"/>
      <c r="E1659" s="4"/>
      <c r="F1659" s="53" t="s">
        <v>76</v>
      </c>
      <c r="G1659" s="4">
        <v>637</v>
      </c>
      <c r="H1659" s="4" t="s">
        <v>130</v>
      </c>
      <c r="I1659" s="26">
        <f>12200-2500</f>
        <v>9700</v>
      </c>
      <c r="J1659" s="26"/>
      <c r="K1659" s="26">
        <f t="shared" si="290"/>
        <v>9700</v>
      </c>
      <c r="L1659" s="76"/>
      <c r="M1659" s="26"/>
      <c r="N1659" s="26"/>
      <c r="O1659" s="26">
        <f t="shared" si="291"/>
        <v>0</v>
      </c>
      <c r="P1659" s="76"/>
      <c r="Q1659" s="26">
        <f t="shared" si="292"/>
        <v>9700</v>
      </c>
      <c r="R1659" s="26">
        <f t="shared" si="294"/>
        <v>0</v>
      </c>
      <c r="S1659" s="26">
        <f t="shared" si="294"/>
        <v>9700</v>
      </c>
    </row>
    <row r="1660" spans="1:19" x14ac:dyDescent="0.2">
      <c r="B1660" s="75">
        <f t="shared" si="289"/>
        <v>32</v>
      </c>
      <c r="C1660" s="4"/>
      <c r="D1660" s="4"/>
      <c r="E1660" s="4"/>
      <c r="F1660" s="53" t="s">
        <v>76</v>
      </c>
      <c r="G1660" s="4">
        <v>630</v>
      </c>
      <c r="H1660" s="4" t="s">
        <v>144</v>
      </c>
      <c r="I1660" s="58">
        <f>500+9000+2500</f>
        <v>12000</v>
      </c>
      <c r="J1660" s="58"/>
      <c r="K1660" s="58">
        <f t="shared" si="290"/>
        <v>12000</v>
      </c>
      <c r="L1660" s="76"/>
      <c r="M1660" s="26"/>
      <c r="N1660" s="26"/>
      <c r="O1660" s="26">
        <f t="shared" si="291"/>
        <v>0</v>
      </c>
      <c r="P1660" s="76"/>
      <c r="Q1660" s="26">
        <f t="shared" si="292"/>
        <v>12000</v>
      </c>
      <c r="R1660" s="26">
        <f t="shared" si="294"/>
        <v>0</v>
      </c>
      <c r="S1660" s="26">
        <f t="shared" si="294"/>
        <v>12000</v>
      </c>
    </row>
    <row r="1661" spans="1:19" x14ac:dyDescent="0.2">
      <c r="B1661" s="75">
        <f t="shared" si="289"/>
        <v>33</v>
      </c>
      <c r="C1661" s="4"/>
      <c r="D1661" s="4"/>
      <c r="E1661" s="4"/>
      <c r="F1661" s="52" t="s">
        <v>190</v>
      </c>
      <c r="G1661" s="15">
        <v>710</v>
      </c>
      <c r="H1661" s="15" t="s">
        <v>185</v>
      </c>
      <c r="I1661" s="49">
        <v>0</v>
      </c>
      <c r="J1661" s="49">
        <v>0</v>
      </c>
      <c r="K1661" s="49">
        <f t="shared" si="290"/>
        <v>0</v>
      </c>
      <c r="L1661" s="123"/>
      <c r="M1661" s="49">
        <f>M1662</f>
        <v>0</v>
      </c>
      <c r="N1661" s="49">
        <f>N1662</f>
        <v>5300</v>
      </c>
      <c r="O1661" s="49">
        <f t="shared" si="291"/>
        <v>5300</v>
      </c>
      <c r="P1661" s="123"/>
      <c r="Q1661" s="49">
        <f t="shared" si="292"/>
        <v>0</v>
      </c>
      <c r="R1661" s="49">
        <f t="shared" ref="R1661:R1663" si="295">J1661+N1661</f>
        <v>5300</v>
      </c>
      <c r="S1661" s="49">
        <f t="shared" ref="S1661:S1663" si="296">K1661+O1661</f>
        <v>5300</v>
      </c>
    </row>
    <row r="1662" spans="1:19" x14ac:dyDescent="0.2">
      <c r="B1662" s="75">
        <f t="shared" si="289"/>
        <v>34</v>
      </c>
      <c r="C1662" s="4"/>
      <c r="D1662" s="4"/>
      <c r="E1662" s="4"/>
      <c r="F1662" s="86" t="s">
        <v>190</v>
      </c>
      <c r="G1662" s="87">
        <v>716</v>
      </c>
      <c r="H1662" s="87" t="s">
        <v>0</v>
      </c>
      <c r="I1662" s="88"/>
      <c r="J1662" s="88"/>
      <c r="K1662" s="88"/>
      <c r="L1662" s="76"/>
      <c r="M1662" s="88"/>
      <c r="N1662" s="88">
        <f>N1663</f>
        <v>5300</v>
      </c>
      <c r="O1662" s="88">
        <f t="shared" si="291"/>
        <v>5300</v>
      </c>
      <c r="P1662" s="76"/>
      <c r="Q1662" s="88">
        <f t="shared" si="292"/>
        <v>0</v>
      </c>
      <c r="R1662" s="88">
        <f t="shared" si="295"/>
        <v>5300</v>
      </c>
      <c r="S1662" s="88">
        <f t="shared" si="296"/>
        <v>5300</v>
      </c>
    </row>
    <row r="1663" spans="1:19" s="71" customFormat="1" ht="24" x14ac:dyDescent="0.2">
      <c r="A1663" s="67"/>
      <c r="B1663" s="74">
        <f t="shared" si="289"/>
        <v>35</v>
      </c>
      <c r="C1663" s="79"/>
      <c r="D1663" s="79"/>
      <c r="E1663" s="79"/>
      <c r="F1663" s="72"/>
      <c r="G1663" s="68"/>
      <c r="H1663" s="81" t="s">
        <v>665</v>
      </c>
      <c r="I1663" s="70"/>
      <c r="J1663" s="70"/>
      <c r="K1663" s="70"/>
      <c r="L1663" s="180"/>
      <c r="M1663" s="65"/>
      <c r="N1663" s="65">
        <v>5300</v>
      </c>
      <c r="O1663" s="65">
        <f t="shared" si="291"/>
        <v>5300</v>
      </c>
      <c r="P1663" s="161"/>
      <c r="Q1663" s="65">
        <f t="shared" si="292"/>
        <v>0</v>
      </c>
      <c r="R1663" s="65">
        <f t="shared" si="295"/>
        <v>5300</v>
      </c>
      <c r="S1663" s="65">
        <f t="shared" si="296"/>
        <v>5300</v>
      </c>
    </row>
    <row r="1664" spans="1:19" ht="15" x14ac:dyDescent="0.25">
      <c r="B1664" s="75">
        <f t="shared" si="289"/>
        <v>36</v>
      </c>
      <c r="C1664" s="18"/>
      <c r="D1664" s="18"/>
      <c r="E1664" s="18">
        <v>2</v>
      </c>
      <c r="F1664" s="50"/>
      <c r="G1664" s="18"/>
      <c r="H1664" s="18" t="s">
        <v>258</v>
      </c>
      <c r="I1664" s="47">
        <f>I1665</f>
        <v>140800</v>
      </c>
      <c r="J1664" s="47">
        <f>J1665</f>
        <v>-1000</v>
      </c>
      <c r="K1664" s="47">
        <f t="shared" si="290"/>
        <v>139800</v>
      </c>
      <c r="L1664" s="174"/>
      <c r="M1664" s="47">
        <f>M1665</f>
        <v>0</v>
      </c>
      <c r="N1664" s="47">
        <f>N1665</f>
        <v>0</v>
      </c>
      <c r="O1664" s="47">
        <f t="shared" si="291"/>
        <v>0</v>
      </c>
      <c r="P1664" s="174"/>
      <c r="Q1664" s="47">
        <f t="shared" si="292"/>
        <v>140800</v>
      </c>
      <c r="R1664" s="47">
        <f t="shared" ref="R1664:S1667" si="297">J1664+N1664</f>
        <v>-1000</v>
      </c>
      <c r="S1664" s="47">
        <f t="shared" si="297"/>
        <v>139800</v>
      </c>
    </row>
    <row r="1665" spans="2:19" x14ac:dyDescent="0.2">
      <c r="B1665" s="75">
        <f t="shared" si="289"/>
        <v>37</v>
      </c>
      <c r="C1665" s="15"/>
      <c r="D1665" s="15"/>
      <c r="E1665" s="15"/>
      <c r="F1665" s="52" t="s">
        <v>76</v>
      </c>
      <c r="G1665" s="15">
        <v>630</v>
      </c>
      <c r="H1665" s="15" t="s">
        <v>129</v>
      </c>
      <c r="I1665" s="49">
        <f>I1673+I1671+I1667+I1666+I1672+I1668+I1669+I1670</f>
        <v>140800</v>
      </c>
      <c r="J1665" s="49">
        <f>J1673+J1671+J1667+J1666+J1672+J1668+J1669+J1670</f>
        <v>-1000</v>
      </c>
      <c r="K1665" s="49">
        <f t="shared" si="290"/>
        <v>139800</v>
      </c>
      <c r="L1665" s="123"/>
      <c r="M1665" s="49">
        <f>M1673+M1671+M1667+M1666</f>
        <v>0</v>
      </c>
      <c r="N1665" s="49">
        <f>N1673+N1671+N1667+N1666</f>
        <v>0</v>
      </c>
      <c r="O1665" s="49">
        <f t="shared" si="291"/>
        <v>0</v>
      </c>
      <c r="P1665" s="123"/>
      <c r="Q1665" s="49">
        <f t="shared" si="292"/>
        <v>140800</v>
      </c>
      <c r="R1665" s="49">
        <f t="shared" si="297"/>
        <v>-1000</v>
      </c>
      <c r="S1665" s="49">
        <f t="shared" si="297"/>
        <v>139800</v>
      </c>
    </row>
    <row r="1666" spans="2:19" x14ac:dyDescent="0.2">
      <c r="B1666" s="75">
        <f t="shared" si="289"/>
        <v>38</v>
      </c>
      <c r="C1666" s="4"/>
      <c r="D1666" s="4"/>
      <c r="E1666" s="4"/>
      <c r="F1666" s="53" t="s">
        <v>76</v>
      </c>
      <c r="G1666" s="4">
        <v>632</v>
      </c>
      <c r="H1666" s="4" t="s">
        <v>140</v>
      </c>
      <c r="I1666" s="26">
        <v>114000</v>
      </c>
      <c r="J1666" s="26"/>
      <c r="K1666" s="26">
        <f t="shared" si="290"/>
        <v>114000</v>
      </c>
      <c r="L1666" s="76"/>
      <c r="M1666" s="26"/>
      <c r="N1666" s="26"/>
      <c r="O1666" s="26">
        <f t="shared" si="291"/>
        <v>0</v>
      </c>
      <c r="P1666" s="76"/>
      <c r="Q1666" s="26">
        <f t="shared" si="292"/>
        <v>114000</v>
      </c>
      <c r="R1666" s="26">
        <f t="shared" si="297"/>
        <v>0</v>
      </c>
      <c r="S1666" s="26">
        <f t="shared" si="297"/>
        <v>114000</v>
      </c>
    </row>
    <row r="1667" spans="2:19" x14ac:dyDescent="0.2">
      <c r="B1667" s="75">
        <f t="shared" si="289"/>
        <v>39</v>
      </c>
      <c r="C1667" s="4"/>
      <c r="D1667" s="4"/>
      <c r="E1667" s="4"/>
      <c r="F1667" s="53" t="s">
        <v>76</v>
      </c>
      <c r="G1667" s="4">
        <v>633</v>
      </c>
      <c r="H1667" s="4" t="s">
        <v>133</v>
      </c>
      <c r="I1667" s="26">
        <v>2500</v>
      </c>
      <c r="J1667" s="26"/>
      <c r="K1667" s="26">
        <f t="shared" si="290"/>
        <v>2500</v>
      </c>
      <c r="L1667" s="76"/>
      <c r="M1667" s="26"/>
      <c r="N1667" s="26"/>
      <c r="O1667" s="26">
        <f t="shared" si="291"/>
        <v>0</v>
      </c>
      <c r="P1667" s="76"/>
      <c r="Q1667" s="26">
        <f t="shared" si="292"/>
        <v>2500</v>
      </c>
      <c r="R1667" s="26">
        <f t="shared" si="297"/>
        <v>0</v>
      </c>
      <c r="S1667" s="26">
        <f t="shared" si="297"/>
        <v>2500</v>
      </c>
    </row>
    <row r="1668" spans="2:19" x14ac:dyDescent="0.2">
      <c r="B1668" s="75">
        <f t="shared" si="289"/>
        <v>40</v>
      </c>
      <c r="C1668" s="79"/>
      <c r="D1668" s="79"/>
      <c r="E1668" s="79"/>
      <c r="F1668" s="154" t="s">
        <v>76</v>
      </c>
      <c r="G1668" s="150">
        <v>633</v>
      </c>
      <c r="H1668" s="151" t="s">
        <v>585</v>
      </c>
      <c r="I1668" s="146">
        <v>1000</v>
      </c>
      <c r="J1668" s="146"/>
      <c r="K1668" s="146">
        <f t="shared" si="290"/>
        <v>1000</v>
      </c>
      <c r="L1668" s="161"/>
      <c r="M1668" s="146"/>
      <c r="N1668" s="146"/>
      <c r="O1668" s="146">
        <f t="shared" si="291"/>
        <v>0</v>
      </c>
      <c r="P1668" s="161"/>
      <c r="Q1668" s="146">
        <f>M1668+I1668</f>
        <v>1000</v>
      </c>
      <c r="R1668" s="146">
        <f t="shared" ref="R1668:S1670" si="298">N1668+J1668</f>
        <v>0</v>
      </c>
      <c r="S1668" s="146">
        <f t="shared" si="298"/>
        <v>1000</v>
      </c>
    </row>
    <row r="1669" spans="2:19" x14ac:dyDescent="0.2">
      <c r="B1669" s="75">
        <f t="shared" si="289"/>
        <v>41</v>
      </c>
      <c r="C1669" s="79"/>
      <c r="D1669" s="79"/>
      <c r="E1669" s="79"/>
      <c r="F1669" s="154" t="s">
        <v>76</v>
      </c>
      <c r="G1669" s="150">
        <v>633</v>
      </c>
      <c r="H1669" s="151" t="s">
        <v>586</v>
      </c>
      <c r="I1669" s="146">
        <v>1000</v>
      </c>
      <c r="J1669" s="146"/>
      <c r="K1669" s="146">
        <f t="shared" si="290"/>
        <v>1000</v>
      </c>
      <c r="L1669" s="161"/>
      <c r="M1669" s="146"/>
      <c r="N1669" s="146"/>
      <c r="O1669" s="146">
        <f t="shared" si="291"/>
        <v>0</v>
      </c>
      <c r="P1669" s="161"/>
      <c r="Q1669" s="146">
        <f>M1669+I1669</f>
        <v>1000</v>
      </c>
      <c r="R1669" s="146">
        <f t="shared" si="298"/>
        <v>0</v>
      </c>
      <c r="S1669" s="146">
        <f t="shared" si="298"/>
        <v>1000</v>
      </c>
    </row>
    <row r="1670" spans="2:19" x14ac:dyDescent="0.2">
      <c r="B1670" s="75">
        <f t="shared" si="289"/>
        <v>42</v>
      </c>
      <c r="C1670" s="79"/>
      <c r="D1670" s="79"/>
      <c r="E1670" s="79"/>
      <c r="F1670" s="154" t="s">
        <v>76</v>
      </c>
      <c r="G1670" s="150">
        <v>633</v>
      </c>
      <c r="H1670" s="151" t="s">
        <v>587</v>
      </c>
      <c r="I1670" s="146">
        <v>1000</v>
      </c>
      <c r="J1670" s="146"/>
      <c r="K1670" s="146">
        <f t="shared" si="290"/>
        <v>1000</v>
      </c>
      <c r="L1670" s="161"/>
      <c r="M1670" s="146"/>
      <c r="N1670" s="146"/>
      <c r="O1670" s="146">
        <f t="shared" si="291"/>
        <v>0</v>
      </c>
      <c r="P1670" s="161"/>
      <c r="Q1670" s="146">
        <f>M1670+I1670</f>
        <v>1000</v>
      </c>
      <c r="R1670" s="146">
        <f t="shared" si="298"/>
        <v>0</v>
      </c>
      <c r="S1670" s="146">
        <f t="shared" si="298"/>
        <v>1000</v>
      </c>
    </row>
    <row r="1671" spans="2:19" x14ac:dyDescent="0.2">
      <c r="B1671" s="75">
        <f t="shared" si="289"/>
        <v>43</v>
      </c>
      <c r="C1671" s="4"/>
      <c r="D1671" s="4"/>
      <c r="E1671" s="4"/>
      <c r="F1671" s="53" t="s">
        <v>76</v>
      </c>
      <c r="G1671" s="4">
        <v>635</v>
      </c>
      <c r="H1671" s="4" t="s">
        <v>139</v>
      </c>
      <c r="I1671" s="26">
        <v>10500</v>
      </c>
      <c r="J1671" s="26">
        <v>-1000</v>
      </c>
      <c r="K1671" s="26">
        <f t="shared" si="290"/>
        <v>9500</v>
      </c>
      <c r="L1671" s="76"/>
      <c r="M1671" s="26"/>
      <c r="N1671" s="26"/>
      <c r="O1671" s="26">
        <f t="shared" si="291"/>
        <v>0</v>
      </c>
      <c r="P1671" s="76"/>
      <c r="Q1671" s="26">
        <f>I1671+M1671</f>
        <v>10500</v>
      </c>
      <c r="R1671" s="26">
        <f t="shared" ref="R1671:S1671" si="299">J1671+N1671</f>
        <v>-1000</v>
      </c>
      <c r="S1671" s="26">
        <f t="shared" si="299"/>
        <v>9500</v>
      </c>
    </row>
    <row r="1672" spans="2:19" ht="24" x14ac:dyDescent="0.2">
      <c r="B1672" s="75">
        <f t="shared" si="289"/>
        <v>44</v>
      </c>
      <c r="C1672" s="4"/>
      <c r="D1672" s="4"/>
      <c r="E1672" s="4"/>
      <c r="F1672" s="80" t="s">
        <v>76</v>
      </c>
      <c r="G1672" s="79">
        <v>635</v>
      </c>
      <c r="H1672" s="131" t="s">
        <v>554</v>
      </c>
      <c r="I1672" s="128">
        <v>3000</v>
      </c>
      <c r="J1672" s="128"/>
      <c r="K1672" s="128">
        <f t="shared" si="290"/>
        <v>3000</v>
      </c>
      <c r="L1672" s="161"/>
      <c r="M1672" s="128"/>
      <c r="N1672" s="128"/>
      <c r="O1672" s="128">
        <f t="shared" si="291"/>
        <v>0</v>
      </c>
      <c r="P1672" s="161"/>
      <c r="Q1672" s="128">
        <f>I1672</f>
        <v>3000</v>
      </c>
      <c r="R1672" s="128">
        <f t="shared" ref="R1672:S1672" si="300">J1672</f>
        <v>0</v>
      </c>
      <c r="S1672" s="128">
        <f t="shared" si="300"/>
        <v>3000</v>
      </c>
    </row>
    <row r="1673" spans="2:19" x14ac:dyDescent="0.2">
      <c r="B1673" s="75">
        <f t="shared" si="289"/>
        <v>45</v>
      </c>
      <c r="C1673" s="4"/>
      <c r="D1673" s="4"/>
      <c r="E1673" s="4"/>
      <c r="F1673" s="53" t="s">
        <v>76</v>
      </c>
      <c r="G1673" s="4">
        <v>637</v>
      </c>
      <c r="H1673" s="4" t="s">
        <v>130</v>
      </c>
      <c r="I1673" s="26">
        <v>7800</v>
      </c>
      <c r="J1673" s="26"/>
      <c r="K1673" s="26">
        <f t="shared" si="290"/>
        <v>7800</v>
      </c>
      <c r="L1673" s="76"/>
      <c r="M1673" s="26"/>
      <c r="N1673" s="26"/>
      <c r="O1673" s="26">
        <f t="shared" si="291"/>
        <v>0</v>
      </c>
      <c r="P1673" s="76"/>
      <c r="Q1673" s="26">
        <f>I1673+M1673</f>
        <v>7800</v>
      </c>
      <c r="R1673" s="26">
        <f t="shared" ref="R1673:S1677" si="301">J1673+N1673</f>
        <v>0</v>
      </c>
      <c r="S1673" s="26">
        <f t="shared" si="301"/>
        <v>7800</v>
      </c>
    </row>
    <row r="1674" spans="2:19" ht="15" x14ac:dyDescent="0.2">
      <c r="B1674" s="75">
        <f t="shared" si="289"/>
        <v>46</v>
      </c>
      <c r="C1674" s="164">
        <v>4</v>
      </c>
      <c r="D1674" s="230" t="s">
        <v>205</v>
      </c>
      <c r="E1674" s="228"/>
      <c r="F1674" s="228"/>
      <c r="G1674" s="228"/>
      <c r="H1674" s="229"/>
      <c r="I1674" s="45">
        <f>I1675</f>
        <v>0</v>
      </c>
      <c r="J1674" s="45">
        <f>J1675</f>
        <v>0</v>
      </c>
      <c r="K1674" s="45">
        <f t="shared" si="290"/>
        <v>0</v>
      </c>
      <c r="L1674" s="172"/>
      <c r="M1674" s="45">
        <f>M1675</f>
        <v>18320</v>
      </c>
      <c r="N1674" s="45">
        <f>N1675</f>
        <v>0</v>
      </c>
      <c r="O1674" s="45">
        <f t="shared" si="291"/>
        <v>18320</v>
      </c>
      <c r="P1674" s="172"/>
      <c r="Q1674" s="45">
        <f>I1674+M1674</f>
        <v>18320</v>
      </c>
      <c r="R1674" s="45">
        <f t="shared" si="301"/>
        <v>0</v>
      </c>
      <c r="S1674" s="45">
        <f t="shared" si="301"/>
        <v>18320</v>
      </c>
    </row>
    <row r="1675" spans="2:19" x14ac:dyDescent="0.2">
      <c r="B1675" s="75">
        <f t="shared" si="289"/>
        <v>47</v>
      </c>
      <c r="C1675" s="15"/>
      <c r="D1675" s="15"/>
      <c r="E1675" s="15"/>
      <c r="F1675" s="52" t="s">
        <v>76</v>
      </c>
      <c r="G1675" s="15">
        <v>710</v>
      </c>
      <c r="H1675" s="15" t="s">
        <v>185</v>
      </c>
      <c r="I1675" s="49">
        <f>I1676</f>
        <v>0</v>
      </c>
      <c r="J1675" s="49">
        <f>J1676</f>
        <v>0</v>
      </c>
      <c r="K1675" s="49">
        <f t="shared" si="290"/>
        <v>0</v>
      </c>
      <c r="L1675" s="123"/>
      <c r="M1675" s="49">
        <f>M1676</f>
        <v>18320</v>
      </c>
      <c r="N1675" s="49">
        <f>N1676</f>
        <v>0</v>
      </c>
      <c r="O1675" s="49">
        <f t="shared" si="291"/>
        <v>18320</v>
      </c>
      <c r="P1675" s="123"/>
      <c r="Q1675" s="49">
        <f>I1675+M1675</f>
        <v>18320</v>
      </c>
      <c r="R1675" s="49">
        <f t="shared" si="301"/>
        <v>0</v>
      </c>
      <c r="S1675" s="49">
        <f t="shared" si="301"/>
        <v>18320</v>
      </c>
    </row>
    <row r="1676" spans="2:19" x14ac:dyDescent="0.2">
      <c r="B1676" s="75">
        <f t="shared" si="289"/>
        <v>48</v>
      </c>
      <c r="C1676" s="4"/>
      <c r="D1676" s="4"/>
      <c r="E1676" s="4"/>
      <c r="F1676" s="86" t="s">
        <v>76</v>
      </c>
      <c r="G1676" s="87">
        <v>717</v>
      </c>
      <c r="H1676" s="87" t="s">
        <v>195</v>
      </c>
      <c r="I1676" s="88"/>
      <c r="J1676" s="88"/>
      <c r="K1676" s="88">
        <f t="shared" si="290"/>
        <v>0</v>
      </c>
      <c r="L1676" s="76"/>
      <c r="M1676" s="88">
        <v>18320</v>
      </c>
      <c r="N1676" s="88"/>
      <c r="O1676" s="88">
        <f t="shared" si="291"/>
        <v>18320</v>
      </c>
      <c r="P1676" s="76"/>
      <c r="Q1676" s="88">
        <f>I1676+M1676</f>
        <v>18320</v>
      </c>
      <c r="R1676" s="88">
        <f t="shared" si="301"/>
        <v>0</v>
      </c>
      <c r="S1676" s="88">
        <f t="shared" si="301"/>
        <v>18320</v>
      </c>
    </row>
    <row r="1677" spans="2:19" x14ac:dyDescent="0.2">
      <c r="B1677" s="75">
        <f t="shared" si="289"/>
        <v>49</v>
      </c>
      <c r="C1677" s="4"/>
      <c r="D1677" s="4"/>
      <c r="E1677" s="4"/>
      <c r="F1677" s="53"/>
      <c r="G1677" s="4"/>
      <c r="H1677" s="4" t="s">
        <v>391</v>
      </c>
      <c r="I1677" s="26"/>
      <c r="J1677" s="26"/>
      <c r="K1677" s="26">
        <f t="shared" si="290"/>
        <v>0</v>
      </c>
      <c r="L1677" s="76"/>
      <c r="M1677" s="26">
        <v>18320</v>
      </c>
      <c r="N1677" s="26"/>
      <c r="O1677" s="26">
        <f t="shared" si="291"/>
        <v>18320</v>
      </c>
      <c r="P1677" s="76"/>
      <c r="Q1677" s="26">
        <f>I1677+M1677</f>
        <v>18320</v>
      </c>
      <c r="R1677" s="26">
        <f t="shared" si="301"/>
        <v>0</v>
      </c>
      <c r="S1677" s="26">
        <f t="shared" si="301"/>
        <v>18320</v>
      </c>
    </row>
    <row r="1681" spans="2:19" ht="27" x14ac:dyDescent="0.35">
      <c r="B1681" s="234" t="s">
        <v>312</v>
      </c>
      <c r="C1681" s="235"/>
      <c r="D1681" s="235"/>
      <c r="E1681" s="235"/>
      <c r="F1681" s="235"/>
      <c r="G1681" s="235"/>
      <c r="H1681" s="235"/>
      <c r="I1681" s="235"/>
      <c r="J1681" s="235"/>
      <c r="K1681" s="235"/>
      <c r="L1681" s="235"/>
      <c r="M1681" s="235"/>
      <c r="N1681" s="235"/>
      <c r="O1681" s="235"/>
      <c r="P1681" s="235"/>
      <c r="Q1681" s="235"/>
    </row>
    <row r="1682" spans="2:19" x14ac:dyDescent="0.2">
      <c r="B1682" s="236" t="s">
        <v>285</v>
      </c>
      <c r="C1682" s="237"/>
      <c r="D1682" s="237"/>
      <c r="E1682" s="237"/>
      <c r="F1682" s="237"/>
      <c r="G1682" s="237"/>
      <c r="H1682" s="237"/>
      <c r="I1682" s="237"/>
      <c r="J1682" s="237"/>
      <c r="K1682" s="237"/>
      <c r="L1682" s="237"/>
      <c r="M1682" s="237"/>
      <c r="N1682" s="182"/>
      <c r="O1682" s="182"/>
      <c r="P1682" s="183"/>
      <c r="Q1682" s="222" t="s">
        <v>602</v>
      </c>
      <c r="R1682" s="222" t="s">
        <v>657</v>
      </c>
      <c r="S1682" s="222" t="s">
        <v>602</v>
      </c>
    </row>
    <row r="1683" spans="2:19" x14ac:dyDescent="0.2">
      <c r="B1683" s="238" t="s">
        <v>113</v>
      </c>
      <c r="C1683" s="225" t="s">
        <v>121</v>
      </c>
      <c r="D1683" s="225" t="s">
        <v>122</v>
      </c>
      <c r="E1683" s="231" t="s">
        <v>126</v>
      </c>
      <c r="F1683" s="225" t="s">
        <v>123</v>
      </c>
      <c r="G1683" s="225" t="s">
        <v>124</v>
      </c>
      <c r="H1683" s="240" t="s">
        <v>125</v>
      </c>
      <c r="I1683" s="222" t="s">
        <v>599</v>
      </c>
      <c r="J1683" s="222" t="s">
        <v>657</v>
      </c>
      <c r="K1683" s="222" t="s">
        <v>659</v>
      </c>
      <c r="L1683" s="168"/>
      <c r="M1683" s="222" t="s">
        <v>600</v>
      </c>
      <c r="N1683" s="222" t="s">
        <v>657</v>
      </c>
      <c r="O1683" s="222" t="s">
        <v>660</v>
      </c>
      <c r="P1683" s="169"/>
      <c r="Q1683" s="223"/>
      <c r="R1683" s="223"/>
      <c r="S1683" s="223"/>
    </row>
    <row r="1684" spans="2:19" x14ac:dyDescent="0.2">
      <c r="B1684" s="238"/>
      <c r="C1684" s="225"/>
      <c r="D1684" s="225"/>
      <c r="E1684" s="232"/>
      <c r="F1684" s="225"/>
      <c r="G1684" s="225"/>
      <c r="H1684" s="240"/>
      <c r="I1684" s="223"/>
      <c r="J1684" s="223"/>
      <c r="K1684" s="223"/>
      <c r="L1684" s="169"/>
      <c r="M1684" s="223"/>
      <c r="N1684" s="223"/>
      <c r="O1684" s="223"/>
      <c r="P1684" s="169"/>
      <c r="Q1684" s="223"/>
      <c r="R1684" s="223"/>
      <c r="S1684" s="223"/>
    </row>
    <row r="1685" spans="2:19" x14ac:dyDescent="0.2">
      <c r="B1685" s="238"/>
      <c r="C1685" s="225"/>
      <c r="D1685" s="225"/>
      <c r="E1685" s="232"/>
      <c r="F1685" s="225"/>
      <c r="G1685" s="225"/>
      <c r="H1685" s="240"/>
      <c r="I1685" s="223"/>
      <c r="J1685" s="223"/>
      <c r="K1685" s="223"/>
      <c r="L1685" s="169"/>
      <c r="M1685" s="223"/>
      <c r="N1685" s="223"/>
      <c r="O1685" s="223"/>
      <c r="P1685" s="169"/>
      <c r="Q1685" s="223"/>
      <c r="R1685" s="223"/>
      <c r="S1685" s="223"/>
    </row>
    <row r="1686" spans="2:19" ht="13.5" thickBot="1" x14ac:dyDescent="0.25">
      <c r="B1686" s="239"/>
      <c r="C1686" s="226"/>
      <c r="D1686" s="226"/>
      <c r="E1686" s="233"/>
      <c r="F1686" s="226"/>
      <c r="G1686" s="226"/>
      <c r="H1686" s="241"/>
      <c r="I1686" s="224"/>
      <c r="J1686" s="224"/>
      <c r="K1686" s="224"/>
      <c r="L1686" s="170"/>
      <c r="M1686" s="224"/>
      <c r="N1686" s="224"/>
      <c r="O1686" s="224"/>
      <c r="P1686" s="170"/>
      <c r="Q1686" s="224"/>
      <c r="R1686" s="224"/>
      <c r="S1686" s="224"/>
    </row>
    <row r="1687" spans="2:19" ht="16.5" thickTop="1" x14ac:dyDescent="0.2">
      <c r="B1687" s="75">
        <f t="shared" ref="B1687:B1750" si="302">B1686+1</f>
        <v>1</v>
      </c>
      <c r="C1687" s="242" t="s">
        <v>312</v>
      </c>
      <c r="D1687" s="243"/>
      <c r="E1687" s="243"/>
      <c r="F1687" s="243"/>
      <c r="G1687" s="243"/>
      <c r="H1687" s="244"/>
      <c r="I1687" s="44">
        <f>I1758+I1747+I1744+I1740+I1730+I1688</f>
        <v>3654700</v>
      </c>
      <c r="J1687" s="44">
        <f>J1758+J1747+J1744+J1740+J1730+J1688</f>
        <v>0</v>
      </c>
      <c r="K1687" s="44">
        <f t="shared" ref="K1687:K1750" si="303">I1687+J1687</f>
        <v>3654700</v>
      </c>
      <c r="L1687" s="171"/>
      <c r="M1687" s="44">
        <f>M1758+M1747+M1744+M1740+M1730+M1688</f>
        <v>119160</v>
      </c>
      <c r="N1687" s="44">
        <f>N1758+N1747+N1744+N1740+N1730+N1688</f>
        <v>0</v>
      </c>
      <c r="O1687" s="44">
        <f t="shared" ref="O1687:O1750" si="304">M1687+N1687</f>
        <v>119160</v>
      </c>
      <c r="P1687" s="171"/>
      <c r="Q1687" s="44">
        <f>I1687+M1687</f>
        <v>3773860</v>
      </c>
      <c r="R1687" s="44">
        <f t="shared" ref="R1687:S1691" si="305">J1687+N1687</f>
        <v>0</v>
      </c>
      <c r="S1687" s="44">
        <f t="shared" si="305"/>
        <v>3773860</v>
      </c>
    </row>
    <row r="1688" spans="2:19" ht="15" x14ac:dyDescent="0.2">
      <c r="B1688" s="75">
        <f t="shared" si="302"/>
        <v>2</v>
      </c>
      <c r="C1688" s="164">
        <v>1</v>
      </c>
      <c r="D1688" s="230" t="s">
        <v>207</v>
      </c>
      <c r="E1688" s="228"/>
      <c r="F1688" s="228"/>
      <c r="G1688" s="228"/>
      <c r="H1688" s="229"/>
      <c r="I1688" s="45">
        <f>I1689+I1706+I1691</f>
        <v>603480</v>
      </c>
      <c r="J1688" s="45">
        <f>J1689+J1706+J1691</f>
        <v>0</v>
      </c>
      <c r="K1688" s="45">
        <f t="shared" si="303"/>
        <v>603480</v>
      </c>
      <c r="L1688" s="172"/>
      <c r="M1688" s="45">
        <f>M1689+M1699+M1696</f>
        <v>38100</v>
      </c>
      <c r="N1688" s="45">
        <f>N1689+N1699+N1696</f>
        <v>0</v>
      </c>
      <c r="O1688" s="45">
        <f t="shared" si="304"/>
        <v>38100</v>
      </c>
      <c r="P1688" s="172"/>
      <c r="Q1688" s="45">
        <f>I1688+M1688</f>
        <v>641580</v>
      </c>
      <c r="R1688" s="45">
        <f t="shared" si="305"/>
        <v>0</v>
      </c>
      <c r="S1688" s="45">
        <f t="shared" si="305"/>
        <v>641580</v>
      </c>
    </row>
    <row r="1689" spans="2:19" x14ac:dyDescent="0.2">
      <c r="B1689" s="75">
        <f t="shared" si="302"/>
        <v>3</v>
      </c>
      <c r="C1689" s="15"/>
      <c r="D1689" s="15"/>
      <c r="E1689" s="15"/>
      <c r="F1689" s="52" t="s">
        <v>15</v>
      </c>
      <c r="G1689" s="15">
        <v>630</v>
      </c>
      <c r="H1689" s="15" t="s">
        <v>129</v>
      </c>
      <c r="I1689" s="49">
        <f>I1690</f>
        <v>50000</v>
      </c>
      <c r="J1689" s="49">
        <f>J1690</f>
        <v>0</v>
      </c>
      <c r="K1689" s="49">
        <f t="shared" si="303"/>
        <v>50000</v>
      </c>
      <c r="L1689" s="123"/>
      <c r="M1689" s="49">
        <v>0</v>
      </c>
      <c r="N1689" s="49">
        <v>0</v>
      </c>
      <c r="O1689" s="49">
        <f t="shared" si="304"/>
        <v>0</v>
      </c>
      <c r="P1689" s="123"/>
      <c r="Q1689" s="49">
        <f>I1689+M1689</f>
        <v>50000</v>
      </c>
      <c r="R1689" s="49">
        <f t="shared" si="305"/>
        <v>0</v>
      </c>
      <c r="S1689" s="49">
        <f t="shared" si="305"/>
        <v>50000</v>
      </c>
    </row>
    <row r="1690" spans="2:19" x14ac:dyDescent="0.2">
      <c r="B1690" s="75">
        <f t="shared" si="302"/>
        <v>4</v>
      </c>
      <c r="C1690" s="4"/>
      <c r="D1690" s="4"/>
      <c r="E1690" s="4"/>
      <c r="F1690" s="53" t="s">
        <v>15</v>
      </c>
      <c r="G1690" s="4">
        <v>635</v>
      </c>
      <c r="H1690" s="4" t="s">
        <v>425</v>
      </c>
      <c r="I1690" s="26">
        <v>50000</v>
      </c>
      <c r="J1690" s="26"/>
      <c r="K1690" s="26">
        <f t="shared" si="303"/>
        <v>50000</v>
      </c>
      <c r="L1690" s="76"/>
      <c r="M1690" s="26"/>
      <c r="N1690" s="26"/>
      <c r="O1690" s="26">
        <f t="shared" si="304"/>
        <v>0</v>
      </c>
      <c r="P1690" s="76"/>
      <c r="Q1690" s="26">
        <f>I1690+M1690</f>
        <v>50000</v>
      </c>
      <c r="R1690" s="26">
        <f t="shared" si="305"/>
        <v>0</v>
      </c>
      <c r="S1690" s="26">
        <f t="shared" si="305"/>
        <v>50000</v>
      </c>
    </row>
    <row r="1691" spans="2:19" x14ac:dyDescent="0.2">
      <c r="B1691" s="75">
        <f t="shared" si="302"/>
        <v>5</v>
      </c>
      <c r="C1691" s="4"/>
      <c r="D1691" s="4"/>
      <c r="E1691" s="4"/>
      <c r="F1691" s="52" t="s">
        <v>206</v>
      </c>
      <c r="G1691" s="15">
        <v>630</v>
      </c>
      <c r="H1691" s="15" t="s">
        <v>129</v>
      </c>
      <c r="I1691" s="49">
        <f>I1692+I1693+I1694+I1695</f>
        <v>249375</v>
      </c>
      <c r="J1691" s="49">
        <f>J1692+J1693+J1694+J1695</f>
        <v>0</v>
      </c>
      <c r="K1691" s="49">
        <f t="shared" si="303"/>
        <v>249375</v>
      </c>
      <c r="L1691" s="123"/>
      <c r="M1691" s="49">
        <v>0</v>
      </c>
      <c r="N1691" s="49">
        <v>0</v>
      </c>
      <c r="O1691" s="49">
        <f t="shared" si="304"/>
        <v>0</v>
      </c>
      <c r="P1691" s="123"/>
      <c r="Q1691" s="49">
        <f>I1691+M1691</f>
        <v>249375</v>
      </c>
      <c r="R1691" s="49">
        <f t="shared" si="305"/>
        <v>0</v>
      </c>
      <c r="S1691" s="49">
        <f t="shared" si="305"/>
        <v>249375</v>
      </c>
    </row>
    <row r="1692" spans="2:19" x14ac:dyDescent="0.2">
      <c r="B1692" s="75">
        <f t="shared" si="302"/>
        <v>6</v>
      </c>
      <c r="C1692" s="4"/>
      <c r="D1692" s="4"/>
      <c r="E1692" s="4"/>
      <c r="F1692" s="53" t="s">
        <v>206</v>
      </c>
      <c r="G1692" s="4">
        <v>635</v>
      </c>
      <c r="H1692" s="4" t="s">
        <v>634</v>
      </c>
      <c r="I1692" s="26">
        <v>11275</v>
      </c>
      <c r="J1692" s="26"/>
      <c r="K1692" s="26">
        <f t="shared" si="303"/>
        <v>11275</v>
      </c>
      <c r="L1692" s="76"/>
      <c r="M1692" s="26"/>
      <c r="N1692" s="26"/>
      <c r="O1692" s="26">
        <f t="shared" si="304"/>
        <v>0</v>
      </c>
      <c r="P1692" s="76"/>
      <c r="Q1692" s="26"/>
      <c r="R1692" s="26"/>
      <c r="S1692" s="26"/>
    </row>
    <row r="1693" spans="2:19" x14ac:dyDescent="0.2">
      <c r="B1693" s="75">
        <f t="shared" si="302"/>
        <v>7</v>
      </c>
      <c r="C1693" s="4"/>
      <c r="D1693" s="4"/>
      <c r="E1693" s="4"/>
      <c r="F1693" s="53" t="s">
        <v>206</v>
      </c>
      <c r="G1693" s="4">
        <v>635</v>
      </c>
      <c r="H1693" s="4" t="s">
        <v>635</v>
      </c>
      <c r="I1693" s="26">
        <v>51750</v>
      </c>
      <c r="J1693" s="26"/>
      <c r="K1693" s="26">
        <f t="shared" si="303"/>
        <v>51750</v>
      </c>
      <c r="L1693" s="76"/>
      <c r="M1693" s="26"/>
      <c r="N1693" s="26"/>
      <c r="O1693" s="26">
        <f t="shared" si="304"/>
        <v>0</v>
      </c>
      <c r="P1693" s="76"/>
      <c r="Q1693" s="26"/>
      <c r="R1693" s="26"/>
      <c r="S1693" s="26"/>
    </row>
    <row r="1694" spans="2:19" x14ac:dyDescent="0.2">
      <c r="B1694" s="75">
        <f t="shared" si="302"/>
        <v>8</v>
      </c>
      <c r="C1694" s="4"/>
      <c r="D1694" s="4"/>
      <c r="E1694" s="4"/>
      <c r="F1694" s="53" t="s">
        <v>206</v>
      </c>
      <c r="G1694" s="4">
        <v>635</v>
      </c>
      <c r="H1694" s="4" t="s">
        <v>636</v>
      </c>
      <c r="I1694" s="26">
        <v>63850</v>
      </c>
      <c r="J1694" s="26"/>
      <c r="K1694" s="26">
        <f t="shared" si="303"/>
        <v>63850</v>
      </c>
      <c r="L1694" s="76"/>
      <c r="M1694" s="26"/>
      <c r="N1694" s="26"/>
      <c r="O1694" s="26">
        <f t="shared" si="304"/>
        <v>0</v>
      </c>
      <c r="P1694" s="76"/>
      <c r="Q1694" s="26"/>
      <c r="R1694" s="26"/>
      <c r="S1694" s="26"/>
    </row>
    <row r="1695" spans="2:19" x14ac:dyDescent="0.2">
      <c r="B1695" s="75">
        <f t="shared" si="302"/>
        <v>9</v>
      </c>
      <c r="C1695" s="4"/>
      <c r="D1695" s="4"/>
      <c r="E1695" s="4"/>
      <c r="F1695" s="53" t="s">
        <v>206</v>
      </c>
      <c r="G1695" s="4">
        <v>635</v>
      </c>
      <c r="H1695" s="4" t="s">
        <v>637</v>
      </c>
      <c r="I1695" s="26">
        <v>122500</v>
      </c>
      <c r="J1695" s="26"/>
      <c r="K1695" s="26">
        <f t="shared" si="303"/>
        <v>122500</v>
      </c>
      <c r="L1695" s="76"/>
      <c r="M1695" s="26"/>
      <c r="N1695" s="26"/>
      <c r="O1695" s="26">
        <f t="shared" si="304"/>
        <v>0</v>
      </c>
      <c r="P1695" s="76"/>
      <c r="Q1695" s="26"/>
      <c r="R1695" s="26"/>
      <c r="S1695" s="26"/>
    </row>
    <row r="1696" spans="2:19" x14ac:dyDescent="0.2">
      <c r="B1696" s="75">
        <f t="shared" si="302"/>
        <v>10</v>
      </c>
      <c r="C1696" s="4"/>
      <c r="D1696" s="4"/>
      <c r="E1696" s="4"/>
      <c r="F1696" s="52" t="s">
        <v>15</v>
      </c>
      <c r="G1696" s="15">
        <v>710</v>
      </c>
      <c r="H1696" s="15" t="s">
        <v>185</v>
      </c>
      <c r="I1696" s="49">
        <v>0</v>
      </c>
      <c r="J1696" s="49">
        <v>0</v>
      </c>
      <c r="K1696" s="49">
        <f t="shared" si="303"/>
        <v>0</v>
      </c>
      <c r="L1696" s="123"/>
      <c r="M1696" s="49">
        <f>M1697</f>
        <v>2100</v>
      </c>
      <c r="N1696" s="49">
        <f>N1697</f>
        <v>0</v>
      </c>
      <c r="O1696" s="49">
        <f t="shared" si="304"/>
        <v>2100</v>
      </c>
      <c r="P1696" s="123"/>
      <c r="Q1696" s="49">
        <f>I1696+M1696</f>
        <v>2100</v>
      </c>
      <c r="R1696" s="49">
        <f t="shared" ref="R1696:S1697" si="306">J1696+N1696</f>
        <v>0</v>
      </c>
      <c r="S1696" s="49">
        <f t="shared" si="306"/>
        <v>2100</v>
      </c>
    </row>
    <row r="1697" spans="2:19" x14ac:dyDescent="0.2">
      <c r="B1697" s="75">
        <f t="shared" si="302"/>
        <v>11</v>
      </c>
      <c r="C1697" s="4"/>
      <c r="D1697" s="4"/>
      <c r="E1697" s="4"/>
      <c r="F1697" s="86" t="s">
        <v>15</v>
      </c>
      <c r="G1697" s="87">
        <v>717</v>
      </c>
      <c r="H1697" s="87" t="s">
        <v>195</v>
      </c>
      <c r="I1697" s="88"/>
      <c r="J1697" s="88"/>
      <c r="K1697" s="88">
        <f t="shared" si="303"/>
        <v>0</v>
      </c>
      <c r="L1697" s="76"/>
      <c r="M1697" s="88">
        <f>M1698</f>
        <v>2100</v>
      </c>
      <c r="N1697" s="88">
        <f>N1698</f>
        <v>0</v>
      </c>
      <c r="O1697" s="88">
        <f t="shared" si="304"/>
        <v>2100</v>
      </c>
      <c r="P1697" s="76"/>
      <c r="Q1697" s="88">
        <f>I1697+M1697</f>
        <v>2100</v>
      </c>
      <c r="R1697" s="88">
        <f t="shared" si="306"/>
        <v>0</v>
      </c>
      <c r="S1697" s="88">
        <f t="shared" si="306"/>
        <v>2100</v>
      </c>
    </row>
    <row r="1698" spans="2:19" x14ac:dyDescent="0.2">
      <c r="B1698" s="75">
        <f t="shared" si="302"/>
        <v>12</v>
      </c>
      <c r="C1698" s="4"/>
      <c r="D1698" s="4"/>
      <c r="E1698" s="4"/>
      <c r="F1698" s="53"/>
      <c r="G1698" s="4"/>
      <c r="H1698" s="4" t="s">
        <v>630</v>
      </c>
      <c r="I1698" s="26"/>
      <c r="J1698" s="26"/>
      <c r="K1698" s="26">
        <f t="shared" si="303"/>
        <v>0</v>
      </c>
      <c r="L1698" s="76"/>
      <c r="M1698" s="26">
        <v>2100</v>
      </c>
      <c r="N1698" s="26"/>
      <c r="O1698" s="26">
        <f t="shared" si="304"/>
        <v>2100</v>
      </c>
      <c r="P1698" s="76"/>
      <c r="Q1698" s="26"/>
      <c r="R1698" s="26"/>
      <c r="S1698" s="26"/>
    </row>
    <row r="1699" spans="2:19" x14ac:dyDescent="0.2">
      <c r="B1699" s="75">
        <f t="shared" si="302"/>
        <v>13</v>
      </c>
      <c r="C1699" s="4"/>
      <c r="D1699" s="4"/>
      <c r="E1699" s="4"/>
      <c r="F1699" s="52" t="s">
        <v>206</v>
      </c>
      <c r="G1699" s="15">
        <v>710</v>
      </c>
      <c r="H1699" s="15" t="s">
        <v>185</v>
      </c>
      <c r="I1699" s="49">
        <v>0</v>
      </c>
      <c r="J1699" s="49">
        <v>0</v>
      </c>
      <c r="K1699" s="49">
        <f t="shared" si="303"/>
        <v>0</v>
      </c>
      <c r="L1699" s="123"/>
      <c r="M1699" s="49">
        <f>M1700</f>
        <v>36000</v>
      </c>
      <c r="N1699" s="49">
        <f>N1700</f>
        <v>0</v>
      </c>
      <c r="O1699" s="49">
        <f t="shared" si="304"/>
        <v>36000</v>
      </c>
      <c r="P1699" s="123"/>
      <c r="Q1699" s="49">
        <f t="shared" ref="Q1699:Q1716" si="307">I1699+M1699</f>
        <v>36000</v>
      </c>
      <c r="R1699" s="49">
        <f t="shared" ref="R1699:S1714" si="308">J1699+N1699</f>
        <v>0</v>
      </c>
      <c r="S1699" s="49">
        <f t="shared" si="308"/>
        <v>36000</v>
      </c>
    </row>
    <row r="1700" spans="2:19" x14ac:dyDescent="0.2">
      <c r="B1700" s="75">
        <f t="shared" si="302"/>
        <v>14</v>
      </c>
      <c r="C1700" s="4"/>
      <c r="D1700" s="4"/>
      <c r="E1700" s="4"/>
      <c r="F1700" s="86" t="s">
        <v>206</v>
      </c>
      <c r="G1700" s="87">
        <v>717</v>
      </c>
      <c r="H1700" s="87" t="s">
        <v>195</v>
      </c>
      <c r="I1700" s="88"/>
      <c r="J1700" s="88"/>
      <c r="K1700" s="88">
        <f t="shared" si="303"/>
        <v>0</v>
      </c>
      <c r="L1700" s="76"/>
      <c r="M1700" s="88">
        <f>SUM(M1701:M1705)</f>
        <v>36000</v>
      </c>
      <c r="N1700" s="88">
        <f>SUM(N1701:N1705)</f>
        <v>0</v>
      </c>
      <c r="O1700" s="88">
        <f t="shared" si="304"/>
        <v>36000</v>
      </c>
      <c r="P1700" s="76"/>
      <c r="Q1700" s="88">
        <f t="shared" si="307"/>
        <v>36000</v>
      </c>
      <c r="R1700" s="88">
        <f t="shared" si="308"/>
        <v>0</v>
      </c>
      <c r="S1700" s="88">
        <f t="shared" si="308"/>
        <v>36000</v>
      </c>
    </row>
    <row r="1701" spans="2:19" x14ac:dyDescent="0.2">
      <c r="B1701" s="75">
        <f t="shared" si="302"/>
        <v>15</v>
      </c>
      <c r="C1701" s="79"/>
      <c r="D1701" s="79"/>
      <c r="E1701" s="79"/>
      <c r="F1701" s="154" t="s">
        <v>206</v>
      </c>
      <c r="G1701" s="150">
        <v>717</v>
      </c>
      <c r="H1701" s="150" t="s">
        <v>588</v>
      </c>
      <c r="I1701" s="146"/>
      <c r="J1701" s="146"/>
      <c r="K1701" s="146">
        <f t="shared" si="303"/>
        <v>0</v>
      </c>
      <c r="L1701" s="161"/>
      <c r="M1701" s="146">
        <v>7000</v>
      </c>
      <c r="N1701" s="146"/>
      <c r="O1701" s="146">
        <f t="shared" si="304"/>
        <v>7000</v>
      </c>
      <c r="P1701" s="161"/>
      <c r="Q1701" s="146">
        <f t="shared" si="307"/>
        <v>7000</v>
      </c>
      <c r="R1701" s="146">
        <f t="shared" si="308"/>
        <v>0</v>
      </c>
      <c r="S1701" s="146">
        <f t="shared" si="308"/>
        <v>7000</v>
      </c>
    </row>
    <row r="1702" spans="2:19" ht="24" x14ac:dyDescent="0.2">
      <c r="B1702" s="75">
        <f t="shared" si="302"/>
        <v>16</v>
      </c>
      <c r="C1702" s="79"/>
      <c r="D1702" s="79"/>
      <c r="E1702" s="79"/>
      <c r="F1702" s="154" t="s">
        <v>206</v>
      </c>
      <c r="G1702" s="150">
        <v>717</v>
      </c>
      <c r="H1702" s="151" t="s">
        <v>589</v>
      </c>
      <c r="I1702" s="146"/>
      <c r="J1702" s="146"/>
      <c r="K1702" s="146">
        <f t="shared" si="303"/>
        <v>0</v>
      </c>
      <c r="L1702" s="161"/>
      <c r="M1702" s="146">
        <v>10000</v>
      </c>
      <c r="N1702" s="146"/>
      <c r="O1702" s="146">
        <f t="shared" si="304"/>
        <v>10000</v>
      </c>
      <c r="P1702" s="161"/>
      <c r="Q1702" s="146">
        <f t="shared" si="307"/>
        <v>10000</v>
      </c>
      <c r="R1702" s="146">
        <f t="shared" si="308"/>
        <v>0</v>
      </c>
      <c r="S1702" s="146">
        <f t="shared" si="308"/>
        <v>10000</v>
      </c>
    </row>
    <row r="1703" spans="2:19" x14ac:dyDescent="0.2">
      <c r="B1703" s="75">
        <f t="shared" si="302"/>
        <v>17</v>
      </c>
      <c r="C1703" s="79"/>
      <c r="D1703" s="79"/>
      <c r="E1703" s="79"/>
      <c r="F1703" s="154" t="s">
        <v>206</v>
      </c>
      <c r="G1703" s="150">
        <v>717</v>
      </c>
      <c r="H1703" s="150" t="s">
        <v>590</v>
      </c>
      <c r="I1703" s="146"/>
      <c r="J1703" s="146"/>
      <c r="K1703" s="146">
        <f t="shared" si="303"/>
        <v>0</v>
      </c>
      <c r="L1703" s="161"/>
      <c r="M1703" s="146">
        <v>7000</v>
      </c>
      <c r="N1703" s="146"/>
      <c r="O1703" s="146">
        <f t="shared" si="304"/>
        <v>7000</v>
      </c>
      <c r="P1703" s="161"/>
      <c r="Q1703" s="146">
        <f t="shared" si="307"/>
        <v>7000</v>
      </c>
      <c r="R1703" s="146">
        <f t="shared" si="308"/>
        <v>0</v>
      </c>
      <c r="S1703" s="146">
        <f t="shared" si="308"/>
        <v>7000</v>
      </c>
    </row>
    <row r="1704" spans="2:19" ht="24" x14ac:dyDescent="0.2">
      <c r="B1704" s="75">
        <f t="shared" si="302"/>
        <v>18</v>
      </c>
      <c r="C1704" s="79"/>
      <c r="D1704" s="79"/>
      <c r="E1704" s="79"/>
      <c r="F1704" s="154" t="s">
        <v>206</v>
      </c>
      <c r="G1704" s="150">
        <v>717</v>
      </c>
      <c r="H1704" s="151" t="s">
        <v>591</v>
      </c>
      <c r="I1704" s="146"/>
      <c r="J1704" s="146"/>
      <c r="K1704" s="146">
        <f t="shared" si="303"/>
        <v>0</v>
      </c>
      <c r="L1704" s="161"/>
      <c r="M1704" s="146">
        <v>3000</v>
      </c>
      <c r="N1704" s="146"/>
      <c r="O1704" s="146">
        <f t="shared" si="304"/>
        <v>3000</v>
      </c>
      <c r="P1704" s="161"/>
      <c r="Q1704" s="146">
        <f t="shared" si="307"/>
        <v>3000</v>
      </c>
      <c r="R1704" s="146">
        <f t="shared" si="308"/>
        <v>0</v>
      </c>
      <c r="S1704" s="146">
        <f t="shared" si="308"/>
        <v>3000</v>
      </c>
    </row>
    <row r="1705" spans="2:19" x14ac:dyDescent="0.2">
      <c r="B1705" s="74">
        <f t="shared" si="302"/>
        <v>19</v>
      </c>
      <c r="C1705" s="79"/>
      <c r="D1705" s="79"/>
      <c r="E1705" s="79"/>
      <c r="F1705" s="154" t="s">
        <v>206</v>
      </c>
      <c r="G1705" s="150">
        <v>717</v>
      </c>
      <c r="H1705" s="150" t="s">
        <v>592</v>
      </c>
      <c r="I1705" s="146"/>
      <c r="J1705" s="146"/>
      <c r="K1705" s="146">
        <f t="shared" si="303"/>
        <v>0</v>
      </c>
      <c r="L1705" s="161"/>
      <c r="M1705" s="146">
        <v>9000</v>
      </c>
      <c r="N1705" s="146"/>
      <c r="O1705" s="146">
        <f t="shared" si="304"/>
        <v>9000</v>
      </c>
      <c r="P1705" s="161"/>
      <c r="Q1705" s="146">
        <f t="shared" si="307"/>
        <v>9000</v>
      </c>
      <c r="R1705" s="146">
        <f t="shared" si="308"/>
        <v>0</v>
      </c>
      <c r="S1705" s="146">
        <f t="shared" si="308"/>
        <v>9000</v>
      </c>
    </row>
    <row r="1706" spans="2:19" ht="15" x14ac:dyDescent="0.2">
      <c r="B1706" s="74">
        <f t="shared" si="302"/>
        <v>20</v>
      </c>
      <c r="C1706" s="155"/>
      <c r="D1706" s="155"/>
      <c r="E1706" s="155">
        <v>2</v>
      </c>
      <c r="F1706" s="156"/>
      <c r="G1706" s="155"/>
      <c r="H1706" s="155" t="s">
        <v>258</v>
      </c>
      <c r="I1706" s="157">
        <f>I1707+I1708+I1709+I1716+I1718+I1719+I1720+I1726+I1728</f>
        <v>304105</v>
      </c>
      <c r="J1706" s="157">
        <f>J1707+J1708+J1709+J1716+J1718+J1719+J1720+J1726+J1728</f>
        <v>0</v>
      </c>
      <c r="K1706" s="157">
        <f t="shared" si="303"/>
        <v>304105</v>
      </c>
      <c r="L1706" s="179"/>
      <c r="M1706" s="157">
        <v>0</v>
      </c>
      <c r="N1706" s="157">
        <v>0</v>
      </c>
      <c r="O1706" s="157">
        <f t="shared" si="304"/>
        <v>0</v>
      </c>
      <c r="P1706" s="179"/>
      <c r="Q1706" s="157">
        <f t="shared" si="307"/>
        <v>304105</v>
      </c>
      <c r="R1706" s="157">
        <f t="shared" si="308"/>
        <v>0</v>
      </c>
      <c r="S1706" s="157">
        <f t="shared" si="308"/>
        <v>304105</v>
      </c>
    </row>
    <row r="1707" spans="2:19" x14ac:dyDescent="0.2">
      <c r="B1707" s="75">
        <f t="shared" si="302"/>
        <v>21</v>
      </c>
      <c r="C1707" s="15"/>
      <c r="D1707" s="15"/>
      <c r="E1707" s="15"/>
      <c r="F1707" s="52" t="s">
        <v>15</v>
      </c>
      <c r="G1707" s="15">
        <v>610</v>
      </c>
      <c r="H1707" s="15" t="s">
        <v>137</v>
      </c>
      <c r="I1707" s="49">
        <f>23500+11920</f>
        <v>35420</v>
      </c>
      <c r="J1707" s="49"/>
      <c r="K1707" s="49">
        <f t="shared" si="303"/>
        <v>35420</v>
      </c>
      <c r="L1707" s="123"/>
      <c r="M1707" s="49"/>
      <c r="N1707" s="49"/>
      <c r="O1707" s="49">
        <f t="shared" si="304"/>
        <v>0</v>
      </c>
      <c r="P1707" s="123"/>
      <c r="Q1707" s="49">
        <f t="shared" si="307"/>
        <v>35420</v>
      </c>
      <c r="R1707" s="49">
        <f t="shared" si="308"/>
        <v>0</v>
      </c>
      <c r="S1707" s="49">
        <f t="shared" si="308"/>
        <v>35420</v>
      </c>
    </row>
    <row r="1708" spans="2:19" x14ac:dyDescent="0.2">
      <c r="B1708" s="75">
        <f t="shared" si="302"/>
        <v>22</v>
      </c>
      <c r="C1708" s="15"/>
      <c r="D1708" s="15"/>
      <c r="E1708" s="15"/>
      <c r="F1708" s="52" t="s">
        <v>15</v>
      </c>
      <c r="G1708" s="15">
        <v>620</v>
      </c>
      <c r="H1708" s="15" t="s">
        <v>132</v>
      </c>
      <c r="I1708" s="49">
        <f>8550+4520</f>
        <v>13070</v>
      </c>
      <c r="J1708" s="49"/>
      <c r="K1708" s="49">
        <f t="shared" si="303"/>
        <v>13070</v>
      </c>
      <c r="L1708" s="123"/>
      <c r="M1708" s="49"/>
      <c r="N1708" s="49"/>
      <c r="O1708" s="49">
        <f t="shared" si="304"/>
        <v>0</v>
      </c>
      <c r="P1708" s="123"/>
      <c r="Q1708" s="49">
        <f t="shared" si="307"/>
        <v>13070</v>
      </c>
      <c r="R1708" s="49">
        <f t="shared" si="308"/>
        <v>0</v>
      </c>
      <c r="S1708" s="49">
        <f t="shared" si="308"/>
        <v>13070</v>
      </c>
    </row>
    <row r="1709" spans="2:19" x14ac:dyDescent="0.2">
      <c r="B1709" s="75">
        <f t="shared" si="302"/>
        <v>23</v>
      </c>
      <c r="C1709" s="15"/>
      <c r="D1709" s="15"/>
      <c r="E1709" s="15"/>
      <c r="F1709" s="52" t="s">
        <v>15</v>
      </c>
      <c r="G1709" s="15">
        <v>630</v>
      </c>
      <c r="H1709" s="15" t="s">
        <v>129</v>
      </c>
      <c r="I1709" s="49">
        <f>I1715+I1714+I1713+I1712+I1711+I1710</f>
        <v>27430</v>
      </c>
      <c r="J1709" s="49">
        <f>J1715+J1714+J1713+J1712+J1711+J1710</f>
        <v>-70</v>
      </c>
      <c r="K1709" s="49">
        <f t="shared" si="303"/>
        <v>27360</v>
      </c>
      <c r="L1709" s="123"/>
      <c r="M1709" s="49">
        <f>M1715+M1714+M1713+M1712+M1711+M1710</f>
        <v>0</v>
      </c>
      <c r="N1709" s="49">
        <f>N1715+N1714+N1713+N1712+N1711+N1710</f>
        <v>0</v>
      </c>
      <c r="O1709" s="49">
        <f t="shared" si="304"/>
        <v>0</v>
      </c>
      <c r="P1709" s="123"/>
      <c r="Q1709" s="49">
        <f t="shared" si="307"/>
        <v>27430</v>
      </c>
      <c r="R1709" s="49">
        <f t="shared" si="308"/>
        <v>-70</v>
      </c>
      <c r="S1709" s="49">
        <f t="shared" si="308"/>
        <v>27360</v>
      </c>
    </row>
    <row r="1710" spans="2:19" x14ac:dyDescent="0.2">
      <c r="B1710" s="75">
        <f t="shared" si="302"/>
        <v>24</v>
      </c>
      <c r="C1710" s="4"/>
      <c r="D1710" s="4"/>
      <c r="E1710" s="4"/>
      <c r="F1710" s="53" t="s">
        <v>15</v>
      </c>
      <c r="G1710" s="4">
        <v>631</v>
      </c>
      <c r="H1710" s="4" t="s">
        <v>135</v>
      </c>
      <c r="I1710" s="26">
        <v>50</v>
      </c>
      <c r="J1710" s="26"/>
      <c r="K1710" s="26">
        <f t="shared" si="303"/>
        <v>50</v>
      </c>
      <c r="L1710" s="76"/>
      <c r="M1710" s="26"/>
      <c r="N1710" s="26"/>
      <c r="O1710" s="26">
        <f t="shared" si="304"/>
        <v>0</v>
      </c>
      <c r="P1710" s="76"/>
      <c r="Q1710" s="26">
        <f t="shared" si="307"/>
        <v>50</v>
      </c>
      <c r="R1710" s="26">
        <f t="shared" si="308"/>
        <v>0</v>
      </c>
      <c r="S1710" s="26">
        <f t="shared" si="308"/>
        <v>50</v>
      </c>
    </row>
    <row r="1711" spans="2:19" x14ac:dyDescent="0.2">
      <c r="B1711" s="75">
        <f t="shared" si="302"/>
        <v>25</v>
      </c>
      <c r="C1711" s="4"/>
      <c r="D1711" s="4"/>
      <c r="E1711" s="4"/>
      <c r="F1711" s="53" t="s">
        <v>15</v>
      </c>
      <c r="G1711" s="4">
        <v>632</v>
      </c>
      <c r="H1711" s="4" t="s">
        <v>140</v>
      </c>
      <c r="I1711" s="26">
        <v>3350</v>
      </c>
      <c r="J1711" s="26"/>
      <c r="K1711" s="26">
        <f t="shared" si="303"/>
        <v>3350</v>
      </c>
      <c r="L1711" s="76"/>
      <c r="M1711" s="26"/>
      <c r="N1711" s="26"/>
      <c r="O1711" s="26">
        <f t="shared" si="304"/>
        <v>0</v>
      </c>
      <c r="P1711" s="76"/>
      <c r="Q1711" s="26">
        <f t="shared" si="307"/>
        <v>3350</v>
      </c>
      <c r="R1711" s="26">
        <f t="shared" si="308"/>
        <v>0</v>
      </c>
      <c r="S1711" s="26">
        <f t="shared" si="308"/>
        <v>3350</v>
      </c>
    </row>
    <row r="1712" spans="2:19" x14ac:dyDescent="0.2">
      <c r="B1712" s="75">
        <f t="shared" si="302"/>
        <v>26</v>
      </c>
      <c r="C1712" s="4"/>
      <c r="D1712" s="4"/>
      <c r="E1712" s="4"/>
      <c r="F1712" s="53" t="s">
        <v>15</v>
      </c>
      <c r="G1712" s="4">
        <v>633</v>
      </c>
      <c r="H1712" s="4" t="s">
        <v>133</v>
      </c>
      <c r="I1712" s="26">
        <f>7600+3020</f>
        <v>10620</v>
      </c>
      <c r="J1712" s="26"/>
      <c r="K1712" s="26">
        <f t="shared" si="303"/>
        <v>10620</v>
      </c>
      <c r="L1712" s="76"/>
      <c r="M1712" s="26"/>
      <c r="N1712" s="26"/>
      <c r="O1712" s="26">
        <f t="shared" si="304"/>
        <v>0</v>
      </c>
      <c r="P1712" s="76"/>
      <c r="Q1712" s="26">
        <f t="shared" si="307"/>
        <v>10620</v>
      </c>
      <c r="R1712" s="26">
        <f t="shared" si="308"/>
        <v>0</v>
      </c>
      <c r="S1712" s="26">
        <f t="shared" si="308"/>
        <v>10620</v>
      </c>
    </row>
    <row r="1713" spans="2:19" x14ac:dyDescent="0.2">
      <c r="B1713" s="75">
        <f t="shared" si="302"/>
        <v>27</v>
      </c>
      <c r="C1713" s="4"/>
      <c r="D1713" s="4"/>
      <c r="E1713" s="4"/>
      <c r="F1713" s="53" t="s">
        <v>15</v>
      </c>
      <c r="G1713" s="4">
        <v>634</v>
      </c>
      <c r="H1713" s="4" t="s">
        <v>138</v>
      </c>
      <c r="I1713" s="26">
        <v>2670</v>
      </c>
      <c r="J1713" s="26"/>
      <c r="K1713" s="26">
        <f t="shared" si="303"/>
        <v>2670</v>
      </c>
      <c r="L1713" s="76"/>
      <c r="M1713" s="26"/>
      <c r="N1713" s="26"/>
      <c r="O1713" s="26">
        <f t="shared" si="304"/>
        <v>0</v>
      </c>
      <c r="P1713" s="76"/>
      <c r="Q1713" s="26">
        <f t="shared" si="307"/>
        <v>2670</v>
      </c>
      <c r="R1713" s="26">
        <f t="shared" si="308"/>
        <v>0</v>
      </c>
      <c r="S1713" s="26">
        <f t="shared" si="308"/>
        <v>2670</v>
      </c>
    </row>
    <row r="1714" spans="2:19" x14ac:dyDescent="0.2">
      <c r="B1714" s="75">
        <f t="shared" si="302"/>
        <v>28</v>
      </c>
      <c r="C1714" s="4"/>
      <c r="D1714" s="4"/>
      <c r="E1714" s="4"/>
      <c r="F1714" s="53" t="s">
        <v>15</v>
      </c>
      <c r="G1714" s="4">
        <v>635</v>
      </c>
      <c r="H1714" s="4" t="s">
        <v>139</v>
      </c>
      <c r="I1714" s="26">
        <v>1300</v>
      </c>
      <c r="J1714" s="26"/>
      <c r="K1714" s="26">
        <f t="shared" si="303"/>
        <v>1300</v>
      </c>
      <c r="L1714" s="76"/>
      <c r="M1714" s="26"/>
      <c r="N1714" s="26"/>
      <c r="O1714" s="26">
        <f t="shared" si="304"/>
        <v>0</v>
      </c>
      <c r="P1714" s="76"/>
      <c r="Q1714" s="26">
        <f t="shared" si="307"/>
        <v>1300</v>
      </c>
      <c r="R1714" s="26">
        <f t="shared" si="308"/>
        <v>0</v>
      </c>
      <c r="S1714" s="26">
        <f t="shared" si="308"/>
        <v>1300</v>
      </c>
    </row>
    <row r="1715" spans="2:19" x14ac:dyDescent="0.2">
      <c r="B1715" s="75">
        <f t="shared" si="302"/>
        <v>29</v>
      </c>
      <c r="C1715" s="4"/>
      <c r="D1715" s="4"/>
      <c r="E1715" s="4"/>
      <c r="F1715" s="53" t="s">
        <v>15</v>
      </c>
      <c r="G1715" s="4">
        <v>637</v>
      </c>
      <c r="H1715" s="4" t="s">
        <v>130</v>
      </c>
      <c r="I1715" s="26">
        <f>7900+1540</f>
        <v>9440</v>
      </c>
      <c r="J1715" s="26">
        <v>-70</v>
      </c>
      <c r="K1715" s="26">
        <f t="shared" si="303"/>
        <v>9370</v>
      </c>
      <c r="L1715" s="76"/>
      <c r="M1715" s="26"/>
      <c r="N1715" s="26"/>
      <c r="O1715" s="26">
        <f t="shared" si="304"/>
        <v>0</v>
      </c>
      <c r="P1715" s="76"/>
      <c r="Q1715" s="26">
        <f t="shared" si="307"/>
        <v>9440</v>
      </c>
      <c r="R1715" s="26">
        <f t="shared" ref="R1715:S1716" si="309">J1715+N1715</f>
        <v>-70</v>
      </c>
      <c r="S1715" s="26">
        <f t="shared" si="309"/>
        <v>9370</v>
      </c>
    </row>
    <row r="1716" spans="2:19" x14ac:dyDescent="0.2">
      <c r="B1716" s="75">
        <f t="shared" si="302"/>
        <v>30</v>
      </c>
      <c r="C1716" s="15"/>
      <c r="D1716" s="15"/>
      <c r="E1716" s="15"/>
      <c r="F1716" s="52" t="s">
        <v>15</v>
      </c>
      <c r="G1716" s="15">
        <v>640</v>
      </c>
      <c r="H1716" s="15" t="s">
        <v>136</v>
      </c>
      <c r="I1716" s="49">
        <v>190</v>
      </c>
      <c r="J1716" s="49">
        <v>70</v>
      </c>
      <c r="K1716" s="49">
        <f t="shared" si="303"/>
        <v>260</v>
      </c>
      <c r="L1716" s="123"/>
      <c r="M1716" s="49"/>
      <c r="N1716" s="49"/>
      <c r="O1716" s="49">
        <f t="shared" si="304"/>
        <v>0</v>
      </c>
      <c r="P1716" s="123"/>
      <c r="Q1716" s="49">
        <f t="shared" si="307"/>
        <v>190</v>
      </c>
      <c r="R1716" s="49">
        <f t="shared" si="309"/>
        <v>70</v>
      </c>
      <c r="S1716" s="49">
        <f t="shared" si="309"/>
        <v>260</v>
      </c>
    </row>
    <row r="1717" spans="2:19" x14ac:dyDescent="0.2">
      <c r="B1717" s="75">
        <f t="shared" si="302"/>
        <v>31</v>
      </c>
      <c r="C1717" s="15"/>
      <c r="D1717" s="15"/>
      <c r="E1717" s="15"/>
      <c r="F1717" s="52"/>
      <c r="G1717" s="15"/>
      <c r="H1717" s="15"/>
      <c r="I1717" s="49"/>
      <c r="J1717" s="49"/>
      <c r="K1717" s="49">
        <f t="shared" si="303"/>
        <v>0</v>
      </c>
      <c r="L1717" s="123"/>
      <c r="M1717" s="49"/>
      <c r="N1717" s="49"/>
      <c r="O1717" s="49">
        <f t="shared" si="304"/>
        <v>0</v>
      </c>
      <c r="P1717" s="123"/>
      <c r="Q1717" s="49"/>
      <c r="R1717" s="49"/>
      <c r="S1717" s="49"/>
    </row>
    <row r="1718" spans="2:19" x14ac:dyDescent="0.2">
      <c r="B1718" s="75">
        <f t="shared" si="302"/>
        <v>32</v>
      </c>
      <c r="C1718" s="15"/>
      <c r="D1718" s="15"/>
      <c r="E1718" s="15"/>
      <c r="F1718" s="52" t="s">
        <v>206</v>
      </c>
      <c r="G1718" s="15">
        <v>610</v>
      </c>
      <c r="H1718" s="15" t="s">
        <v>137</v>
      </c>
      <c r="I1718" s="49">
        <v>66300</v>
      </c>
      <c r="J1718" s="49"/>
      <c r="K1718" s="49">
        <f t="shared" si="303"/>
        <v>66300</v>
      </c>
      <c r="L1718" s="123"/>
      <c r="M1718" s="49"/>
      <c r="N1718" s="49"/>
      <c r="O1718" s="49">
        <f t="shared" si="304"/>
        <v>0</v>
      </c>
      <c r="P1718" s="123"/>
      <c r="Q1718" s="49">
        <f t="shared" ref="Q1718:Q1726" si="310">I1718+M1718</f>
        <v>66300</v>
      </c>
      <c r="R1718" s="49">
        <f t="shared" ref="R1718:S1726" si="311">J1718+N1718</f>
        <v>0</v>
      </c>
      <c r="S1718" s="49">
        <f t="shared" si="311"/>
        <v>66300</v>
      </c>
    </row>
    <row r="1719" spans="2:19" x14ac:dyDescent="0.2">
      <c r="B1719" s="75">
        <f t="shared" si="302"/>
        <v>33</v>
      </c>
      <c r="C1719" s="15"/>
      <c r="D1719" s="15"/>
      <c r="E1719" s="15"/>
      <c r="F1719" s="52" t="s">
        <v>206</v>
      </c>
      <c r="G1719" s="15">
        <v>620</v>
      </c>
      <c r="H1719" s="15" t="s">
        <v>132</v>
      </c>
      <c r="I1719" s="49">
        <f>99020-72520</f>
        <v>26500</v>
      </c>
      <c r="J1719" s="49"/>
      <c r="K1719" s="49">
        <f t="shared" si="303"/>
        <v>26500</v>
      </c>
      <c r="L1719" s="123"/>
      <c r="M1719" s="49"/>
      <c r="N1719" s="49"/>
      <c r="O1719" s="49">
        <f t="shared" si="304"/>
        <v>0</v>
      </c>
      <c r="P1719" s="123"/>
      <c r="Q1719" s="49">
        <f t="shared" si="310"/>
        <v>26500</v>
      </c>
      <c r="R1719" s="49">
        <f t="shared" si="311"/>
        <v>0</v>
      </c>
      <c r="S1719" s="49">
        <f t="shared" si="311"/>
        <v>26500</v>
      </c>
    </row>
    <row r="1720" spans="2:19" x14ac:dyDescent="0.2">
      <c r="B1720" s="75">
        <f t="shared" si="302"/>
        <v>34</v>
      </c>
      <c r="C1720" s="15"/>
      <c r="D1720" s="15"/>
      <c r="E1720" s="15"/>
      <c r="F1720" s="52" t="s">
        <v>206</v>
      </c>
      <c r="G1720" s="15">
        <v>630</v>
      </c>
      <c r="H1720" s="15" t="s">
        <v>129</v>
      </c>
      <c r="I1720" s="49">
        <f>I1725+I1724+I1723+I1722+I1721</f>
        <v>74895</v>
      </c>
      <c r="J1720" s="49">
        <f>J1725+J1724+J1723+J1722+J1721</f>
        <v>0</v>
      </c>
      <c r="K1720" s="49">
        <f t="shared" si="303"/>
        <v>74895</v>
      </c>
      <c r="L1720" s="123"/>
      <c r="M1720" s="49">
        <f>M1725+M1724+M1723+M1722+M1721</f>
        <v>0</v>
      </c>
      <c r="N1720" s="49">
        <f>N1725+N1724+N1723+N1722+N1721</f>
        <v>0</v>
      </c>
      <c r="O1720" s="49">
        <f t="shared" si="304"/>
        <v>0</v>
      </c>
      <c r="P1720" s="123"/>
      <c r="Q1720" s="49">
        <f t="shared" si="310"/>
        <v>74895</v>
      </c>
      <c r="R1720" s="49">
        <f t="shared" si="311"/>
        <v>0</v>
      </c>
      <c r="S1720" s="49">
        <f t="shared" si="311"/>
        <v>74895</v>
      </c>
    </row>
    <row r="1721" spans="2:19" x14ac:dyDescent="0.2">
      <c r="B1721" s="75">
        <f t="shared" si="302"/>
        <v>35</v>
      </c>
      <c r="C1721" s="4"/>
      <c r="D1721" s="4"/>
      <c r="E1721" s="4"/>
      <c r="F1721" s="53" t="s">
        <v>206</v>
      </c>
      <c r="G1721" s="4">
        <v>633</v>
      </c>
      <c r="H1721" s="4" t="s">
        <v>133</v>
      </c>
      <c r="I1721" s="26">
        <f>26750-4000</f>
        <v>22750</v>
      </c>
      <c r="J1721" s="26"/>
      <c r="K1721" s="26">
        <f t="shared" si="303"/>
        <v>22750</v>
      </c>
      <c r="L1721" s="76"/>
      <c r="M1721" s="26"/>
      <c r="N1721" s="26"/>
      <c r="O1721" s="26">
        <f t="shared" si="304"/>
        <v>0</v>
      </c>
      <c r="P1721" s="76"/>
      <c r="Q1721" s="26">
        <f t="shared" si="310"/>
        <v>22750</v>
      </c>
      <c r="R1721" s="26">
        <f t="shared" si="311"/>
        <v>0</v>
      </c>
      <c r="S1721" s="26">
        <f t="shared" si="311"/>
        <v>22750</v>
      </c>
    </row>
    <row r="1722" spans="2:19" x14ac:dyDescent="0.2">
      <c r="B1722" s="75">
        <f t="shared" si="302"/>
        <v>36</v>
      </c>
      <c r="C1722" s="4"/>
      <c r="D1722" s="4"/>
      <c r="E1722" s="4"/>
      <c r="F1722" s="53" t="s">
        <v>206</v>
      </c>
      <c r="G1722" s="4">
        <v>634</v>
      </c>
      <c r="H1722" s="4" t="s">
        <v>138</v>
      </c>
      <c r="I1722" s="26">
        <v>20300</v>
      </c>
      <c r="J1722" s="26"/>
      <c r="K1722" s="26">
        <f t="shared" si="303"/>
        <v>20300</v>
      </c>
      <c r="L1722" s="76"/>
      <c r="M1722" s="26"/>
      <c r="N1722" s="26"/>
      <c r="O1722" s="26">
        <f t="shared" si="304"/>
        <v>0</v>
      </c>
      <c r="P1722" s="76"/>
      <c r="Q1722" s="26">
        <f t="shared" si="310"/>
        <v>20300</v>
      </c>
      <c r="R1722" s="26">
        <f t="shared" si="311"/>
        <v>0</v>
      </c>
      <c r="S1722" s="26">
        <f t="shared" si="311"/>
        <v>20300</v>
      </c>
    </row>
    <row r="1723" spans="2:19" x14ac:dyDescent="0.2">
      <c r="B1723" s="75">
        <f t="shared" si="302"/>
        <v>37</v>
      </c>
      <c r="C1723" s="4"/>
      <c r="D1723" s="4"/>
      <c r="E1723" s="4"/>
      <c r="F1723" s="53" t="s">
        <v>206</v>
      </c>
      <c r="G1723" s="4">
        <v>635</v>
      </c>
      <c r="H1723" s="4" t="s">
        <v>139</v>
      </c>
      <c r="I1723" s="26">
        <f>13000+278550-29000-249375</f>
        <v>13175</v>
      </c>
      <c r="J1723" s="26"/>
      <c r="K1723" s="26">
        <f t="shared" si="303"/>
        <v>13175</v>
      </c>
      <c r="L1723" s="76"/>
      <c r="M1723" s="26"/>
      <c r="N1723" s="26"/>
      <c r="O1723" s="26">
        <f t="shared" si="304"/>
        <v>0</v>
      </c>
      <c r="P1723" s="76"/>
      <c r="Q1723" s="26">
        <f t="shared" si="310"/>
        <v>13175</v>
      </c>
      <c r="R1723" s="26">
        <f t="shared" si="311"/>
        <v>0</v>
      </c>
      <c r="S1723" s="26">
        <f t="shared" si="311"/>
        <v>13175</v>
      </c>
    </row>
    <row r="1724" spans="2:19" x14ac:dyDescent="0.2">
      <c r="B1724" s="75">
        <f t="shared" si="302"/>
        <v>38</v>
      </c>
      <c r="C1724" s="4"/>
      <c r="D1724" s="4"/>
      <c r="E1724" s="4"/>
      <c r="F1724" s="53" t="s">
        <v>206</v>
      </c>
      <c r="G1724" s="4">
        <v>636</v>
      </c>
      <c r="H1724" s="4" t="s">
        <v>134</v>
      </c>
      <c r="I1724" s="26">
        <v>150</v>
      </c>
      <c r="J1724" s="26"/>
      <c r="K1724" s="26">
        <f t="shared" si="303"/>
        <v>150</v>
      </c>
      <c r="L1724" s="76"/>
      <c r="M1724" s="26"/>
      <c r="N1724" s="26"/>
      <c r="O1724" s="26">
        <f t="shared" si="304"/>
        <v>0</v>
      </c>
      <c r="P1724" s="76"/>
      <c r="Q1724" s="26">
        <f t="shared" si="310"/>
        <v>150</v>
      </c>
      <c r="R1724" s="26">
        <f t="shared" si="311"/>
        <v>0</v>
      </c>
      <c r="S1724" s="26">
        <f t="shared" si="311"/>
        <v>150</v>
      </c>
    </row>
    <row r="1725" spans="2:19" x14ac:dyDescent="0.2">
      <c r="B1725" s="75">
        <f t="shared" si="302"/>
        <v>39</v>
      </c>
      <c r="C1725" s="4"/>
      <c r="D1725" s="4"/>
      <c r="E1725" s="4"/>
      <c r="F1725" s="53" t="s">
        <v>206</v>
      </c>
      <c r="G1725" s="4">
        <v>637</v>
      </c>
      <c r="H1725" s="4" t="s">
        <v>130</v>
      </c>
      <c r="I1725" s="26">
        <f>230050-211530</f>
        <v>18520</v>
      </c>
      <c r="J1725" s="26"/>
      <c r="K1725" s="26">
        <f t="shared" si="303"/>
        <v>18520</v>
      </c>
      <c r="L1725" s="76"/>
      <c r="M1725" s="26"/>
      <c r="N1725" s="26"/>
      <c r="O1725" s="26">
        <f t="shared" si="304"/>
        <v>0</v>
      </c>
      <c r="P1725" s="76"/>
      <c r="Q1725" s="26">
        <f t="shared" si="310"/>
        <v>18520</v>
      </c>
      <c r="R1725" s="26">
        <f t="shared" si="311"/>
        <v>0</v>
      </c>
      <c r="S1725" s="26">
        <f t="shared" si="311"/>
        <v>18520</v>
      </c>
    </row>
    <row r="1726" spans="2:19" x14ac:dyDescent="0.2">
      <c r="B1726" s="75">
        <f t="shared" si="302"/>
        <v>40</v>
      </c>
      <c r="C1726" s="15"/>
      <c r="D1726" s="15"/>
      <c r="E1726" s="15"/>
      <c r="F1726" s="52" t="s">
        <v>206</v>
      </c>
      <c r="G1726" s="15">
        <v>640</v>
      </c>
      <c r="H1726" s="15" t="s">
        <v>136</v>
      </c>
      <c r="I1726" s="49">
        <v>300</v>
      </c>
      <c r="J1726" s="49"/>
      <c r="K1726" s="49">
        <f t="shared" si="303"/>
        <v>300</v>
      </c>
      <c r="L1726" s="123"/>
      <c r="M1726" s="49"/>
      <c r="N1726" s="49"/>
      <c r="O1726" s="49">
        <f t="shared" si="304"/>
        <v>0</v>
      </c>
      <c r="P1726" s="123"/>
      <c r="Q1726" s="49">
        <f t="shared" si="310"/>
        <v>300</v>
      </c>
      <c r="R1726" s="49">
        <f t="shared" si="311"/>
        <v>0</v>
      </c>
      <c r="S1726" s="49">
        <f t="shared" si="311"/>
        <v>300</v>
      </c>
    </row>
    <row r="1727" spans="2:19" x14ac:dyDescent="0.2">
      <c r="B1727" s="75">
        <f t="shared" si="302"/>
        <v>41</v>
      </c>
      <c r="C1727" s="15"/>
      <c r="D1727" s="15"/>
      <c r="E1727" s="15"/>
      <c r="F1727" s="52"/>
      <c r="G1727" s="15"/>
      <c r="H1727" s="15"/>
      <c r="I1727" s="49"/>
      <c r="J1727" s="49"/>
      <c r="K1727" s="49">
        <f t="shared" si="303"/>
        <v>0</v>
      </c>
      <c r="L1727" s="123"/>
      <c r="M1727" s="49"/>
      <c r="N1727" s="49"/>
      <c r="O1727" s="49">
        <f t="shared" si="304"/>
        <v>0</v>
      </c>
      <c r="P1727" s="123"/>
      <c r="Q1727" s="49"/>
      <c r="R1727" s="49"/>
      <c r="S1727" s="49"/>
    </row>
    <row r="1728" spans="2:19" x14ac:dyDescent="0.2">
      <c r="B1728" s="75">
        <f t="shared" si="302"/>
        <v>42</v>
      </c>
      <c r="C1728" s="15"/>
      <c r="D1728" s="15"/>
      <c r="E1728" s="15"/>
      <c r="F1728" s="52" t="s">
        <v>206</v>
      </c>
      <c r="G1728" s="15">
        <v>630</v>
      </c>
      <c r="H1728" s="15" t="s">
        <v>431</v>
      </c>
      <c r="I1728" s="49">
        <v>60000</v>
      </c>
      <c r="J1728" s="49"/>
      <c r="K1728" s="49">
        <f t="shared" si="303"/>
        <v>60000</v>
      </c>
      <c r="L1728" s="123"/>
      <c r="M1728" s="49"/>
      <c r="N1728" s="49"/>
      <c r="O1728" s="49">
        <f t="shared" si="304"/>
        <v>0</v>
      </c>
      <c r="P1728" s="123"/>
      <c r="Q1728" s="49">
        <f>I1728+M1728</f>
        <v>60000</v>
      </c>
      <c r="R1728" s="49">
        <f t="shared" ref="R1728:S1728" si="312">J1728+N1728</f>
        <v>0</v>
      </c>
      <c r="S1728" s="49">
        <f t="shared" si="312"/>
        <v>60000</v>
      </c>
    </row>
    <row r="1729" spans="2:19" x14ac:dyDescent="0.2">
      <c r="B1729" s="75">
        <f t="shared" si="302"/>
        <v>43</v>
      </c>
      <c r="C1729" s="15"/>
      <c r="D1729" s="15"/>
      <c r="E1729" s="15"/>
      <c r="F1729" s="52"/>
      <c r="G1729" s="15"/>
      <c r="H1729" s="15"/>
      <c r="I1729" s="49"/>
      <c r="J1729" s="49"/>
      <c r="K1729" s="49">
        <f t="shared" si="303"/>
        <v>0</v>
      </c>
      <c r="L1729" s="123"/>
      <c r="M1729" s="49"/>
      <c r="N1729" s="49"/>
      <c r="O1729" s="49">
        <f t="shared" si="304"/>
        <v>0</v>
      </c>
      <c r="P1729" s="123"/>
      <c r="Q1729" s="49"/>
      <c r="R1729" s="49"/>
      <c r="S1729" s="49"/>
    </row>
    <row r="1730" spans="2:19" ht="15" x14ac:dyDescent="0.2">
      <c r="B1730" s="75">
        <f t="shared" si="302"/>
        <v>44</v>
      </c>
      <c r="C1730" s="164">
        <v>2</v>
      </c>
      <c r="D1730" s="230" t="s">
        <v>147</v>
      </c>
      <c r="E1730" s="228"/>
      <c r="F1730" s="228"/>
      <c r="G1730" s="228"/>
      <c r="H1730" s="229"/>
      <c r="I1730" s="45">
        <f>I1731+I1734</f>
        <v>2824300</v>
      </c>
      <c r="J1730" s="45">
        <f>J1731+J1734</f>
        <v>0</v>
      </c>
      <c r="K1730" s="45">
        <f t="shared" si="303"/>
        <v>2824300</v>
      </c>
      <c r="L1730" s="172"/>
      <c r="M1730" s="45">
        <f>M1731+M1734</f>
        <v>65060</v>
      </c>
      <c r="N1730" s="45">
        <f>N1731+N1734</f>
        <v>0</v>
      </c>
      <c r="O1730" s="45">
        <f t="shared" si="304"/>
        <v>65060</v>
      </c>
      <c r="P1730" s="172"/>
      <c r="Q1730" s="45">
        <f t="shared" ref="Q1730:Q1745" si="313">I1730+M1730</f>
        <v>2889360</v>
      </c>
      <c r="R1730" s="45">
        <f t="shared" ref="R1730:S1745" si="314">J1730+N1730</f>
        <v>0</v>
      </c>
      <c r="S1730" s="45">
        <f t="shared" si="314"/>
        <v>2889360</v>
      </c>
    </row>
    <row r="1731" spans="2:19" ht="15" x14ac:dyDescent="0.25">
      <c r="B1731" s="75">
        <f t="shared" si="302"/>
        <v>45</v>
      </c>
      <c r="C1731" s="163"/>
      <c r="D1731" s="163">
        <v>1</v>
      </c>
      <c r="E1731" s="227" t="s">
        <v>146</v>
      </c>
      <c r="F1731" s="228"/>
      <c r="G1731" s="228"/>
      <c r="H1731" s="229"/>
      <c r="I1731" s="46">
        <f>I1732</f>
        <v>2822000</v>
      </c>
      <c r="J1731" s="46">
        <f>J1732</f>
        <v>0</v>
      </c>
      <c r="K1731" s="46">
        <f t="shared" si="303"/>
        <v>2822000</v>
      </c>
      <c r="L1731" s="173"/>
      <c r="M1731" s="46">
        <v>0</v>
      </c>
      <c r="N1731" s="46"/>
      <c r="O1731" s="46">
        <f t="shared" si="304"/>
        <v>0</v>
      </c>
      <c r="P1731" s="173"/>
      <c r="Q1731" s="46">
        <f t="shared" si="313"/>
        <v>2822000</v>
      </c>
      <c r="R1731" s="46">
        <f t="shared" si="314"/>
        <v>0</v>
      </c>
      <c r="S1731" s="46">
        <f t="shared" si="314"/>
        <v>2822000</v>
      </c>
    </row>
    <row r="1732" spans="2:19" x14ac:dyDescent="0.2">
      <c r="B1732" s="75">
        <f t="shared" si="302"/>
        <v>46</v>
      </c>
      <c r="C1732" s="15"/>
      <c r="D1732" s="15"/>
      <c r="E1732" s="15"/>
      <c r="F1732" s="52" t="s">
        <v>145</v>
      </c>
      <c r="G1732" s="15">
        <v>630</v>
      </c>
      <c r="H1732" s="15" t="s">
        <v>129</v>
      </c>
      <c r="I1732" s="49">
        <f>I1733</f>
        <v>2822000</v>
      </c>
      <c r="J1732" s="49">
        <f>J1733</f>
        <v>0</v>
      </c>
      <c r="K1732" s="49">
        <f t="shared" si="303"/>
        <v>2822000</v>
      </c>
      <c r="L1732" s="123"/>
      <c r="M1732" s="49">
        <f>M1733</f>
        <v>0</v>
      </c>
      <c r="N1732" s="49">
        <f>N1733</f>
        <v>0</v>
      </c>
      <c r="O1732" s="49">
        <f t="shared" si="304"/>
        <v>0</v>
      </c>
      <c r="P1732" s="123"/>
      <c r="Q1732" s="49">
        <f t="shared" si="313"/>
        <v>2822000</v>
      </c>
      <c r="R1732" s="49">
        <f t="shared" si="314"/>
        <v>0</v>
      </c>
      <c r="S1732" s="49">
        <f t="shared" si="314"/>
        <v>2822000</v>
      </c>
    </row>
    <row r="1733" spans="2:19" x14ac:dyDescent="0.2">
      <c r="B1733" s="75">
        <f t="shared" si="302"/>
        <v>47</v>
      </c>
      <c r="C1733" s="4"/>
      <c r="D1733" s="4"/>
      <c r="E1733" s="4"/>
      <c r="F1733" s="53" t="s">
        <v>145</v>
      </c>
      <c r="G1733" s="4">
        <v>637</v>
      </c>
      <c r="H1733" s="4" t="s">
        <v>130</v>
      </c>
      <c r="I1733" s="76">
        <f>2965000-140000-3000</f>
        <v>2822000</v>
      </c>
      <c r="J1733" s="76"/>
      <c r="K1733" s="76">
        <f t="shared" si="303"/>
        <v>2822000</v>
      </c>
      <c r="L1733" s="76"/>
      <c r="M1733" s="26"/>
      <c r="N1733" s="26"/>
      <c r="O1733" s="26">
        <f t="shared" si="304"/>
        <v>0</v>
      </c>
      <c r="P1733" s="76"/>
      <c r="Q1733" s="26">
        <f t="shared" si="313"/>
        <v>2822000</v>
      </c>
      <c r="R1733" s="26">
        <f t="shared" si="314"/>
        <v>0</v>
      </c>
      <c r="S1733" s="26">
        <f t="shared" si="314"/>
        <v>2822000</v>
      </c>
    </row>
    <row r="1734" spans="2:19" ht="15" x14ac:dyDescent="0.25">
      <c r="B1734" s="75">
        <f t="shared" si="302"/>
        <v>48</v>
      </c>
      <c r="C1734" s="163"/>
      <c r="D1734" s="163">
        <v>2</v>
      </c>
      <c r="E1734" s="227" t="s">
        <v>27</v>
      </c>
      <c r="F1734" s="228"/>
      <c r="G1734" s="228"/>
      <c r="H1734" s="229"/>
      <c r="I1734" s="46">
        <f>I1735+I1737</f>
        <v>2300</v>
      </c>
      <c r="J1734" s="46">
        <f>J1735+J1737</f>
        <v>0</v>
      </c>
      <c r="K1734" s="46">
        <f t="shared" si="303"/>
        <v>2300</v>
      </c>
      <c r="L1734" s="173"/>
      <c r="M1734" s="46">
        <f>M1735+M1737</f>
        <v>65060</v>
      </c>
      <c r="N1734" s="46">
        <f>N1735+N1737</f>
        <v>0</v>
      </c>
      <c r="O1734" s="46">
        <f t="shared" si="304"/>
        <v>65060</v>
      </c>
      <c r="P1734" s="173"/>
      <c r="Q1734" s="46">
        <f t="shared" si="313"/>
        <v>67360</v>
      </c>
      <c r="R1734" s="46">
        <f t="shared" si="314"/>
        <v>0</v>
      </c>
      <c r="S1734" s="46">
        <f t="shared" si="314"/>
        <v>67360</v>
      </c>
    </row>
    <row r="1735" spans="2:19" x14ac:dyDescent="0.2">
      <c r="B1735" s="75">
        <f t="shared" si="302"/>
        <v>49</v>
      </c>
      <c r="C1735" s="15"/>
      <c r="D1735" s="15"/>
      <c r="E1735" s="15"/>
      <c r="F1735" s="52" t="s">
        <v>145</v>
      </c>
      <c r="G1735" s="15">
        <v>630</v>
      </c>
      <c r="H1735" s="15" t="s">
        <v>129</v>
      </c>
      <c r="I1735" s="49">
        <f>I1736</f>
        <v>2300</v>
      </c>
      <c r="J1735" s="49">
        <f>J1736</f>
        <v>0</v>
      </c>
      <c r="K1735" s="49">
        <f t="shared" si="303"/>
        <v>2300</v>
      </c>
      <c r="L1735" s="123"/>
      <c r="M1735" s="49">
        <f>M1736</f>
        <v>0</v>
      </c>
      <c r="N1735" s="49">
        <f>N1736</f>
        <v>0</v>
      </c>
      <c r="O1735" s="49">
        <f t="shared" si="304"/>
        <v>0</v>
      </c>
      <c r="P1735" s="123"/>
      <c r="Q1735" s="49">
        <f t="shared" si="313"/>
        <v>2300</v>
      </c>
      <c r="R1735" s="49">
        <f t="shared" si="314"/>
        <v>0</v>
      </c>
      <c r="S1735" s="49">
        <f t="shared" si="314"/>
        <v>2300</v>
      </c>
    </row>
    <row r="1736" spans="2:19" x14ac:dyDescent="0.2">
      <c r="B1736" s="75">
        <f t="shared" si="302"/>
        <v>50</v>
      </c>
      <c r="C1736" s="4"/>
      <c r="D1736" s="4"/>
      <c r="E1736" s="4"/>
      <c r="F1736" s="53" t="s">
        <v>145</v>
      </c>
      <c r="G1736" s="4">
        <v>637</v>
      </c>
      <c r="H1736" s="4" t="s">
        <v>130</v>
      </c>
      <c r="I1736" s="26">
        <v>2300</v>
      </c>
      <c r="J1736" s="26"/>
      <c r="K1736" s="26">
        <f t="shared" si="303"/>
        <v>2300</v>
      </c>
      <c r="L1736" s="76"/>
      <c r="M1736" s="26"/>
      <c r="N1736" s="26"/>
      <c r="O1736" s="26">
        <f t="shared" si="304"/>
        <v>0</v>
      </c>
      <c r="P1736" s="76"/>
      <c r="Q1736" s="26">
        <f t="shared" si="313"/>
        <v>2300</v>
      </c>
      <c r="R1736" s="26">
        <f t="shared" si="314"/>
        <v>0</v>
      </c>
      <c r="S1736" s="26">
        <f t="shared" si="314"/>
        <v>2300</v>
      </c>
    </row>
    <row r="1737" spans="2:19" x14ac:dyDescent="0.2">
      <c r="B1737" s="75">
        <f t="shared" si="302"/>
        <v>51</v>
      </c>
      <c r="C1737" s="15"/>
      <c r="D1737" s="15"/>
      <c r="E1737" s="15"/>
      <c r="F1737" s="52" t="s">
        <v>145</v>
      </c>
      <c r="G1737" s="15">
        <v>710</v>
      </c>
      <c r="H1737" s="15" t="s">
        <v>185</v>
      </c>
      <c r="I1737" s="49">
        <v>0</v>
      </c>
      <c r="J1737" s="49">
        <v>0</v>
      </c>
      <c r="K1737" s="49">
        <f t="shared" si="303"/>
        <v>0</v>
      </c>
      <c r="L1737" s="123"/>
      <c r="M1737" s="49">
        <f>M1738</f>
        <v>65060</v>
      </c>
      <c r="N1737" s="49">
        <f>N1738</f>
        <v>0</v>
      </c>
      <c r="O1737" s="49">
        <f t="shared" si="304"/>
        <v>65060</v>
      </c>
      <c r="P1737" s="123"/>
      <c r="Q1737" s="49">
        <f t="shared" si="313"/>
        <v>65060</v>
      </c>
      <c r="R1737" s="49">
        <f t="shared" si="314"/>
        <v>0</v>
      </c>
      <c r="S1737" s="49">
        <f t="shared" si="314"/>
        <v>65060</v>
      </c>
    </row>
    <row r="1738" spans="2:19" x14ac:dyDescent="0.2">
      <c r="B1738" s="75">
        <f t="shared" si="302"/>
        <v>52</v>
      </c>
      <c r="C1738" s="4"/>
      <c r="D1738" s="4"/>
      <c r="E1738" s="4"/>
      <c r="F1738" s="86" t="s">
        <v>145</v>
      </c>
      <c r="G1738" s="87">
        <v>717</v>
      </c>
      <c r="H1738" s="87" t="s">
        <v>195</v>
      </c>
      <c r="I1738" s="88"/>
      <c r="J1738" s="88"/>
      <c r="K1738" s="88">
        <f t="shared" si="303"/>
        <v>0</v>
      </c>
      <c r="L1738" s="76"/>
      <c r="M1738" s="88">
        <f>SUM(M1739:M1739)</f>
        <v>65060</v>
      </c>
      <c r="N1738" s="88">
        <f>SUM(N1739:N1739)</f>
        <v>0</v>
      </c>
      <c r="O1738" s="88">
        <f t="shared" si="304"/>
        <v>65060</v>
      </c>
      <c r="P1738" s="76"/>
      <c r="Q1738" s="88">
        <f t="shared" si="313"/>
        <v>65060</v>
      </c>
      <c r="R1738" s="88">
        <f t="shared" si="314"/>
        <v>0</v>
      </c>
      <c r="S1738" s="88">
        <f t="shared" si="314"/>
        <v>65060</v>
      </c>
    </row>
    <row r="1739" spans="2:19" x14ac:dyDescent="0.2">
      <c r="B1739" s="75">
        <f t="shared" si="302"/>
        <v>53</v>
      </c>
      <c r="C1739" s="4"/>
      <c r="D1739" s="54"/>
      <c r="E1739" s="4"/>
      <c r="F1739" s="53"/>
      <c r="G1739" s="4"/>
      <c r="H1739" s="4" t="s">
        <v>392</v>
      </c>
      <c r="I1739" s="26"/>
      <c r="J1739" s="26"/>
      <c r="K1739" s="26">
        <f t="shared" si="303"/>
        <v>0</v>
      </c>
      <c r="L1739" s="76"/>
      <c r="M1739" s="26">
        <v>65060</v>
      </c>
      <c r="N1739" s="26"/>
      <c r="O1739" s="26">
        <f t="shared" si="304"/>
        <v>65060</v>
      </c>
      <c r="P1739" s="76"/>
      <c r="Q1739" s="26">
        <f t="shared" si="313"/>
        <v>65060</v>
      </c>
      <c r="R1739" s="26">
        <f t="shared" si="314"/>
        <v>0</v>
      </c>
      <c r="S1739" s="26">
        <f t="shared" si="314"/>
        <v>65060</v>
      </c>
    </row>
    <row r="1740" spans="2:19" ht="15" x14ac:dyDescent="0.2">
      <c r="B1740" s="75">
        <f t="shared" si="302"/>
        <v>54</v>
      </c>
      <c r="C1740" s="164">
        <v>3</v>
      </c>
      <c r="D1740" s="230" t="s">
        <v>31</v>
      </c>
      <c r="E1740" s="228"/>
      <c r="F1740" s="228"/>
      <c r="G1740" s="228"/>
      <c r="H1740" s="229"/>
      <c r="I1740" s="45">
        <f>I1741</f>
        <v>10200</v>
      </c>
      <c r="J1740" s="45">
        <f>J1741</f>
        <v>0</v>
      </c>
      <c r="K1740" s="45">
        <f t="shared" si="303"/>
        <v>10200</v>
      </c>
      <c r="L1740" s="172"/>
      <c r="M1740" s="45">
        <v>0</v>
      </c>
      <c r="N1740" s="45">
        <v>0</v>
      </c>
      <c r="O1740" s="45">
        <f t="shared" si="304"/>
        <v>0</v>
      </c>
      <c r="P1740" s="172"/>
      <c r="Q1740" s="45">
        <f t="shared" si="313"/>
        <v>10200</v>
      </c>
      <c r="R1740" s="45">
        <f t="shared" si="314"/>
        <v>0</v>
      </c>
      <c r="S1740" s="45">
        <f t="shared" si="314"/>
        <v>10200</v>
      </c>
    </row>
    <row r="1741" spans="2:19" x14ac:dyDescent="0.2">
      <c r="B1741" s="75">
        <f t="shared" si="302"/>
        <v>55</v>
      </c>
      <c r="C1741" s="15"/>
      <c r="D1741" s="15"/>
      <c r="E1741" s="15"/>
      <c r="F1741" s="52" t="s">
        <v>30</v>
      </c>
      <c r="G1741" s="15">
        <v>630</v>
      </c>
      <c r="H1741" s="15" t="s">
        <v>129</v>
      </c>
      <c r="I1741" s="49">
        <f>I1743+I1742</f>
        <v>10200</v>
      </c>
      <c r="J1741" s="49">
        <f>J1743+J1742</f>
        <v>0</v>
      </c>
      <c r="K1741" s="49">
        <f t="shared" si="303"/>
        <v>10200</v>
      </c>
      <c r="L1741" s="123"/>
      <c r="M1741" s="49">
        <f>M1743+M1742</f>
        <v>0</v>
      </c>
      <c r="N1741" s="49">
        <f>N1743+N1742</f>
        <v>0</v>
      </c>
      <c r="O1741" s="49">
        <f t="shared" si="304"/>
        <v>0</v>
      </c>
      <c r="P1741" s="123"/>
      <c r="Q1741" s="49">
        <f t="shared" si="313"/>
        <v>10200</v>
      </c>
      <c r="R1741" s="49">
        <f t="shared" si="314"/>
        <v>0</v>
      </c>
      <c r="S1741" s="49">
        <f t="shared" si="314"/>
        <v>10200</v>
      </c>
    </row>
    <row r="1742" spans="2:19" x14ac:dyDescent="0.2">
      <c r="B1742" s="75">
        <f t="shared" si="302"/>
        <v>56</v>
      </c>
      <c r="C1742" s="4"/>
      <c r="D1742" s="4"/>
      <c r="E1742" s="4"/>
      <c r="F1742" s="53" t="s">
        <v>30</v>
      </c>
      <c r="G1742" s="4">
        <v>633</v>
      </c>
      <c r="H1742" s="4" t="s">
        <v>133</v>
      </c>
      <c r="I1742" s="26">
        <v>100</v>
      </c>
      <c r="J1742" s="26"/>
      <c r="K1742" s="26">
        <f t="shared" si="303"/>
        <v>100</v>
      </c>
      <c r="L1742" s="76"/>
      <c r="M1742" s="26"/>
      <c r="N1742" s="26"/>
      <c r="O1742" s="26">
        <f t="shared" si="304"/>
        <v>0</v>
      </c>
      <c r="P1742" s="76"/>
      <c r="Q1742" s="26">
        <f t="shared" si="313"/>
        <v>100</v>
      </c>
      <c r="R1742" s="26">
        <f t="shared" si="314"/>
        <v>0</v>
      </c>
      <c r="S1742" s="26">
        <f t="shared" si="314"/>
        <v>100</v>
      </c>
    </row>
    <row r="1743" spans="2:19" x14ac:dyDescent="0.2">
      <c r="B1743" s="75">
        <f t="shared" si="302"/>
        <v>57</v>
      </c>
      <c r="C1743" s="4"/>
      <c r="D1743" s="4"/>
      <c r="E1743" s="4"/>
      <c r="F1743" s="53" t="s">
        <v>30</v>
      </c>
      <c r="G1743" s="4">
        <v>637</v>
      </c>
      <c r="H1743" s="4" t="s">
        <v>130</v>
      </c>
      <c r="I1743" s="26">
        <f>7900-3000+1200+3000+1000</f>
        <v>10100</v>
      </c>
      <c r="J1743" s="26"/>
      <c r="K1743" s="26">
        <f t="shared" si="303"/>
        <v>10100</v>
      </c>
      <c r="L1743" s="76"/>
      <c r="M1743" s="26"/>
      <c r="N1743" s="26"/>
      <c r="O1743" s="26">
        <f t="shared" si="304"/>
        <v>0</v>
      </c>
      <c r="P1743" s="76"/>
      <c r="Q1743" s="26">
        <f t="shared" si="313"/>
        <v>10100</v>
      </c>
      <c r="R1743" s="26">
        <f t="shared" si="314"/>
        <v>0</v>
      </c>
      <c r="S1743" s="26">
        <f t="shared" si="314"/>
        <v>10100</v>
      </c>
    </row>
    <row r="1744" spans="2:19" ht="15" x14ac:dyDescent="0.2">
      <c r="B1744" s="75">
        <f t="shared" si="302"/>
        <v>58</v>
      </c>
      <c r="C1744" s="164">
        <v>4</v>
      </c>
      <c r="D1744" s="230" t="s">
        <v>255</v>
      </c>
      <c r="E1744" s="228"/>
      <c r="F1744" s="228"/>
      <c r="G1744" s="228"/>
      <c r="H1744" s="229"/>
      <c r="I1744" s="45">
        <f>I1745</f>
        <v>20000</v>
      </c>
      <c r="J1744" s="45">
        <f>J1745</f>
        <v>0</v>
      </c>
      <c r="K1744" s="45">
        <f t="shared" si="303"/>
        <v>20000</v>
      </c>
      <c r="L1744" s="172"/>
      <c r="M1744" s="45">
        <f>M1745</f>
        <v>0</v>
      </c>
      <c r="N1744" s="45">
        <f>N1745</f>
        <v>0</v>
      </c>
      <c r="O1744" s="45">
        <f t="shared" si="304"/>
        <v>0</v>
      </c>
      <c r="P1744" s="172"/>
      <c r="Q1744" s="45">
        <f t="shared" si="313"/>
        <v>20000</v>
      </c>
      <c r="R1744" s="45">
        <f t="shared" si="314"/>
        <v>0</v>
      </c>
      <c r="S1744" s="45">
        <f t="shared" si="314"/>
        <v>20000</v>
      </c>
    </row>
    <row r="1745" spans="2:19" x14ac:dyDescent="0.2">
      <c r="B1745" s="75">
        <f t="shared" si="302"/>
        <v>59</v>
      </c>
      <c r="C1745" s="15"/>
      <c r="D1745" s="15"/>
      <c r="E1745" s="15"/>
      <c r="F1745" s="52" t="s">
        <v>206</v>
      </c>
      <c r="G1745" s="15">
        <v>640</v>
      </c>
      <c r="H1745" s="15" t="s">
        <v>136</v>
      </c>
      <c r="I1745" s="49">
        <v>20000</v>
      </c>
      <c r="J1745" s="49"/>
      <c r="K1745" s="49">
        <f t="shared" si="303"/>
        <v>20000</v>
      </c>
      <c r="L1745" s="123"/>
      <c r="M1745" s="49">
        <f>M1746</f>
        <v>0</v>
      </c>
      <c r="N1745" s="49">
        <f>N1746</f>
        <v>0</v>
      </c>
      <c r="O1745" s="49">
        <f t="shared" si="304"/>
        <v>0</v>
      </c>
      <c r="P1745" s="123"/>
      <c r="Q1745" s="49">
        <f t="shared" si="313"/>
        <v>20000</v>
      </c>
      <c r="R1745" s="49">
        <f t="shared" si="314"/>
        <v>0</v>
      </c>
      <c r="S1745" s="49">
        <f t="shared" si="314"/>
        <v>20000</v>
      </c>
    </row>
    <row r="1746" spans="2:19" x14ac:dyDescent="0.2">
      <c r="B1746" s="75">
        <f t="shared" si="302"/>
        <v>60</v>
      </c>
      <c r="C1746" s="15"/>
      <c r="D1746" s="57"/>
      <c r="E1746" s="15"/>
      <c r="F1746" s="52"/>
      <c r="G1746" s="15"/>
      <c r="H1746" s="59" t="s">
        <v>355</v>
      </c>
      <c r="I1746" s="58">
        <v>20000</v>
      </c>
      <c r="J1746" s="58"/>
      <c r="K1746" s="58">
        <f t="shared" si="303"/>
        <v>20000</v>
      </c>
      <c r="L1746" s="76"/>
      <c r="M1746" s="49"/>
      <c r="N1746" s="49"/>
      <c r="O1746" s="49">
        <f t="shared" si="304"/>
        <v>0</v>
      </c>
      <c r="P1746" s="123"/>
      <c r="Q1746" s="49">
        <f>M1746+I1746</f>
        <v>20000</v>
      </c>
      <c r="R1746" s="49">
        <f t="shared" ref="R1746:S1746" si="315">N1746+J1746</f>
        <v>0</v>
      </c>
      <c r="S1746" s="49">
        <f t="shared" si="315"/>
        <v>20000</v>
      </c>
    </row>
    <row r="1747" spans="2:19" ht="15" x14ac:dyDescent="0.2">
      <c r="B1747" s="75">
        <f t="shared" si="302"/>
        <v>61</v>
      </c>
      <c r="C1747" s="164">
        <v>5</v>
      </c>
      <c r="D1747" s="230" t="s">
        <v>259</v>
      </c>
      <c r="E1747" s="228"/>
      <c r="F1747" s="228"/>
      <c r="G1747" s="228"/>
      <c r="H1747" s="229"/>
      <c r="I1747" s="45">
        <f>I1748</f>
        <v>8650</v>
      </c>
      <c r="J1747" s="45">
        <f>J1748</f>
        <v>0</v>
      </c>
      <c r="K1747" s="45">
        <f t="shared" si="303"/>
        <v>8650</v>
      </c>
      <c r="L1747" s="172"/>
      <c r="M1747" s="45">
        <f>M1748</f>
        <v>16000</v>
      </c>
      <c r="N1747" s="45">
        <f>N1748</f>
        <v>0</v>
      </c>
      <c r="O1747" s="45">
        <f t="shared" si="304"/>
        <v>16000</v>
      </c>
      <c r="P1747" s="172"/>
      <c r="Q1747" s="45">
        <f t="shared" ref="Q1747:Q1755" si="316">I1747+M1747</f>
        <v>24650</v>
      </c>
      <c r="R1747" s="45">
        <f t="shared" ref="R1747:S1755" si="317">J1747+N1747</f>
        <v>0</v>
      </c>
      <c r="S1747" s="45">
        <f t="shared" si="317"/>
        <v>24650</v>
      </c>
    </row>
    <row r="1748" spans="2:19" ht="15" x14ac:dyDescent="0.25">
      <c r="B1748" s="75">
        <f t="shared" si="302"/>
        <v>62</v>
      </c>
      <c r="C1748" s="18"/>
      <c r="D1748" s="18"/>
      <c r="E1748" s="18">
        <v>2</v>
      </c>
      <c r="F1748" s="50"/>
      <c r="G1748" s="18"/>
      <c r="H1748" s="18" t="s">
        <v>258</v>
      </c>
      <c r="I1748" s="47">
        <f>I1749+I1750+I1751</f>
        <v>8650</v>
      </c>
      <c r="J1748" s="47">
        <f>J1749+J1750+J1751</f>
        <v>0</v>
      </c>
      <c r="K1748" s="47">
        <f t="shared" si="303"/>
        <v>8650</v>
      </c>
      <c r="L1748" s="174"/>
      <c r="M1748" s="47">
        <f>M1749+M1750+M1751+M1755</f>
        <v>16000</v>
      </c>
      <c r="N1748" s="47">
        <f>N1749+N1750+N1751+N1755</f>
        <v>0</v>
      </c>
      <c r="O1748" s="47">
        <f t="shared" si="304"/>
        <v>16000</v>
      </c>
      <c r="P1748" s="174"/>
      <c r="Q1748" s="47">
        <f t="shared" si="316"/>
        <v>24650</v>
      </c>
      <c r="R1748" s="47">
        <f t="shared" si="317"/>
        <v>0</v>
      </c>
      <c r="S1748" s="47">
        <f t="shared" si="317"/>
        <v>24650</v>
      </c>
    </row>
    <row r="1749" spans="2:19" x14ac:dyDescent="0.2">
      <c r="B1749" s="75">
        <f t="shared" si="302"/>
        <v>63</v>
      </c>
      <c r="C1749" s="15"/>
      <c r="D1749" s="15"/>
      <c r="E1749" s="15"/>
      <c r="F1749" s="52" t="s">
        <v>206</v>
      </c>
      <c r="G1749" s="15">
        <v>610</v>
      </c>
      <c r="H1749" s="15" t="s">
        <v>137</v>
      </c>
      <c r="I1749" s="49">
        <v>1100</v>
      </c>
      <c r="J1749" s="49"/>
      <c r="K1749" s="49">
        <f t="shared" si="303"/>
        <v>1100</v>
      </c>
      <c r="L1749" s="123"/>
      <c r="M1749" s="49"/>
      <c r="N1749" s="49"/>
      <c r="O1749" s="49">
        <f t="shared" si="304"/>
        <v>0</v>
      </c>
      <c r="P1749" s="123"/>
      <c r="Q1749" s="49">
        <f t="shared" si="316"/>
        <v>1100</v>
      </c>
      <c r="R1749" s="49">
        <f t="shared" si="317"/>
        <v>0</v>
      </c>
      <c r="S1749" s="49">
        <f t="shared" si="317"/>
        <v>1100</v>
      </c>
    </row>
    <row r="1750" spans="2:19" x14ac:dyDescent="0.2">
      <c r="B1750" s="75">
        <f t="shared" si="302"/>
        <v>64</v>
      </c>
      <c r="C1750" s="15"/>
      <c r="D1750" s="15"/>
      <c r="E1750" s="15"/>
      <c r="F1750" s="52" t="s">
        <v>206</v>
      </c>
      <c r="G1750" s="15">
        <v>620</v>
      </c>
      <c r="H1750" s="15" t="s">
        <v>132</v>
      </c>
      <c r="I1750" s="49">
        <v>400</v>
      </c>
      <c r="J1750" s="49"/>
      <c r="K1750" s="49">
        <f t="shared" si="303"/>
        <v>400</v>
      </c>
      <c r="L1750" s="123"/>
      <c r="M1750" s="49"/>
      <c r="N1750" s="49"/>
      <c r="O1750" s="49">
        <f t="shared" si="304"/>
        <v>0</v>
      </c>
      <c r="P1750" s="123"/>
      <c r="Q1750" s="49">
        <f t="shared" si="316"/>
        <v>400</v>
      </c>
      <c r="R1750" s="49">
        <f t="shared" si="317"/>
        <v>0</v>
      </c>
      <c r="S1750" s="49">
        <f t="shared" si="317"/>
        <v>400</v>
      </c>
    </row>
    <row r="1751" spans="2:19" x14ac:dyDescent="0.2">
      <c r="B1751" s="75">
        <f t="shared" ref="B1751:B1769" si="318">B1750+1</f>
        <v>65</v>
      </c>
      <c r="C1751" s="15"/>
      <c r="D1751" s="15"/>
      <c r="E1751" s="15"/>
      <c r="F1751" s="52" t="s">
        <v>206</v>
      </c>
      <c r="G1751" s="15">
        <v>630</v>
      </c>
      <c r="H1751" s="15" t="s">
        <v>129</v>
      </c>
      <c r="I1751" s="49">
        <f>I1754+I1753+I1752</f>
        <v>7150</v>
      </c>
      <c r="J1751" s="49">
        <f>J1754+J1753+J1752</f>
        <v>0</v>
      </c>
      <c r="K1751" s="49">
        <f t="shared" ref="K1751:K1769" si="319">I1751+J1751</f>
        <v>7150</v>
      </c>
      <c r="L1751" s="123"/>
      <c r="M1751" s="49">
        <f>M1754+M1753+M1752</f>
        <v>0</v>
      </c>
      <c r="N1751" s="49">
        <f>N1754+N1753+N1752</f>
        <v>0</v>
      </c>
      <c r="O1751" s="49">
        <f t="shared" ref="O1751:O1769" si="320">M1751+N1751</f>
        <v>0</v>
      </c>
      <c r="P1751" s="123"/>
      <c r="Q1751" s="49">
        <f t="shared" si="316"/>
        <v>7150</v>
      </c>
      <c r="R1751" s="49">
        <f t="shared" si="317"/>
        <v>0</v>
      </c>
      <c r="S1751" s="49">
        <f t="shared" si="317"/>
        <v>7150</v>
      </c>
    </row>
    <row r="1752" spans="2:19" x14ac:dyDescent="0.2">
      <c r="B1752" s="75">
        <f t="shared" si="318"/>
        <v>66</v>
      </c>
      <c r="C1752" s="4"/>
      <c r="D1752" s="4"/>
      <c r="E1752" s="4"/>
      <c r="F1752" s="53" t="s">
        <v>206</v>
      </c>
      <c r="G1752" s="4">
        <v>632</v>
      </c>
      <c r="H1752" s="4" t="s">
        <v>140</v>
      </c>
      <c r="I1752" s="26">
        <v>5000</v>
      </c>
      <c r="J1752" s="26"/>
      <c r="K1752" s="26">
        <f t="shared" si="319"/>
        <v>5000</v>
      </c>
      <c r="L1752" s="76"/>
      <c r="M1752" s="26"/>
      <c r="N1752" s="26"/>
      <c r="O1752" s="26">
        <f t="shared" si="320"/>
        <v>0</v>
      </c>
      <c r="P1752" s="76"/>
      <c r="Q1752" s="26">
        <f t="shared" si="316"/>
        <v>5000</v>
      </c>
      <c r="R1752" s="26">
        <f t="shared" si="317"/>
        <v>0</v>
      </c>
      <c r="S1752" s="26">
        <f t="shared" si="317"/>
        <v>5000</v>
      </c>
    </row>
    <row r="1753" spans="2:19" x14ac:dyDescent="0.2">
      <c r="B1753" s="75">
        <f t="shared" si="318"/>
        <v>67</v>
      </c>
      <c r="C1753" s="4"/>
      <c r="D1753" s="4"/>
      <c r="E1753" s="4"/>
      <c r="F1753" s="53" t="s">
        <v>206</v>
      </c>
      <c r="G1753" s="4">
        <v>633</v>
      </c>
      <c r="H1753" s="4" t="s">
        <v>133</v>
      </c>
      <c r="I1753" s="26">
        <f>1250-1000</f>
        <v>250</v>
      </c>
      <c r="J1753" s="26"/>
      <c r="K1753" s="26">
        <f t="shared" si="319"/>
        <v>250</v>
      </c>
      <c r="L1753" s="76"/>
      <c r="M1753" s="26"/>
      <c r="N1753" s="26"/>
      <c r="O1753" s="26">
        <f t="shared" si="320"/>
        <v>0</v>
      </c>
      <c r="P1753" s="76"/>
      <c r="Q1753" s="26">
        <f t="shared" si="316"/>
        <v>250</v>
      </c>
      <c r="R1753" s="26">
        <f t="shared" si="317"/>
        <v>0</v>
      </c>
      <c r="S1753" s="26">
        <f t="shared" si="317"/>
        <v>250</v>
      </c>
    </row>
    <row r="1754" spans="2:19" x14ac:dyDescent="0.2">
      <c r="B1754" s="75">
        <f t="shared" si="318"/>
        <v>68</v>
      </c>
      <c r="C1754" s="4"/>
      <c r="D1754" s="4"/>
      <c r="E1754" s="4"/>
      <c r="F1754" s="53" t="s">
        <v>206</v>
      </c>
      <c r="G1754" s="4">
        <v>637</v>
      </c>
      <c r="H1754" s="4" t="s">
        <v>130</v>
      </c>
      <c r="I1754" s="26">
        <v>1900</v>
      </c>
      <c r="J1754" s="26"/>
      <c r="K1754" s="26">
        <f t="shared" si="319"/>
        <v>1900</v>
      </c>
      <c r="L1754" s="76"/>
      <c r="M1754" s="26"/>
      <c r="N1754" s="26"/>
      <c r="O1754" s="26">
        <f t="shared" si="320"/>
        <v>0</v>
      </c>
      <c r="P1754" s="76"/>
      <c r="Q1754" s="26">
        <f t="shared" si="316"/>
        <v>1900</v>
      </c>
      <c r="R1754" s="26">
        <f t="shared" si="317"/>
        <v>0</v>
      </c>
      <c r="S1754" s="26">
        <f t="shared" si="317"/>
        <v>1900</v>
      </c>
    </row>
    <row r="1755" spans="2:19" ht="12.75" customHeight="1" x14ac:dyDescent="0.2">
      <c r="B1755" s="75">
        <f t="shared" si="318"/>
        <v>69</v>
      </c>
      <c r="C1755" s="4"/>
      <c r="D1755" s="4"/>
      <c r="E1755" s="4"/>
      <c r="F1755" s="121" t="s">
        <v>206</v>
      </c>
      <c r="G1755" s="122">
        <v>710</v>
      </c>
      <c r="H1755" s="132" t="s">
        <v>185</v>
      </c>
      <c r="I1755" s="123"/>
      <c r="J1755" s="123"/>
      <c r="K1755" s="123">
        <f t="shared" si="319"/>
        <v>0</v>
      </c>
      <c r="L1755" s="123"/>
      <c r="M1755" s="123">
        <f>M1756</f>
        <v>16000</v>
      </c>
      <c r="N1755" s="123">
        <f>N1756</f>
        <v>0</v>
      </c>
      <c r="O1755" s="123">
        <f t="shared" si="320"/>
        <v>16000</v>
      </c>
      <c r="P1755" s="123"/>
      <c r="Q1755" s="123">
        <f t="shared" si="316"/>
        <v>16000</v>
      </c>
      <c r="R1755" s="123">
        <f t="shared" si="317"/>
        <v>0</v>
      </c>
      <c r="S1755" s="123">
        <f t="shared" si="317"/>
        <v>16000</v>
      </c>
    </row>
    <row r="1756" spans="2:19" ht="18.75" customHeight="1" x14ac:dyDescent="0.2">
      <c r="B1756" s="75">
        <f t="shared" si="318"/>
        <v>70</v>
      </c>
      <c r="C1756" s="4"/>
      <c r="D1756" s="4"/>
      <c r="E1756" s="4"/>
      <c r="F1756" s="86" t="s">
        <v>206</v>
      </c>
      <c r="G1756" s="87">
        <v>713</v>
      </c>
      <c r="H1756" s="89" t="s">
        <v>539</v>
      </c>
      <c r="I1756" s="88"/>
      <c r="J1756" s="88"/>
      <c r="K1756" s="88">
        <f t="shared" si="319"/>
        <v>0</v>
      </c>
      <c r="L1756" s="76"/>
      <c r="M1756" s="88">
        <f>M1757</f>
        <v>16000</v>
      </c>
      <c r="N1756" s="88">
        <f>N1757</f>
        <v>0</v>
      </c>
      <c r="O1756" s="88">
        <f t="shared" si="320"/>
        <v>16000</v>
      </c>
      <c r="P1756" s="76"/>
      <c r="Q1756" s="88">
        <f>M1756</f>
        <v>16000</v>
      </c>
      <c r="R1756" s="88">
        <f t="shared" ref="R1756:S1757" si="321">N1756</f>
        <v>0</v>
      </c>
      <c r="S1756" s="88">
        <f t="shared" si="321"/>
        <v>16000</v>
      </c>
    </row>
    <row r="1757" spans="2:19" x14ac:dyDescent="0.2">
      <c r="B1757" s="75">
        <f t="shared" si="318"/>
        <v>71</v>
      </c>
      <c r="C1757" s="4"/>
      <c r="D1757" s="4"/>
      <c r="E1757" s="4"/>
      <c r="F1757" s="53"/>
      <c r="G1757" s="4"/>
      <c r="H1757" s="38" t="s">
        <v>540</v>
      </c>
      <c r="I1757" s="26"/>
      <c r="J1757" s="26"/>
      <c r="K1757" s="26">
        <f t="shared" si="319"/>
        <v>0</v>
      </c>
      <c r="L1757" s="76"/>
      <c r="M1757" s="26">
        <v>16000</v>
      </c>
      <c r="N1757" s="26"/>
      <c r="O1757" s="26">
        <f t="shared" si="320"/>
        <v>16000</v>
      </c>
      <c r="P1757" s="76"/>
      <c r="Q1757" s="26">
        <f>M1757</f>
        <v>16000</v>
      </c>
      <c r="R1757" s="26">
        <f t="shared" si="321"/>
        <v>0</v>
      </c>
      <c r="S1757" s="26">
        <f t="shared" si="321"/>
        <v>16000</v>
      </c>
    </row>
    <row r="1758" spans="2:19" ht="17.25" customHeight="1" x14ac:dyDescent="0.2">
      <c r="B1758" s="75">
        <f t="shared" si="318"/>
        <v>72</v>
      </c>
      <c r="C1758" s="164">
        <v>6</v>
      </c>
      <c r="D1758" s="230" t="s">
        <v>244</v>
      </c>
      <c r="E1758" s="228"/>
      <c r="F1758" s="228"/>
      <c r="G1758" s="228"/>
      <c r="H1758" s="229"/>
      <c r="I1758" s="45">
        <f>I1759</f>
        <v>188070</v>
      </c>
      <c r="J1758" s="45">
        <f>J1759</f>
        <v>0</v>
      </c>
      <c r="K1758" s="45">
        <f t="shared" si="319"/>
        <v>188070</v>
      </c>
      <c r="L1758" s="172"/>
      <c r="M1758" s="45">
        <f>M1759</f>
        <v>0</v>
      </c>
      <c r="N1758" s="45">
        <f>N1759</f>
        <v>0</v>
      </c>
      <c r="O1758" s="45">
        <f t="shared" si="320"/>
        <v>0</v>
      </c>
      <c r="P1758" s="172"/>
      <c r="Q1758" s="45">
        <f t="shared" ref="Q1758:Q1769" si="322">I1758+M1758</f>
        <v>188070</v>
      </c>
      <c r="R1758" s="45">
        <f t="shared" ref="R1758:S1769" si="323">J1758+N1758</f>
        <v>0</v>
      </c>
      <c r="S1758" s="45">
        <f t="shared" si="323"/>
        <v>188070</v>
      </c>
    </row>
    <row r="1759" spans="2:19" ht="15" x14ac:dyDescent="0.25">
      <c r="B1759" s="75">
        <f t="shared" si="318"/>
        <v>73</v>
      </c>
      <c r="C1759" s="18"/>
      <c r="D1759" s="18"/>
      <c r="E1759" s="18">
        <v>2</v>
      </c>
      <c r="F1759" s="50"/>
      <c r="G1759" s="18"/>
      <c r="H1759" s="18" t="s">
        <v>258</v>
      </c>
      <c r="I1759" s="47">
        <f>I1760+I1761+I1762+I1769</f>
        <v>188070</v>
      </c>
      <c r="J1759" s="47">
        <f>J1760+J1761+J1762+J1769</f>
        <v>0</v>
      </c>
      <c r="K1759" s="47">
        <f t="shared" si="319"/>
        <v>188070</v>
      </c>
      <c r="L1759" s="174"/>
      <c r="M1759" s="47">
        <v>0</v>
      </c>
      <c r="N1759" s="47"/>
      <c r="O1759" s="47">
        <f t="shared" si="320"/>
        <v>0</v>
      </c>
      <c r="P1759" s="174"/>
      <c r="Q1759" s="47">
        <f t="shared" si="322"/>
        <v>188070</v>
      </c>
      <c r="R1759" s="47">
        <f t="shared" si="323"/>
        <v>0</v>
      </c>
      <c r="S1759" s="47">
        <f t="shared" si="323"/>
        <v>188070</v>
      </c>
    </row>
    <row r="1760" spans="2:19" x14ac:dyDescent="0.2">
      <c r="B1760" s="75">
        <f t="shared" si="318"/>
        <v>74</v>
      </c>
      <c r="C1760" s="15"/>
      <c r="D1760" s="15"/>
      <c r="E1760" s="15"/>
      <c r="F1760" s="52" t="s">
        <v>206</v>
      </c>
      <c r="G1760" s="15">
        <v>610</v>
      </c>
      <c r="H1760" s="15" t="s">
        <v>137</v>
      </c>
      <c r="I1760" s="49">
        <v>85900</v>
      </c>
      <c r="J1760" s="49"/>
      <c r="K1760" s="49">
        <f t="shared" si="319"/>
        <v>85900</v>
      </c>
      <c r="L1760" s="123"/>
      <c r="M1760" s="49"/>
      <c r="N1760" s="49"/>
      <c r="O1760" s="49">
        <f t="shared" si="320"/>
        <v>0</v>
      </c>
      <c r="P1760" s="123"/>
      <c r="Q1760" s="49">
        <f t="shared" si="322"/>
        <v>85900</v>
      </c>
      <c r="R1760" s="49">
        <f t="shared" si="323"/>
        <v>0</v>
      </c>
      <c r="S1760" s="49">
        <f t="shared" si="323"/>
        <v>85900</v>
      </c>
    </row>
    <row r="1761" spans="2:19" x14ac:dyDescent="0.2">
      <c r="B1761" s="75">
        <f t="shared" si="318"/>
        <v>75</v>
      </c>
      <c r="C1761" s="15"/>
      <c r="D1761" s="15"/>
      <c r="E1761" s="15"/>
      <c r="F1761" s="52" t="s">
        <v>206</v>
      </c>
      <c r="G1761" s="15">
        <v>620</v>
      </c>
      <c r="H1761" s="15" t="s">
        <v>132</v>
      </c>
      <c r="I1761" s="49">
        <v>37430</v>
      </c>
      <c r="J1761" s="49"/>
      <c r="K1761" s="49">
        <f t="shared" si="319"/>
        <v>37430</v>
      </c>
      <c r="L1761" s="123"/>
      <c r="M1761" s="49"/>
      <c r="N1761" s="49"/>
      <c r="O1761" s="49">
        <f t="shared" si="320"/>
        <v>0</v>
      </c>
      <c r="P1761" s="123"/>
      <c r="Q1761" s="49">
        <f t="shared" si="322"/>
        <v>37430</v>
      </c>
      <c r="R1761" s="49">
        <f t="shared" si="323"/>
        <v>0</v>
      </c>
      <c r="S1761" s="49">
        <f t="shared" si="323"/>
        <v>37430</v>
      </c>
    </row>
    <row r="1762" spans="2:19" x14ac:dyDescent="0.2">
      <c r="B1762" s="75">
        <f t="shared" si="318"/>
        <v>76</v>
      </c>
      <c r="C1762" s="15"/>
      <c r="D1762" s="15"/>
      <c r="E1762" s="15"/>
      <c r="F1762" s="52" t="s">
        <v>206</v>
      </c>
      <c r="G1762" s="15">
        <v>630</v>
      </c>
      <c r="H1762" s="15" t="s">
        <v>129</v>
      </c>
      <c r="I1762" s="49">
        <f>I1768+I1767+I1766+I1765+I1764+I1763</f>
        <v>62590</v>
      </c>
      <c r="J1762" s="49">
        <f>J1768+J1767+J1766+J1765+J1764+J1763</f>
        <v>-50</v>
      </c>
      <c r="K1762" s="49">
        <f t="shared" si="319"/>
        <v>62540</v>
      </c>
      <c r="L1762" s="123"/>
      <c r="M1762" s="49">
        <f>M1768+M1767+M1766+M1765+M1764+M1763</f>
        <v>0</v>
      </c>
      <c r="N1762" s="49">
        <f>N1768+N1767+N1766+N1765+N1764+N1763</f>
        <v>0</v>
      </c>
      <c r="O1762" s="49">
        <f t="shared" si="320"/>
        <v>0</v>
      </c>
      <c r="P1762" s="123"/>
      <c r="Q1762" s="49">
        <f t="shared" si="322"/>
        <v>62590</v>
      </c>
      <c r="R1762" s="49">
        <f t="shared" si="323"/>
        <v>-50</v>
      </c>
      <c r="S1762" s="49">
        <f t="shared" si="323"/>
        <v>62540</v>
      </c>
    </row>
    <row r="1763" spans="2:19" x14ac:dyDescent="0.2">
      <c r="B1763" s="75">
        <f t="shared" si="318"/>
        <v>77</v>
      </c>
      <c r="C1763" s="4"/>
      <c r="D1763" s="4"/>
      <c r="E1763" s="4"/>
      <c r="F1763" s="53" t="s">
        <v>206</v>
      </c>
      <c r="G1763" s="4">
        <v>631</v>
      </c>
      <c r="H1763" s="4" t="s">
        <v>135</v>
      </c>
      <c r="I1763" s="26">
        <v>100</v>
      </c>
      <c r="J1763" s="26"/>
      <c r="K1763" s="26">
        <f t="shared" si="319"/>
        <v>100</v>
      </c>
      <c r="L1763" s="76"/>
      <c r="M1763" s="26"/>
      <c r="N1763" s="26"/>
      <c r="O1763" s="26">
        <f t="shared" si="320"/>
        <v>0</v>
      </c>
      <c r="P1763" s="76"/>
      <c r="Q1763" s="26">
        <f t="shared" si="322"/>
        <v>100</v>
      </c>
      <c r="R1763" s="26">
        <f t="shared" si="323"/>
        <v>0</v>
      </c>
      <c r="S1763" s="26">
        <f t="shared" si="323"/>
        <v>100</v>
      </c>
    </row>
    <row r="1764" spans="2:19" x14ac:dyDescent="0.2">
      <c r="B1764" s="75">
        <f t="shared" si="318"/>
        <v>78</v>
      </c>
      <c r="C1764" s="4"/>
      <c r="D1764" s="4"/>
      <c r="E1764" s="4"/>
      <c r="F1764" s="53" t="s">
        <v>206</v>
      </c>
      <c r="G1764" s="4">
        <v>632</v>
      </c>
      <c r="H1764" s="4" t="s">
        <v>140</v>
      </c>
      <c r="I1764" s="26">
        <v>3200</v>
      </c>
      <c r="J1764" s="26"/>
      <c r="K1764" s="26">
        <f t="shared" si="319"/>
        <v>3200</v>
      </c>
      <c r="L1764" s="76"/>
      <c r="M1764" s="26"/>
      <c r="N1764" s="26"/>
      <c r="O1764" s="26">
        <f t="shared" si="320"/>
        <v>0</v>
      </c>
      <c r="P1764" s="76"/>
      <c r="Q1764" s="26">
        <f t="shared" si="322"/>
        <v>3200</v>
      </c>
      <c r="R1764" s="26">
        <f t="shared" si="323"/>
        <v>0</v>
      </c>
      <c r="S1764" s="26">
        <f t="shared" si="323"/>
        <v>3200</v>
      </c>
    </row>
    <row r="1765" spans="2:19" x14ac:dyDescent="0.2">
      <c r="B1765" s="75">
        <f t="shared" si="318"/>
        <v>79</v>
      </c>
      <c r="C1765" s="4"/>
      <c r="D1765" s="4"/>
      <c r="E1765" s="4"/>
      <c r="F1765" s="53" t="s">
        <v>206</v>
      </c>
      <c r="G1765" s="4">
        <v>633</v>
      </c>
      <c r="H1765" s="4" t="s">
        <v>133</v>
      </c>
      <c r="I1765" s="26">
        <v>3450</v>
      </c>
      <c r="J1765" s="26">
        <v>-50</v>
      </c>
      <c r="K1765" s="26">
        <f t="shared" si="319"/>
        <v>3400</v>
      </c>
      <c r="L1765" s="76"/>
      <c r="M1765" s="26"/>
      <c r="N1765" s="26"/>
      <c r="O1765" s="26">
        <f t="shared" si="320"/>
        <v>0</v>
      </c>
      <c r="P1765" s="76"/>
      <c r="Q1765" s="26">
        <f t="shared" si="322"/>
        <v>3450</v>
      </c>
      <c r="R1765" s="26">
        <f t="shared" si="323"/>
        <v>-50</v>
      </c>
      <c r="S1765" s="26">
        <f t="shared" si="323"/>
        <v>3400</v>
      </c>
    </row>
    <row r="1766" spans="2:19" x14ac:dyDescent="0.2">
      <c r="B1766" s="75">
        <f t="shared" si="318"/>
        <v>80</v>
      </c>
      <c r="C1766" s="4"/>
      <c r="D1766" s="4"/>
      <c r="E1766" s="4"/>
      <c r="F1766" s="53" t="s">
        <v>206</v>
      </c>
      <c r="G1766" s="4">
        <v>634</v>
      </c>
      <c r="H1766" s="4" t="s">
        <v>138</v>
      </c>
      <c r="I1766" s="26">
        <v>11500</v>
      </c>
      <c r="J1766" s="26"/>
      <c r="K1766" s="26">
        <f t="shared" si="319"/>
        <v>11500</v>
      </c>
      <c r="L1766" s="76"/>
      <c r="M1766" s="26"/>
      <c r="N1766" s="26"/>
      <c r="O1766" s="26">
        <f t="shared" si="320"/>
        <v>0</v>
      </c>
      <c r="P1766" s="76"/>
      <c r="Q1766" s="26">
        <f t="shared" si="322"/>
        <v>11500</v>
      </c>
      <c r="R1766" s="26">
        <f t="shared" si="323"/>
        <v>0</v>
      </c>
      <c r="S1766" s="26">
        <f t="shared" si="323"/>
        <v>11500</v>
      </c>
    </row>
    <row r="1767" spans="2:19" x14ac:dyDescent="0.2">
      <c r="B1767" s="75">
        <f t="shared" si="318"/>
        <v>81</v>
      </c>
      <c r="C1767" s="4"/>
      <c r="D1767" s="4"/>
      <c r="E1767" s="4"/>
      <c r="F1767" s="53" t="s">
        <v>206</v>
      </c>
      <c r="G1767" s="4">
        <v>635</v>
      </c>
      <c r="H1767" s="4" t="s">
        <v>139</v>
      </c>
      <c r="I1767" s="26">
        <v>4100</v>
      </c>
      <c r="J1767" s="26"/>
      <c r="K1767" s="26">
        <f t="shared" si="319"/>
        <v>4100</v>
      </c>
      <c r="L1767" s="76"/>
      <c r="M1767" s="26"/>
      <c r="N1767" s="26"/>
      <c r="O1767" s="26">
        <f t="shared" si="320"/>
        <v>0</v>
      </c>
      <c r="P1767" s="76"/>
      <c r="Q1767" s="26">
        <f t="shared" si="322"/>
        <v>4100</v>
      </c>
      <c r="R1767" s="26">
        <f t="shared" si="323"/>
        <v>0</v>
      </c>
      <c r="S1767" s="26">
        <f t="shared" si="323"/>
        <v>4100</v>
      </c>
    </row>
    <row r="1768" spans="2:19" x14ac:dyDescent="0.2">
      <c r="B1768" s="75">
        <f t="shared" si="318"/>
        <v>82</v>
      </c>
      <c r="C1768" s="4"/>
      <c r="D1768" s="4"/>
      <c r="E1768" s="4"/>
      <c r="F1768" s="53" t="s">
        <v>206</v>
      </c>
      <c r="G1768" s="4">
        <v>637</v>
      </c>
      <c r="H1768" s="4" t="s">
        <v>130</v>
      </c>
      <c r="I1768" s="26">
        <f>53240-13000</f>
        <v>40240</v>
      </c>
      <c r="J1768" s="26"/>
      <c r="K1768" s="26">
        <f t="shared" si="319"/>
        <v>40240</v>
      </c>
      <c r="L1768" s="76"/>
      <c r="M1768" s="26"/>
      <c r="N1768" s="26"/>
      <c r="O1768" s="26">
        <f t="shared" si="320"/>
        <v>0</v>
      </c>
      <c r="P1768" s="76"/>
      <c r="Q1768" s="26">
        <f t="shared" si="322"/>
        <v>40240</v>
      </c>
      <c r="R1768" s="26">
        <f t="shared" si="323"/>
        <v>0</v>
      </c>
      <c r="S1768" s="26">
        <f t="shared" si="323"/>
        <v>40240</v>
      </c>
    </row>
    <row r="1769" spans="2:19" x14ac:dyDescent="0.2">
      <c r="B1769" s="75">
        <f t="shared" si="318"/>
        <v>83</v>
      </c>
      <c r="C1769" s="15"/>
      <c r="D1769" s="15"/>
      <c r="E1769" s="15"/>
      <c r="F1769" s="52" t="s">
        <v>206</v>
      </c>
      <c r="G1769" s="15">
        <v>640</v>
      </c>
      <c r="H1769" s="15" t="s">
        <v>136</v>
      </c>
      <c r="I1769" s="49">
        <v>2150</v>
      </c>
      <c r="J1769" s="49">
        <v>50</v>
      </c>
      <c r="K1769" s="49">
        <f t="shared" si="319"/>
        <v>2200</v>
      </c>
      <c r="L1769" s="123"/>
      <c r="M1769" s="49"/>
      <c r="N1769" s="49"/>
      <c r="O1769" s="49">
        <f t="shared" si="320"/>
        <v>0</v>
      </c>
      <c r="P1769" s="123"/>
      <c r="Q1769" s="49">
        <f t="shared" si="322"/>
        <v>2150</v>
      </c>
      <c r="R1769" s="49">
        <f t="shared" si="323"/>
        <v>50</v>
      </c>
      <c r="S1769" s="49">
        <f t="shared" si="323"/>
        <v>2200</v>
      </c>
    </row>
    <row r="1799" spans="1:19" ht="27" x14ac:dyDescent="0.35">
      <c r="B1799" s="234" t="s">
        <v>314</v>
      </c>
      <c r="C1799" s="235"/>
      <c r="D1799" s="235"/>
      <c r="E1799" s="235"/>
      <c r="F1799" s="235"/>
      <c r="G1799" s="235"/>
      <c r="H1799" s="235"/>
      <c r="I1799" s="235"/>
      <c r="J1799" s="235"/>
      <c r="K1799" s="235"/>
      <c r="L1799" s="235"/>
      <c r="M1799" s="235"/>
      <c r="N1799" s="235"/>
      <c r="O1799" s="235"/>
      <c r="P1799" s="235"/>
      <c r="Q1799" s="235"/>
    </row>
    <row r="1800" spans="1:19" s="71" customFormat="1" x14ac:dyDescent="0.2">
      <c r="A1800" s="67"/>
      <c r="B1800" s="236" t="s">
        <v>285</v>
      </c>
      <c r="C1800" s="237"/>
      <c r="D1800" s="237"/>
      <c r="E1800" s="237"/>
      <c r="F1800" s="237"/>
      <c r="G1800" s="237"/>
      <c r="H1800" s="237"/>
      <c r="I1800" s="237"/>
      <c r="J1800" s="237"/>
      <c r="K1800" s="237"/>
      <c r="L1800" s="237"/>
      <c r="M1800" s="237"/>
      <c r="N1800" s="182"/>
      <c r="O1800" s="182"/>
      <c r="P1800" s="183"/>
      <c r="Q1800" s="222" t="s">
        <v>602</v>
      </c>
      <c r="R1800" s="222" t="s">
        <v>657</v>
      </c>
      <c r="S1800" s="222" t="s">
        <v>602</v>
      </c>
    </row>
    <row r="1801" spans="1:19" s="71" customFormat="1" x14ac:dyDescent="0.2">
      <c r="A1801" s="67"/>
      <c r="B1801" s="238" t="s">
        <v>113</v>
      </c>
      <c r="C1801" s="225" t="s">
        <v>121</v>
      </c>
      <c r="D1801" s="225" t="s">
        <v>122</v>
      </c>
      <c r="E1801" s="231" t="s">
        <v>126</v>
      </c>
      <c r="F1801" s="225" t="s">
        <v>123</v>
      </c>
      <c r="G1801" s="225" t="s">
        <v>124</v>
      </c>
      <c r="H1801" s="240" t="s">
        <v>125</v>
      </c>
      <c r="I1801" s="222" t="s">
        <v>599</v>
      </c>
      <c r="J1801" s="222" t="s">
        <v>657</v>
      </c>
      <c r="K1801" s="222" t="s">
        <v>659</v>
      </c>
      <c r="L1801" s="168"/>
      <c r="M1801" s="222" t="s">
        <v>600</v>
      </c>
      <c r="N1801" s="222" t="s">
        <v>657</v>
      </c>
      <c r="O1801" s="222" t="s">
        <v>660</v>
      </c>
      <c r="P1801" s="169"/>
      <c r="Q1801" s="223"/>
      <c r="R1801" s="223"/>
      <c r="S1801" s="223"/>
    </row>
    <row r="1802" spans="1:19" x14ac:dyDescent="0.2">
      <c r="B1802" s="238"/>
      <c r="C1802" s="225"/>
      <c r="D1802" s="225"/>
      <c r="E1802" s="232"/>
      <c r="F1802" s="225"/>
      <c r="G1802" s="225"/>
      <c r="H1802" s="240"/>
      <c r="I1802" s="223"/>
      <c r="J1802" s="223"/>
      <c r="K1802" s="223"/>
      <c r="L1802" s="169"/>
      <c r="M1802" s="223"/>
      <c r="N1802" s="223"/>
      <c r="O1802" s="223"/>
      <c r="P1802" s="169"/>
      <c r="Q1802" s="223"/>
      <c r="R1802" s="223"/>
      <c r="S1802" s="223"/>
    </row>
    <row r="1803" spans="1:19" x14ac:dyDescent="0.2">
      <c r="B1803" s="238"/>
      <c r="C1803" s="225"/>
      <c r="D1803" s="225"/>
      <c r="E1803" s="232"/>
      <c r="F1803" s="225"/>
      <c r="G1803" s="225"/>
      <c r="H1803" s="240"/>
      <c r="I1803" s="223"/>
      <c r="J1803" s="223"/>
      <c r="K1803" s="223"/>
      <c r="L1803" s="169"/>
      <c r="M1803" s="223"/>
      <c r="N1803" s="223"/>
      <c r="O1803" s="223"/>
      <c r="P1803" s="169"/>
      <c r="Q1803" s="223"/>
      <c r="R1803" s="223"/>
      <c r="S1803" s="223"/>
    </row>
    <row r="1804" spans="1:19" ht="13.5" thickBot="1" x14ac:dyDescent="0.25">
      <c r="B1804" s="239"/>
      <c r="C1804" s="226"/>
      <c r="D1804" s="226"/>
      <c r="E1804" s="233"/>
      <c r="F1804" s="226"/>
      <c r="G1804" s="226"/>
      <c r="H1804" s="241"/>
      <c r="I1804" s="224"/>
      <c r="J1804" s="224"/>
      <c r="K1804" s="224"/>
      <c r="L1804" s="170"/>
      <c r="M1804" s="224"/>
      <c r="N1804" s="224"/>
      <c r="O1804" s="224"/>
      <c r="P1804" s="170"/>
      <c r="Q1804" s="224"/>
      <c r="R1804" s="224"/>
      <c r="S1804" s="224"/>
    </row>
    <row r="1805" spans="1:19" ht="16.5" thickTop="1" x14ac:dyDescent="0.2">
      <c r="B1805" s="75">
        <f t="shared" ref="B1805:B1868" si="324">B1804+1</f>
        <v>1</v>
      </c>
      <c r="C1805" s="242" t="s">
        <v>314</v>
      </c>
      <c r="D1805" s="243"/>
      <c r="E1805" s="243"/>
      <c r="F1805" s="243"/>
      <c r="G1805" s="243"/>
      <c r="H1805" s="244"/>
      <c r="I1805" s="44">
        <f>I1933+I1924+I1918+I1915+I1905+I1883+I1841+I1832+I1818+I1816+I1806</f>
        <v>2541936</v>
      </c>
      <c r="J1805" s="44">
        <f>J1933+J1924+J1918+J1915+J1905+J1883+J1841+J1832+J1818+J1816+J1806</f>
        <v>-20000</v>
      </c>
      <c r="K1805" s="44">
        <f t="shared" ref="K1805:K1868" si="325">I1805+J1805</f>
        <v>2521936</v>
      </c>
      <c r="L1805" s="171"/>
      <c r="M1805" s="44">
        <f>M1933+M1924+M1918+M1915+M1905+M1883+M1841+M1832+M1818+M1816+M1806</f>
        <v>4000</v>
      </c>
      <c r="N1805" s="44">
        <f>N1933+N1924+N1918+N1915+N1905+N1883+N1841+N1832+N1818+N1816+N1806</f>
        <v>21000</v>
      </c>
      <c r="O1805" s="44">
        <f t="shared" ref="O1805:O1868" si="326">M1805+N1805</f>
        <v>25000</v>
      </c>
      <c r="P1805" s="171"/>
      <c r="Q1805" s="44">
        <f t="shared" ref="Q1805:Q1846" si="327">I1805+M1805</f>
        <v>2545936</v>
      </c>
      <c r="R1805" s="44">
        <f t="shared" ref="R1805:S1820" si="328">J1805+N1805</f>
        <v>1000</v>
      </c>
      <c r="S1805" s="44">
        <f t="shared" si="328"/>
        <v>2546936</v>
      </c>
    </row>
    <row r="1806" spans="1:19" ht="15" x14ac:dyDescent="0.2">
      <c r="B1806" s="75">
        <f t="shared" si="324"/>
        <v>2</v>
      </c>
      <c r="C1806" s="164">
        <v>1</v>
      </c>
      <c r="D1806" s="230" t="s">
        <v>71</v>
      </c>
      <c r="E1806" s="228"/>
      <c r="F1806" s="228"/>
      <c r="G1806" s="228"/>
      <c r="H1806" s="229"/>
      <c r="I1806" s="45">
        <f>I1808+I1809+I1810+I1815</f>
        <v>207600</v>
      </c>
      <c r="J1806" s="45">
        <f>J1808+J1809+J1810+J1815</f>
        <v>0</v>
      </c>
      <c r="K1806" s="45">
        <f t="shared" si="325"/>
        <v>207600</v>
      </c>
      <c r="L1806" s="172"/>
      <c r="M1806" s="45">
        <f>M1807</f>
        <v>0</v>
      </c>
      <c r="N1806" s="45">
        <f>N1807</f>
        <v>0</v>
      </c>
      <c r="O1806" s="45">
        <f t="shared" si="326"/>
        <v>0</v>
      </c>
      <c r="P1806" s="172"/>
      <c r="Q1806" s="45">
        <f t="shared" si="327"/>
        <v>207600</v>
      </c>
      <c r="R1806" s="45">
        <f t="shared" si="328"/>
        <v>0</v>
      </c>
      <c r="S1806" s="45">
        <f t="shared" si="328"/>
        <v>207600</v>
      </c>
    </row>
    <row r="1807" spans="1:19" ht="15" x14ac:dyDescent="0.25">
      <c r="B1807" s="75">
        <f t="shared" si="324"/>
        <v>3</v>
      </c>
      <c r="C1807" s="18"/>
      <c r="D1807" s="18"/>
      <c r="E1807" s="18">
        <v>5</v>
      </c>
      <c r="F1807" s="50"/>
      <c r="G1807" s="18"/>
      <c r="H1807" s="18" t="s">
        <v>267</v>
      </c>
      <c r="I1807" s="47">
        <f>I1806</f>
        <v>207600</v>
      </c>
      <c r="J1807" s="47">
        <f>J1806</f>
        <v>0</v>
      </c>
      <c r="K1807" s="47">
        <f t="shared" si="325"/>
        <v>207600</v>
      </c>
      <c r="L1807" s="174"/>
      <c r="M1807" s="47">
        <f>M1808+M1809+M1810</f>
        <v>0</v>
      </c>
      <c r="N1807" s="47">
        <f>N1808+N1809+N1810</f>
        <v>0</v>
      </c>
      <c r="O1807" s="47">
        <f t="shared" si="326"/>
        <v>0</v>
      </c>
      <c r="P1807" s="174"/>
      <c r="Q1807" s="47">
        <f t="shared" si="327"/>
        <v>207600</v>
      </c>
      <c r="R1807" s="47">
        <f t="shared" si="328"/>
        <v>0</v>
      </c>
      <c r="S1807" s="47">
        <f t="shared" si="328"/>
        <v>207600</v>
      </c>
    </row>
    <row r="1808" spans="1:19" x14ac:dyDescent="0.2">
      <c r="B1808" s="75">
        <f t="shared" si="324"/>
        <v>4</v>
      </c>
      <c r="C1808" s="15"/>
      <c r="D1808" s="15"/>
      <c r="E1808" s="15"/>
      <c r="F1808" s="52" t="s">
        <v>77</v>
      </c>
      <c r="G1808" s="15">
        <v>610</v>
      </c>
      <c r="H1808" s="15" t="s">
        <v>137</v>
      </c>
      <c r="I1808" s="49">
        <v>102655</v>
      </c>
      <c r="J1808" s="49"/>
      <c r="K1808" s="49">
        <f t="shared" si="325"/>
        <v>102655</v>
      </c>
      <c r="L1808" s="123"/>
      <c r="M1808" s="49"/>
      <c r="N1808" s="49"/>
      <c r="O1808" s="49">
        <f t="shared" si="326"/>
        <v>0</v>
      </c>
      <c r="P1808" s="123"/>
      <c r="Q1808" s="49">
        <f t="shared" si="327"/>
        <v>102655</v>
      </c>
      <c r="R1808" s="49">
        <f t="shared" si="328"/>
        <v>0</v>
      </c>
      <c r="S1808" s="49">
        <f t="shared" si="328"/>
        <v>102655</v>
      </c>
    </row>
    <row r="1809" spans="2:19" x14ac:dyDescent="0.2">
      <c r="B1809" s="75">
        <f t="shared" si="324"/>
        <v>5</v>
      </c>
      <c r="C1809" s="15"/>
      <c r="D1809" s="15"/>
      <c r="E1809" s="15"/>
      <c r="F1809" s="52" t="s">
        <v>77</v>
      </c>
      <c r="G1809" s="15">
        <v>620</v>
      </c>
      <c r="H1809" s="15" t="s">
        <v>132</v>
      </c>
      <c r="I1809" s="49">
        <v>35930</v>
      </c>
      <c r="J1809" s="49"/>
      <c r="K1809" s="49">
        <f t="shared" si="325"/>
        <v>35930</v>
      </c>
      <c r="L1809" s="123"/>
      <c r="M1809" s="49"/>
      <c r="N1809" s="49"/>
      <c r="O1809" s="49">
        <f t="shared" si="326"/>
        <v>0</v>
      </c>
      <c r="P1809" s="123"/>
      <c r="Q1809" s="49">
        <f t="shared" si="327"/>
        <v>35930</v>
      </c>
      <c r="R1809" s="49">
        <f t="shared" si="328"/>
        <v>0</v>
      </c>
      <c r="S1809" s="49">
        <f t="shared" si="328"/>
        <v>35930</v>
      </c>
    </row>
    <row r="1810" spans="2:19" x14ac:dyDescent="0.2">
      <c r="B1810" s="75">
        <f t="shared" si="324"/>
        <v>6</v>
      </c>
      <c r="C1810" s="15"/>
      <c r="D1810" s="15"/>
      <c r="E1810" s="15"/>
      <c r="F1810" s="52" t="s">
        <v>77</v>
      </c>
      <c r="G1810" s="15">
        <v>630</v>
      </c>
      <c r="H1810" s="15" t="s">
        <v>129</v>
      </c>
      <c r="I1810" s="49">
        <f>I1814+I1813+I1812+I1811</f>
        <v>68715</v>
      </c>
      <c r="J1810" s="49">
        <f>J1814+J1813+J1812+J1811</f>
        <v>0</v>
      </c>
      <c r="K1810" s="49">
        <f t="shared" si="325"/>
        <v>68715</v>
      </c>
      <c r="L1810" s="123"/>
      <c r="M1810" s="49">
        <f>M1814+M1813+M1812+M1811</f>
        <v>0</v>
      </c>
      <c r="N1810" s="49">
        <f>N1814+N1813+N1812+N1811</f>
        <v>0</v>
      </c>
      <c r="O1810" s="49">
        <f t="shared" si="326"/>
        <v>0</v>
      </c>
      <c r="P1810" s="123"/>
      <c r="Q1810" s="49">
        <f t="shared" si="327"/>
        <v>68715</v>
      </c>
      <c r="R1810" s="49">
        <f t="shared" si="328"/>
        <v>0</v>
      </c>
      <c r="S1810" s="49">
        <f t="shared" si="328"/>
        <v>68715</v>
      </c>
    </row>
    <row r="1811" spans="2:19" x14ac:dyDescent="0.2">
      <c r="B1811" s="75">
        <f t="shared" si="324"/>
        <v>7</v>
      </c>
      <c r="C1811" s="4"/>
      <c r="D1811" s="4"/>
      <c r="E1811" s="4"/>
      <c r="F1811" s="53" t="s">
        <v>77</v>
      </c>
      <c r="G1811" s="4">
        <v>632</v>
      </c>
      <c r="H1811" s="4" t="s">
        <v>140</v>
      </c>
      <c r="I1811" s="26">
        <v>15650</v>
      </c>
      <c r="J1811" s="26"/>
      <c r="K1811" s="26">
        <f t="shared" si="325"/>
        <v>15650</v>
      </c>
      <c r="L1811" s="76"/>
      <c r="M1811" s="26"/>
      <c r="N1811" s="26"/>
      <c r="O1811" s="26">
        <f t="shared" si="326"/>
        <v>0</v>
      </c>
      <c r="P1811" s="76"/>
      <c r="Q1811" s="26">
        <f t="shared" si="327"/>
        <v>15650</v>
      </c>
      <c r="R1811" s="26">
        <f t="shared" si="328"/>
        <v>0</v>
      </c>
      <c r="S1811" s="26">
        <f t="shared" si="328"/>
        <v>15650</v>
      </c>
    </row>
    <row r="1812" spans="2:19" x14ac:dyDescent="0.2">
      <c r="B1812" s="75">
        <f t="shared" si="324"/>
        <v>8</v>
      </c>
      <c r="C1812" s="4"/>
      <c r="D1812" s="4"/>
      <c r="E1812" s="4"/>
      <c r="F1812" s="53" t="s">
        <v>77</v>
      </c>
      <c r="G1812" s="4">
        <v>633</v>
      </c>
      <c r="H1812" s="4" t="s">
        <v>133</v>
      </c>
      <c r="I1812" s="26">
        <v>23750</v>
      </c>
      <c r="J1812" s="26"/>
      <c r="K1812" s="26">
        <f t="shared" si="325"/>
        <v>23750</v>
      </c>
      <c r="L1812" s="76"/>
      <c r="M1812" s="26"/>
      <c r="N1812" s="26"/>
      <c r="O1812" s="26">
        <f t="shared" si="326"/>
        <v>0</v>
      </c>
      <c r="P1812" s="76"/>
      <c r="Q1812" s="26">
        <f t="shared" si="327"/>
        <v>23750</v>
      </c>
      <c r="R1812" s="26">
        <f t="shared" si="328"/>
        <v>0</v>
      </c>
      <c r="S1812" s="26">
        <f t="shared" si="328"/>
        <v>23750</v>
      </c>
    </row>
    <row r="1813" spans="2:19" x14ac:dyDescent="0.2">
      <c r="B1813" s="75">
        <f t="shared" si="324"/>
        <v>9</v>
      </c>
      <c r="C1813" s="4"/>
      <c r="D1813" s="4"/>
      <c r="E1813" s="4"/>
      <c r="F1813" s="53" t="s">
        <v>77</v>
      </c>
      <c r="G1813" s="4">
        <v>635</v>
      </c>
      <c r="H1813" s="4" t="s">
        <v>139</v>
      </c>
      <c r="I1813" s="26">
        <f>18310+6400</f>
        <v>24710</v>
      </c>
      <c r="J1813" s="26"/>
      <c r="K1813" s="26">
        <f t="shared" si="325"/>
        <v>24710</v>
      </c>
      <c r="L1813" s="76"/>
      <c r="M1813" s="26"/>
      <c r="N1813" s="26"/>
      <c r="O1813" s="26">
        <f t="shared" si="326"/>
        <v>0</v>
      </c>
      <c r="P1813" s="76"/>
      <c r="Q1813" s="26">
        <f t="shared" si="327"/>
        <v>24710</v>
      </c>
      <c r="R1813" s="26">
        <f t="shared" si="328"/>
        <v>0</v>
      </c>
      <c r="S1813" s="26">
        <f t="shared" si="328"/>
        <v>24710</v>
      </c>
    </row>
    <row r="1814" spans="2:19" x14ac:dyDescent="0.2">
      <c r="B1814" s="75">
        <f t="shared" si="324"/>
        <v>10</v>
      </c>
      <c r="C1814" s="4"/>
      <c r="D1814" s="4"/>
      <c r="E1814" s="4"/>
      <c r="F1814" s="53" t="s">
        <v>77</v>
      </c>
      <c r="G1814" s="4">
        <v>637</v>
      </c>
      <c r="H1814" s="4" t="s">
        <v>130</v>
      </c>
      <c r="I1814" s="26">
        <f>4330+275</f>
        <v>4605</v>
      </c>
      <c r="J1814" s="26"/>
      <c r="K1814" s="26">
        <f t="shared" si="325"/>
        <v>4605</v>
      </c>
      <c r="L1814" s="76"/>
      <c r="M1814" s="26"/>
      <c r="N1814" s="26"/>
      <c r="O1814" s="26">
        <f t="shared" si="326"/>
        <v>0</v>
      </c>
      <c r="P1814" s="76"/>
      <c r="Q1814" s="26">
        <f t="shared" si="327"/>
        <v>4605</v>
      </c>
      <c r="R1814" s="26">
        <f t="shared" si="328"/>
        <v>0</v>
      </c>
      <c r="S1814" s="26">
        <f t="shared" si="328"/>
        <v>4605</v>
      </c>
    </row>
    <row r="1815" spans="2:19" x14ac:dyDescent="0.2">
      <c r="B1815" s="75">
        <f t="shared" si="324"/>
        <v>11</v>
      </c>
      <c r="C1815" s="15"/>
      <c r="D1815" s="15"/>
      <c r="E1815" s="15"/>
      <c r="F1815" s="52" t="s">
        <v>77</v>
      </c>
      <c r="G1815" s="15">
        <v>640</v>
      </c>
      <c r="H1815" s="15" t="s">
        <v>136</v>
      </c>
      <c r="I1815" s="49">
        <v>300</v>
      </c>
      <c r="J1815" s="49"/>
      <c r="K1815" s="49">
        <f t="shared" si="325"/>
        <v>300</v>
      </c>
      <c r="L1815" s="123"/>
      <c r="M1815" s="49"/>
      <c r="N1815" s="49"/>
      <c r="O1815" s="49">
        <f t="shared" si="326"/>
        <v>0</v>
      </c>
      <c r="P1815" s="123"/>
      <c r="Q1815" s="49">
        <f t="shared" si="327"/>
        <v>300</v>
      </c>
      <c r="R1815" s="49">
        <f t="shared" si="328"/>
        <v>0</v>
      </c>
      <c r="S1815" s="49">
        <f t="shared" si="328"/>
        <v>300</v>
      </c>
    </row>
    <row r="1816" spans="2:19" ht="15" x14ac:dyDescent="0.2">
      <c r="B1816" s="75">
        <f t="shared" si="324"/>
        <v>12</v>
      </c>
      <c r="C1816" s="164">
        <v>2</v>
      </c>
      <c r="D1816" s="230" t="s">
        <v>238</v>
      </c>
      <c r="E1816" s="228"/>
      <c r="F1816" s="228"/>
      <c r="G1816" s="228"/>
      <c r="H1816" s="229"/>
      <c r="I1816" s="45">
        <f>I1817</f>
        <v>2000</v>
      </c>
      <c r="J1816" s="45">
        <f>J1817</f>
        <v>0</v>
      </c>
      <c r="K1816" s="45">
        <f t="shared" si="325"/>
        <v>2000</v>
      </c>
      <c r="L1816" s="172"/>
      <c r="M1816" s="45">
        <f>M1817</f>
        <v>0</v>
      </c>
      <c r="N1816" s="45">
        <f>N1817</f>
        <v>0</v>
      </c>
      <c r="O1816" s="45">
        <f t="shared" si="326"/>
        <v>0</v>
      </c>
      <c r="P1816" s="172"/>
      <c r="Q1816" s="45">
        <f t="shared" si="327"/>
        <v>2000</v>
      </c>
      <c r="R1816" s="45">
        <f t="shared" si="328"/>
        <v>0</v>
      </c>
      <c r="S1816" s="45">
        <f t="shared" si="328"/>
        <v>2000</v>
      </c>
    </row>
    <row r="1817" spans="2:19" x14ac:dyDescent="0.2">
      <c r="B1817" s="75">
        <f t="shared" si="324"/>
        <v>13</v>
      </c>
      <c r="C1817" s="15"/>
      <c r="D1817" s="15"/>
      <c r="E1817" s="15"/>
      <c r="F1817" s="52" t="s">
        <v>237</v>
      </c>
      <c r="G1817" s="15">
        <v>640</v>
      </c>
      <c r="H1817" s="15" t="s">
        <v>136</v>
      </c>
      <c r="I1817" s="49">
        <v>2000</v>
      </c>
      <c r="J1817" s="49"/>
      <c r="K1817" s="49">
        <f t="shared" si="325"/>
        <v>2000</v>
      </c>
      <c r="L1817" s="123"/>
      <c r="M1817" s="49"/>
      <c r="N1817" s="49"/>
      <c r="O1817" s="49">
        <f t="shared" si="326"/>
        <v>0</v>
      </c>
      <c r="P1817" s="123"/>
      <c r="Q1817" s="49">
        <f t="shared" si="327"/>
        <v>2000</v>
      </c>
      <c r="R1817" s="49">
        <f t="shared" si="328"/>
        <v>0</v>
      </c>
      <c r="S1817" s="49">
        <f t="shared" si="328"/>
        <v>2000</v>
      </c>
    </row>
    <row r="1818" spans="2:19" ht="15" x14ac:dyDescent="0.2">
      <c r="B1818" s="75">
        <f t="shared" si="324"/>
        <v>14</v>
      </c>
      <c r="C1818" s="164">
        <v>3</v>
      </c>
      <c r="D1818" s="230" t="s">
        <v>254</v>
      </c>
      <c r="E1818" s="228"/>
      <c r="F1818" s="228"/>
      <c r="G1818" s="228"/>
      <c r="H1818" s="229"/>
      <c r="I1818" s="45">
        <f>I1819</f>
        <v>23070</v>
      </c>
      <c r="J1818" s="45">
        <f>J1819</f>
        <v>0</v>
      </c>
      <c r="K1818" s="45">
        <f t="shared" si="325"/>
        <v>23070</v>
      </c>
      <c r="L1818" s="172"/>
      <c r="M1818" s="45">
        <v>0</v>
      </c>
      <c r="N1818" s="45"/>
      <c r="O1818" s="45">
        <f t="shared" si="326"/>
        <v>0</v>
      </c>
      <c r="P1818" s="172"/>
      <c r="Q1818" s="45">
        <f t="shared" si="327"/>
        <v>23070</v>
      </c>
      <c r="R1818" s="45">
        <f t="shared" si="328"/>
        <v>0</v>
      </c>
      <c r="S1818" s="45">
        <f t="shared" si="328"/>
        <v>23070</v>
      </c>
    </row>
    <row r="1819" spans="2:19" x14ac:dyDescent="0.2">
      <c r="B1819" s="75">
        <f t="shared" si="324"/>
        <v>15</v>
      </c>
      <c r="C1819" s="68"/>
      <c r="D1819" s="68"/>
      <c r="E1819" s="68"/>
      <c r="F1819" s="72" t="s">
        <v>253</v>
      </c>
      <c r="G1819" s="68">
        <v>640</v>
      </c>
      <c r="H1819" s="68" t="s">
        <v>136</v>
      </c>
      <c r="I1819" s="70">
        <f>I1820+I1821+I1822+I1823+I1831</f>
        <v>23070</v>
      </c>
      <c r="J1819" s="70">
        <f>J1820+J1821+J1822+J1823+J1831</f>
        <v>0</v>
      </c>
      <c r="K1819" s="70">
        <f t="shared" si="325"/>
        <v>23070</v>
      </c>
      <c r="L1819" s="180"/>
      <c r="M1819" s="70"/>
      <c r="N1819" s="70"/>
      <c r="O1819" s="70">
        <f t="shared" si="326"/>
        <v>0</v>
      </c>
      <c r="P1819" s="180"/>
      <c r="Q1819" s="70">
        <f t="shared" si="327"/>
        <v>23070</v>
      </c>
      <c r="R1819" s="70">
        <f t="shared" si="328"/>
        <v>0</v>
      </c>
      <c r="S1819" s="70">
        <f t="shared" si="328"/>
        <v>23070</v>
      </c>
    </row>
    <row r="1820" spans="2:19" x14ac:dyDescent="0.2">
      <c r="B1820" s="75">
        <f t="shared" si="324"/>
        <v>16</v>
      </c>
      <c r="C1820" s="68"/>
      <c r="D1820" s="69"/>
      <c r="E1820" s="68"/>
      <c r="F1820" s="84" t="s">
        <v>253</v>
      </c>
      <c r="G1820" s="85">
        <v>640</v>
      </c>
      <c r="H1820" s="85" t="s">
        <v>235</v>
      </c>
      <c r="I1820" s="65">
        <v>5000</v>
      </c>
      <c r="J1820" s="65"/>
      <c r="K1820" s="65">
        <f t="shared" si="325"/>
        <v>5000</v>
      </c>
      <c r="L1820" s="161"/>
      <c r="M1820" s="70"/>
      <c r="N1820" s="70"/>
      <c r="O1820" s="70">
        <f t="shared" si="326"/>
        <v>0</v>
      </c>
      <c r="P1820" s="180"/>
      <c r="Q1820" s="65">
        <f t="shared" si="327"/>
        <v>5000</v>
      </c>
      <c r="R1820" s="65">
        <f t="shared" si="328"/>
        <v>0</v>
      </c>
      <c r="S1820" s="65">
        <f t="shared" si="328"/>
        <v>5000</v>
      </c>
    </row>
    <row r="1821" spans="2:19" ht="24" x14ac:dyDescent="0.2">
      <c r="B1821" s="75">
        <f t="shared" si="324"/>
        <v>17</v>
      </c>
      <c r="C1821" s="68"/>
      <c r="D1821" s="69"/>
      <c r="E1821" s="68"/>
      <c r="F1821" s="84" t="s">
        <v>253</v>
      </c>
      <c r="G1821" s="85">
        <v>640</v>
      </c>
      <c r="H1821" s="90" t="s">
        <v>369</v>
      </c>
      <c r="I1821" s="65">
        <f>906-106</f>
        <v>800</v>
      </c>
      <c r="J1821" s="65"/>
      <c r="K1821" s="65">
        <f t="shared" si="325"/>
        <v>800</v>
      </c>
      <c r="L1821" s="161"/>
      <c r="M1821" s="70"/>
      <c r="N1821" s="70"/>
      <c r="O1821" s="70">
        <f t="shared" si="326"/>
        <v>0</v>
      </c>
      <c r="P1821" s="180"/>
      <c r="Q1821" s="65">
        <f t="shared" si="327"/>
        <v>800</v>
      </c>
      <c r="R1821" s="65">
        <f t="shared" ref="R1821:S1836" si="329">J1821+N1821</f>
        <v>0</v>
      </c>
      <c r="S1821" s="65">
        <f t="shared" si="329"/>
        <v>800</v>
      </c>
    </row>
    <row r="1822" spans="2:19" x14ac:dyDescent="0.2">
      <c r="B1822" s="75">
        <f t="shared" si="324"/>
        <v>18</v>
      </c>
      <c r="C1822" s="68"/>
      <c r="D1822" s="69"/>
      <c r="E1822" s="68"/>
      <c r="F1822" s="84" t="s">
        <v>253</v>
      </c>
      <c r="G1822" s="85">
        <v>640</v>
      </c>
      <c r="H1822" s="85" t="s">
        <v>370</v>
      </c>
      <c r="I1822" s="65">
        <f>1928+52</f>
        <v>1980</v>
      </c>
      <c r="J1822" s="65"/>
      <c r="K1822" s="65">
        <f t="shared" si="325"/>
        <v>1980</v>
      </c>
      <c r="L1822" s="161"/>
      <c r="M1822" s="70"/>
      <c r="N1822" s="70"/>
      <c r="O1822" s="70">
        <f t="shared" si="326"/>
        <v>0</v>
      </c>
      <c r="P1822" s="180"/>
      <c r="Q1822" s="65">
        <f t="shared" si="327"/>
        <v>1980</v>
      </c>
      <c r="R1822" s="65">
        <f t="shared" si="329"/>
        <v>0</v>
      </c>
      <c r="S1822" s="65">
        <f t="shared" si="329"/>
        <v>1980</v>
      </c>
    </row>
    <row r="1823" spans="2:19" ht="24" x14ac:dyDescent="0.2">
      <c r="B1823" s="75">
        <f t="shared" si="324"/>
        <v>19</v>
      </c>
      <c r="C1823" s="68"/>
      <c r="D1823" s="69"/>
      <c r="E1823" s="68"/>
      <c r="F1823" s="84" t="s">
        <v>253</v>
      </c>
      <c r="G1823" s="85">
        <v>640</v>
      </c>
      <c r="H1823" s="90" t="s">
        <v>371</v>
      </c>
      <c r="I1823" s="65">
        <f>SUM(I1824:I1830)</f>
        <v>8290</v>
      </c>
      <c r="J1823" s="65">
        <f>SUM(J1824:J1830)</f>
        <v>0</v>
      </c>
      <c r="K1823" s="65">
        <f t="shared" si="325"/>
        <v>8290</v>
      </c>
      <c r="L1823" s="161"/>
      <c r="M1823" s="70"/>
      <c r="N1823" s="70"/>
      <c r="O1823" s="70">
        <f t="shared" si="326"/>
        <v>0</v>
      </c>
      <c r="P1823" s="180"/>
      <c r="Q1823" s="65">
        <f t="shared" si="327"/>
        <v>8290</v>
      </c>
      <c r="R1823" s="65">
        <f t="shared" si="329"/>
        <v>0</v>
      </c>
      <c r="S1823" s="65">
        <f t="shared" si="329"/>
        <v>8290</v>
      </c>
    </row>
    <row r="1824" spans="2:19" x14ac:dyDescent="0.2">
      <c r="B1824" s="75">
        <f t="shared" si="324"/>
        <v>20</v>
      </c>
      <c r="C1824" s="68"/>
      <c r="D1824" s="69"/>
      <c r="E1824" s="68"/>
      <c r="F1824" s="84"/>
      <c r="G1824" s="85"/>
      <c r="H1824" s="90" t="s">
        <v>372</v>
      </c>
      <c r="I1824" s="65">
        <f>422+34</f>
        <v>456</v>
      </c>
      <c r="J1824" s="65"/>
      <c r="K1824" s="65">
        <f t="shared" si="325"/>
        <v>456</v>
      </c>
      <c r="L1824" s="161"/>
      <c r="M1824" s="70"/>
      <c r="N1824" s="70"/>
      <c r="O1824" s="70">
        <f t="shared" si="326"/>
        <v>0</v>
      </c>
      <c r="P1824" s="180"/>
      <c r="Q1824" s="65">
        <f t="shared" si="327"/>
        <v>456</v>
      </c>
      <c r="R1824" s="65">
        <f t="shared" si="329"/>
        <v>0</v>
      </c>
      <c r="S1824" s="65">
        <f t="shared" si="329"/>
        <v>456</v>
      </c>
    </row>
    <row r="1825" spans="2:19" x14ac:dyDescent="0.2">
      <c r="B1825" s="75">
        <f t="shared" si="324"/>
        <v>21</v>
      </c>
      <c r="C1825" s="68"/>
      <c r="D1825" s="69"/>
      <c r="E1825" s="68"/>
      <c r="F1825" s="84"/>
      <c r="G1825" s="85"/>
      <c r="H1825" s="90" t="s">
        <v>373</v>
      </c>
      <c r="I1825" s="65">
        <f>1819+124</f>
        <v>1943</v>
      </c>
      <c r="J1825" s="65"/>
      <c r="K1825" s="65">
        <f t="shared" si="325"/>
        <v>1943</v>
      </c>
      <c r="L1825" s="161"/>
      <c r="M1825" s="70"/>
      <c r="N1825" s="70"/>
      <c r="O1825" s="70">
        <f t="shared" si="326"/>
        <v>0</v>
      </c>
      <c r="P1825" s="180"/>
      <c r="Q1825" s="65">
        <f t="shared" si="327"/>
        <v>1943</v>
      </c>
      <c r="R1825" s="65">
        <f t="shared" si="329"/>
        <v>0</v>
      </c>
      <c r="S1825" s="65">
        <f t="shared" si="329"/>
        <v>1943</v>
      </c>
    </row>
    <row r="1826" spans="2:19" x14ac:dyDescent="0.2">
      <c r="B1826" s="75">
        <f t="shared" si="324"/>
        <v>22</v>
      </c>
      <c r="C1826" s="68"/>
      <c r="D1826" s="69"/>
      <c r="E1826" s="68"/>
      <c r="F1826" s="84"/>
      <c r="G1826" s="85"/>
      <c r="H1826" s="90" t="s">
        <v>374</v>
      </c>
      <c r="I1826" s="65">
        <f>1363+67</f>
        <v>1430</v>
      </c>
      <c r="J1826" s="65"/>
      <c r="K1826" s="65">
        <f t="shared" si="325"/>
        <v>1430</v>
      </c>
      <c r="L1826" s="161"/>
      <c r="M1826" s="70"/>
      <c r="N1826" s="70"/>
      <c r="O1826" s="70">
        <f t="shared" si="326"/>
        <v>0</v>
      </c>
      <c r="P1826" s="180"/>
      <c r="Q1826" s="65">
        <f t="shared" si="327"/>
        <v>1430</v>
      </c>
      <c r="R1826" s="65">
        <f t="shared" si="329"/>
        <v>0</v>
      </c>
      <c r="S1826" s="65">
        <f t="shared" si="329"/>
        <v>1430</v>
      </c>
    </row>
    <row r="1827" spans="2:19" x14ac:dyDescent="0.2">
      <c r="B1827" s="75">
        <f t="shared" si="324"/>
        <v>23</v>
      </c>
      <c r="C1827" s="68"/>
      <c r="D1827" s="69"/>
      <c r="E1827" s="68"/>
      <c r="F1827" s="84"/>
      <c r="G1827" s="85"/>
      <c r="H1827" s="90" t="s">
        <v>375</v>
      </c>
      <c r="I1827" s="65">
        <f>370-24</f>
        <v>346</v>
      </c>
      <c r="J1827" s="65"/>
      <c r="K1827" s="65">
        <f t="shared" si="325"/>
        <v>346</v>
      </c>
      <c r="L1827" s="161"/>
      <c r="M1827" s="70"/>
      <c r="N1827" s="70"/>
      <c r="O1827" s="70">
        <f t="shared" si="326"/>
        <v>0</v>
      </c>
      <c r="P1827" s="180"/>
      <c r="Q1827" s="65">
        <f t="shared" si="327"/>
        <v>346</v>
      </c>
      <c r="R1827" s="65">
        <f t="shared" si="329"/>
        <v>0</v>
      </c>
      <c r="S1827" s="65">
        <f t="shared" si="329"/>
        <v>346</v>
      </c>
    </row>
    <row r="1828" spans="2:19" x14ac:dyDescent="0.2">
      <c r="B1828" s="75">
        <f t="shared" si="324"/>
        <v>24</v>
      </c>
      <c r="C1828" s="68"/>
      <c r="D1828" s="69"/>
      <c r="E1828" s="68"/>
      <c r="F1828" s="84"/>
      <c r="G1828" s="85"/>
      <c r="H1828" s="90" t="s">
        <v>376</v>
      </c>
      <c r="I1828" s="65">
        <f>478+198</f>
        <v>676</v>
      </c>
      <c r="J1828" s="65"/>
      <c r="K1828" s="65">
        <f t="shared" si="325"/>
        <v>676</v>
      </c>
      <c r="L1828" s="161"/>
      <c r="M1828" s="70"/>
      <c r="N1828" s="70"/>
      <c r="O1828" s="70">
        <f t="shared" si="326"/>
        <v>0</v>
      </c>
      <c r="P1828" s="180"/>
      <c r="Q1828" s="65">
        <f t="shared" si="327"/>
        <v>676</v>
      </c>
      <c r="R1828" s="65">
        <f t="shared" si="329"/>
        <v>0</v>
      </c>
      <c r="S1828" s="65">
        <f t="shared" si="329"/>
        <v>676</v>
      </c>
    </row>
    <row r="1829" spans="2:19" x14ac:dyDescent="0.2">
      <c r="B1829" s="75">
        <f t="shared" si="324"/>
        <v>25</v>
      </c>
      <c r="C1829" s="68"/>
      <c r="D1829" s="69"/>
      <c r="E1829" s="68"/>
      <c r="F1829" s="84"/>
      <c r="G1829" s="85"/>
      <c r="H1829" s="90" t="s">
        <v>377</v>
      </c>
      <c r="I1829" s="65">
        <f>1080-17</f>
        <v>1063</v>
      </c>
      <c r="J1829" s="65"/>
      <c r="K1829" s="65">
        <f t="shared" si="325"/>
        <v>1063</v>
      </c>
      <c r="L1829" s="161"/>
      <c r="M1829" s="70"/>
      <c r="N1829" s="70"/>
      <c r="O1829" s="70">
        <f t="shared" si="326"/>
        <v>0</v>
      </c>
      <c r="P1829" s="180"/>
      <c r="Q1829" s="65">
        <f t="shared" si="327"/>
        <v>1063</v>
      </c>
      <c r="R1829" s="65">
        <f t="shared" si="329"/>
        <v>0</v>
      </c>
      <c r="S1829" s="65">
        <f t="shared" si="329"/>
        <v>1063</v>
      </c>
    </row>
    <row r="1830" spans="2:19" x14ac:dyDescent="0.2">
      <c r="B1830" s="75">
        <f t="shared" si="324"/>
        <v>26</v>
      </c>
      <c r="C1830" s="68"/>
      <c r="D1830" s="69"/>
      <c r="E1830" s="68"/>
      <c r="F1830" s="84"/>
      <c r="G1830" s="85"/>
      <c r="H1830" s="90" t="s">
        <v>378</v>
      </c>
      <c r="I1830" s="65">
        <f>2704-328</f>
        <v>2376</v>
      </c>
      <c r="J1830" s="65"/>
      <c r="K1830" s="65">
        <f t="shared" si="325"/>
        <v>2376</v>
      </c>
      <c r="L1830" s="161"/>
      <c r="M1830" s="70"/>
      <c r="N1830" s="70"/>
      <c r="O1830" s="70">
        <f t="shared" si="326"/>
        <v>0</v>
      </c>
      <c r="P1830" s="180"/>
      <c r="Q1830" s="65">
        <f t="shared" si="327"/>
        <v>2376</v>
      </c>
      <c r="R1830" s="65">
        <f t="shared" si="329"/>
        <v>0</v>
      </c>
      <c r="S1830" s="65">
        <f t="shared" si="329"/>
        <v>2376</v>
      </c>
    </row>
    <row r="1831" spans="2:19" ht="24" x14ac:dyDescent="0.2">
      <c r="B1831" s="75">
        <f t="shared" si="324"/>
        <v>27</v>
      </c>
      <c r="C1831" s="68"/>
      <c r="D1831" s="69"/>
      <c r="E1831" s="68"/>
      <c r="F1831" s="84" t="s">
        <v>253</v>
      </c>
      <c r="G1831" s="85">
        <v>640</v>
      </c>
      <c r="H1831" s="90" t="s">
        <v>438</v>
      </c>
      <c r="I1831" s="65">
        <v>7000</v>
      </c>
      <c r="J1831" s="65"/>
      <c r="K1831" s="65">
        <f t="shared" si="325"/>
        <v>7000</v>
      </c>
      <c r="L1831" s="161"/>
      <c r="M1831" s="70"/>
      <c r="N1831" s="70"/>
      <c r="O1831" s="70">
        <f t="shared" si="326"/>
        <v>0</v>
      </c>
      <c r="P1831" s="180"/>
      <c r="Q1831" s="65">
        <f t="shared" si="327"/>
        <v>7000</v>
      </c>
      <c r="R1831" s="65">
        <f t="shared" si="329"/>
        <v>0</v>
      </c>
      <c r="S1831" s="65">
        <f t="shared" si="329"/>
        <v>7000</v>
      </c>
    </row>
    <row r="1832" spans="2:19" ht="15" x14ac:dyDescent="0.2">
      <c r="B1832" s="75">
        <f t="shared" si="324"/>
        <v>28</v>
      </c>
      <c r="C1832" s="164">
        <v>4</v>
      </c>
      <c r="D1832" s="230" t="s">
        <v>243</v>
      </c>
      <c r="E1832" s="228"/>
      <c r="F1832" s="228"/>
      <c r="G1832" s="228"/>
      <c r="H1832" s="229"/>
      <c r="I1832" s="45">
        <f>I1833</f>
        <v>63930</v>
      </c>
      <c r="J1832" s="45">
        <f>J1833</f>
        <v>0</v>
      </c>
      <c r="K1832" s="45">
        <f t="shared" si="325"/>
        <v>63930</v>
      </c>
      <c r="L1832" s="172"/>
      <c r="M1832" s="45">
        <f>M1833</f>
        <v>0</v>
      </c>
      <c r="N1832" s="45">
        <f>N1833</f>
        <v>0</v>
      </c>
      <c r="O1832" s="45">
        <f t="shared" si="326"/>
        <v>0</v>
      </c>
      <c r="P1832" s="172"/>
      <c r="Q1832" s="45">
        <f t="shared" si="327"/>
        <v>63930</v>
      </c>
      <c r="R1832" s="45">
        <f t="shared" si="329"/>
        <v>0</v>
      </c>
      <c r="S1832" s="45">
        <f t="shared" si="329"/>
        <v>63930</v>
      </c>
    </row>
    <row r="1833" spans="2:19" ht="15" x14ac:dyDescent="0.25">
      <c r="B1833" s="75">
        <f t="shared" si="324"/>
        <v>29</v>
      </c>
      <c r="C1833" s="18"/>
      <c r="D1833" s="18"/>
      <c r="E1833" s="18">
        <v>5</v>
      </c>
      <c r="F1833" s="50"/>
      <c r="G1833" s="18"/>
      <c r="H1833" s="18" t="s">
        <v>267</v>
      </c>
      <c r="I1833" s="47">
        <f>I1834+I1835+I1836</f>
        <v>63930</v>
      </c>
      <c r="J1833" s="47">
        <f>J1834+J1835+J1836</f>
        <v>0</v>
      </c>
      <c r="K1833" s="47">
        <f t="shared" si="325"/>
        <v>63930</v>
      </c>
      <c r="L1833" s="174"/>
      <c r="M1833" s="47">
        <f>M1834+M1835+M1836</f>
        <v>0</v>
      </c>
      <c r="N1833" s="47">
        <f>N1834+N1835+N1836</f>
        <v>0</v>
      </c>
      <c r="O1833" s="47">
        <f t="shared" si="326"/>
        <v>0</v>
      </c>
      <c r="P1833" s="174"/>
      <c r="Q1833" s="47">
        <f t="shared" si="327"/>
        <v>63930</v>
      </c>
      <c r="R1833" s="47">
        <f t="shared" si="329"/>
        <v>0</v>
      </c>
      <c r="S1833" s="47">
        <f t="shared" si="329"/>
        <v>63930</v>
      </c>
    </row>
    <row r="1834" spans="2:19" x14ac:dyDescent="0.2">
      <c r="B1834" s="75">
        <f t="shared" si="324"/>
        <v>30</v>
      </c>
      <c r="C1834" s="15"/>
      <c r="D1834" s="15"/>
      <c r="E1834" s="15"/>
      <c r="F1834" s="52" t="s">
        <v>237</v>
      </c>
      <c r="G1834" s="15">
        <v>610</v>
      </c>
      <c r="H1834" s="15" t="s">
        <v>137</v>
      </c>
      <c r="I1834" s="49">
        <f>20860+10460</f>
        <v>31320</v>
      </c>
      <c r="J1834" s="49"/>
      <c r="K1834" s="49">
        <f t="shared" si="325"/>
        <v>31320</v>
      </c>
      <c r="L1834" s="123"/>
      <c r="M1834" s="49"/>
      <c r="N1834" s="49"/>
      <c r="O1834" s="49">
        <f t="shared" si="326"/>
        <v>0</v>
      </c>
      <c r="P1834" s="123"/>
      <c r="Q1834" s="49">
        <f t="shared" si="327"/>
        <v>31320</v>
      </c>
      <c r="R1834" s="49">
        <f t="shared" si="329"/>
        <v>0</v>
      </c>
      <c r="S1834" s="49">
        <f t="shared" si="329"/>
        <v>31320</v>
      </c>
    </row>
    <row r="1835" spans="2:19" x14ac:dyDescent="0.2">
      <c r="B1835" s="75">
        <f t="shared" si="324"/>
        <v>31</v>
      </c>
      <c r="C1835" s="15"/>
      <c r="D1835" s="15"/>
      <c r="E1835" s="15"/>
      <c r="F1835" s="52" t="s">
        <v>237</v>
      </c>
      <c r="G1835" s="15">
        <v>620</v>
      </c>
      <c r="H1835" s="15" t="s">
        <v>132</v>
      </c>
      <c r="I1835" s="49">
        <f>7300+3660</f>
        <v>10960</v>
      </c>
      <c r="J1835" s="49"/>
      <c r="K1835" s="49">
        <f t="shared" si="325"/>
        <v>10960</v>
      </c>
      <c r="L1835" s="123"/>
      <c r="M1835" s="49"/>
      <c r="N1835" s="49"/>
      <c r="O1835" s="49">
        <f t="shared" si="326"/>
        <v>0</v>
      </c>
      <c r="P1835" s="123"/>
      <c r="Q1835" s="49">
        <f t="shared" si="327"/>
        <v>10960</v>
      </c>
      <c r="R1835" s="49">
        <f t="shared" si="329"/>
        <v>0</v>
      </c>
      <c r="S1835" s="49">
        <f t="shared" si="329"/>
        <v>10960</v>
      </c>
    </row>
    <row r="1836" spans="2:19" x14ac:dyDescent="0.2">
      <c r="B1836" s="75">
        <f t="shared" si="324"/>
        <v>32</v>
      </c>
      <c r="C1836" s="15"/>
      <c r="D1836" s="15"/>
      <c r="E1836" s="15"/>
      <c r="F1836" s="52" t="s">
        <v>237</v>
      </c>
      <c r="G1836" s="15">
        <v>630</v>
      </c>
      <c r="H1836" s="15" t="s">
        <v>129</v>
      </c>
      <c r="I1836" s="49">
        <f>I1840+I1839+I1838+I1837</f>
        <v>21650</v>
      </c>
      <c r="J1836" s="49">
        <f>J1840+J1839+J1838+J1837</f>
        <v>0</v>
      </c>
      <c r="K1836" s="49">
        <f t="shared" si="325"/>
        <v>21650</v>
      </c>
      <c r="L1836" s="123"/>
      <c r="M1836" s="49">
        <f>M1840+M1839+M1838+M1837</f>
        <v>0</v>
      </c>
      <c r="N1836" s="49">
        <f>N1840+N1839+N1838+N1837</f>
        <v>0</v>
      </c>
      <c r="O1836" s="49">
        <f t="shared" si="326"/>
        <v>0</v>
      </c>
      <c r="P1836" s="123"/>
      <c r="Q1836" s="49">
        <f t="shared" si="327"/>
        <v>21650</v>
      </c>
      <c r="R1836" s="49">
        <f t="shared" si="329"/>
        <v>0</v>
      </c>
      <c r="S1836" s="49">
        <f t="shared" si="329"/>
        <v>21650</v>
      </c>
    </row>
    <row r="1837" spans="2:19" x14ac:dyDescent="0.2">
      <c r="B1837" s="75">
        <f t="shared" si="324"/>
        <v>33</v>
      </c>
      <c r="C1837" s="4"/>
      <c r="D1837" s="4"/>
      <c r="E1837" s="4"/>
      <c r="F1837" s="53" t="s">
        <v>237</v>
      </c>
      <c r="G1837" s="4">
        <v>632</v>
      </c>
      <c r="H1837" s="4" t="s">
        <v>140</v>
      </c>
      <c r="I1837" s="26">
        <f>7450+2600</f>
        <v>10050</v>
      </c>
      <c r="J1837" s="26"/>
      <c r="K1837" s="26">
        <f t="shared" si="325"/>
        <v>10050</v>
      </c>
      <c r="L1837" s="76"/>
      <c r="M1837" s="26"/>
      <c r="N1837" s="26"/>
      <c r="O1837" s="26">
        <f t="shared" si="326"/>
        <v>0</v>
      </c>
      <c r="P1837" s="76"/>
      <c r="Q1837" s="26">
        <f t="shared" si="327"/>
        <v>10050</v>
      </c>
      <c r="R1837" s="26">
        <f t="shared" ref="R1837:S1846" si="330">J1837+N1837</f>
        <v>0</v>
      </c>
      <c r="S1837" s="26">
        <f t="shared" si="330"/>
        <v>10050</v>
      </c>
    </row>
    <row r="1838" spans="2:19" x14ac:dyDescent="0.2">
      <c r="B1838" s="75">
        <f t="shared" si="324"/>
        <v>34</v>
      </c>
      <c r="C1838" s="4"/>
      <c r="D1838" s="4"/>
      <c r="E1838" s="4"/>
      <c r="F1838" s="53" t="s">
        <v>237</v>
      </c>
      <c r="G1838" s="4">
        <v>633</v>
      </c>
      <c r="H1838" s="4" t="s">
        <v>133</v>
      </c>
      <c r="I1838" s="26">
        <f>600+500</f>
        <v>1100</v>
      </c>
      <c r="J1838" s="26"/>
      <c r="K1838" s="26">
        <f t="shared" si="325"/>
        <v>1100</v>
      </c>
      <c r="L1838" s="76"/>
      <c r="M1838" s="26"/>
      <c r="N1838" s="26"/>
      <c r="O1838" s="26">
        <f t="shared" si="326"/>
        <v>0</v>
      </c>
      <c r="P1838" s="76"/>
      <c r="Q1838" s="26">
        <f t="shared" si="327"/>
        <v>1100</v>
      </c>
      <c r="R1838" s="26">
        <f t="shared" si="330"/>
        <v>0</v>
      </c>
      <c r="S1838" s="26">
        <f t="shared" si="330"/>
        <v>1100</v>
      </c>
    </row>
    <row r="1839" spans="2:19" x14ac:dyDescent="0.2">
      <c r="B1839" s="75">
        <f t="shared" si="324"/>
        <v>35</v>
      </c>
      <c r="C1839" s="4"/>
      <c r="D1839" s="4"/>
      <c r="E1839" s="4"/>
      <c r="F1839" s="53" t="s">
        <v>237</v>
      </c>
      <c r="G1839" s="4">
        <v>635</v>
      </c>
      <c r="H1839" s="4" t="s">
        <v>139</v>
      </c>
      <c r="I1839" s="26">
        <f>1500+3500</f>
        <v>5000</v>
      </c>
      <c r="J1839" s="26"/>
      <c r="K1839" s="26">
        <f t="shared" si="325"/>
        <v>5000</v>
      </c>
      <c r="L1839" s="76"/>
      <c r="M1839" s="26"/>
      <c r="N1839" s="26"/>
      <c r="O1839" s="26">
        <f t="shared" si="326"/>
        <v>0</v>
      </c>
      <c r="P1839" s="76"/>
      <c r="Q1839" s="26">
        <f t="shared" si="327"/>
        <v>5000</v>
      </c>
      <c r="R1839" s="26">
        <f t="shared" si="330"/>
        <v>0</v>
      </c>
      <c r="S1839" s="26">
        <f t="shared" si="330"/>
        <v>5000</v>
      </c>
    </row>
    <row r="1840" spans="2:19" x14ac:dyDescent="0.2">
      <c r="B1840" s="75">
        <f t="shared" si="324"/>
        <v>36</v>
      </c>
      <c r="C1840" s="4"/>
      <c r="D1840" s="4"/>
      <c r="E1840" s="4"/>
      <c r="F1840" s="53" t="s">
        <v>237</v>
      </c>
      <c r="G1840" s="4">
        <v>637</v>
      </c>
      <c r="H1840" s="4" t="s">
        <v>130</v>
      </c>
      <c r="I1840" s="26">
        <f>2500+3000</f>
        <v>5500</v>
      </c>
      <c r="J1840" s="26"/>
      <c r="K1840" s="26">
        <f t="shared" si="325"/>
        <v>5500</v>
      </c>
      <c r="L1840" s="76"/>
      <c r="M1840" s="26"/>
      <c r="N1840" s="26"/>
      <c r="O1840" s="26">
        <f t="shared" si="326"/>
        <v>0</v>
      </c>
      <c r="P1840" s="76"/>
      <c r="Q1840" s="26">
        <f t="shared" si="327"/>
        <v>5500</v>
      </c>
      <c r="R1840" s="26">
        <f t="shared" si="330"/>
        <v>0</v>
      </c>
      <c r="S1840" s="26">
        <f t="shared" si="330"/>
        <v>5500</v>
      </c>
    </row>
    <row r="1841" spans="2:19" ht="15" x14ac:dyDescent="0.2">
      <c r="B1841" s="75">
        <f t="shared" si="324"/>
        <v>37</v>
      </c>
      <c r="C1841" s="164">
        <v>5</v>
      </c>
      <c r="D1841" s="230" t="s">
        <v>188</v>
      </c>
      <c r="E1841" s="228"/>
      <c r="F1841" s="228"/>
      <c r="G1841" s="228"/>
      <c r="H1841" s="229"/>
      <c r="I1841" s="45">
        <f>I1872+I1860+I1842</f>
        <v>501285</v>
      </c>
      <c r="J1841" s="45">
        <f>J1872+J1860+J1842</f>
        <v>1000</v>
      </c>
      <c r="K1841" s="45">
        <f t="shared" si="325"/>
        <v>502285</v>
      </c>
      <c r="L1841" s="172"/>
      <c r="M1841" s="45">
        <f>M1872+M1860+M1842</f>
        <v>0</v>
      </c>
      <c r="N1841" s="45">
        <f>N1872+N1860+N1842</f>
        <v>0</v>
      </c>
      <c r="O1841" s="45">
        <f t="shared" si="326"/>
        <v>0</v>
      </c>
      <c r="P1841" s="172"/>
      <c r="Q1841" s="45">
        <f t="shared" si="327"/>
        <v>501285</v>
      </c>
      <c r="R1841" s="45">
        <f t="shared" si="330"/>
        <v>1000</v>
      </c>
      <c r="S1841" s="45">
        <f t="shared" si="330"/>
        <v>502285</v>
      </c>
    </row>
    <row r="1842" spans="2:19" ht="15" x14ac:dyDescent="0.25">
      <c r="B1842" s="75">
        <f t="shared" si="324"/>
        <v>38</v>
      </c>
      <c r="C1842" s="163"/>
      <c r="D1842" s="163">
        <v>1</v>
      </c>
      <c r="E1842" s="227" t="s">
        <v>187</v>
      </c>
      <c r="F1842" s="228"/>
      <c r="G1842" s="228"/>
      <c r="H1842" s="229"/>
      <c r="I1842" s="46">
        <f>I1843+I1848</f>
        <v>8180</v>
      </c>
      <c r="J1842" s="46">
        <f>J1843+J1848</f>
        <v>0</v>
      </c>
      <c r="K1842" s="46">
        <f t="shared" si="325"/>
        <v>8180</v>
      </c>
      <c r="L1842" s="173"/>
      <c r="M1842" s="46">
        <f>M1843+M1848</f>
        <v>0</v>
      </c>
      <c r="N1842" s="46">
        <f>N1843+N1848</f>
        <v>0</v>
      </c>
      <c r="O1842" s="46">
        <f t="shared" si="326"/>
        <v>0</v>
      </c>
      <c r="P1842" s="173"/>
      <c r="Q1842" s="46">
        <f t="shared" si="327"/>
        <v>8180</v>
      </c>
      <c r="R1842" s="46">
        <f t="shared" si="330"/>
        <v>0</v>
      </c>
      <c r="S1842" s="46">
        <f t="shared" si="330"/>
        <v>8180</v>
      </c>
    </row>
    <row r="1843" spans="2:19" x14ac:dyDescent="0.2">
      <c r="B1843" s="75">
        <f t="shared" si="324"/>
        <v>39</v>
      </c>
      <c r="C1843" s="15"/>
      <c r="D1843" s="15"/>
      <c r="E1843" s="15"/>
      <c r="F1843" s="52" t="s">
        <v>76</v>
      </c>
      <c r="G1843" s="15">
        <v>640</v>
      </c>
      <c r="H1843" s="15" t="s">
        <v>136</v>
      </c>
      <c r="I1843" s="49">
        <f>SUM(I1844:I1846)</f>
        <v>2100</v>
      </c>
      <c r="J1843" s="49">
        <f>SUM(J1844:J1846)</f>
        <v>0</v>
      </c>
      <c r="K1843" s="49">
        <f t="shared" si="325"/>
        <v>2100</v>
      </c>
      <c r="L1843" s="123"/>
      <c r="M1843" s="49">
        <f>SUM(M1844:M1846)</f>
        <v>0</v>
      </c>
      <c r="N1843" s="49">
        <f>SUM(N1844:N1846)</f>
        <v>0</v>
      </c>
      <c r="O1843" s="49">
        <f t="shared" si="326"/>
        <v>0</v>
      </c>
      <c r="P1843" s="123"/>
      <c r="Q1843" s="49">
        <f t="shared" si="327"/>
        <v>2100</v>
      </c>
      <c r="R1843" s="49">
        <f t="shared" si="330"/>
        <v>0</v>
      </c>
      <c r="S1843" s="49">
        <f t="shared" si="330"/>
        <v>2100</v>
      </c>
    </row>
    <row r="1844" spans="2:19" x14ac:dyDescent="0.2">
      <c r="B1844" s="75">
        <f t="shared" si="324"/>
        <v>40</v>
      </c>
      <c r="C1844" s="15"/>
      <c r="D1844" s="15"/>
      <c r="E1844" s="15"/>
      <c r="F1844" s="52"/>
      <c r="G1844" s="15"/>
      <c r="H1844" s="99" t="s">
        <v>19</v>
      </c>
      <c r="I1844" s="58">
        <v>370</v>
      </c>
      <c r="J1844" s="58"/>
      <c r="K1844" s="58">
        <f t="shared" si="325"/>
        <v>370</v>
      </c>
      <c r="L1844" s="76"/>
      <c r="M1844" s="49"/>
      <c r="N1844" s="49"/>
      <c r="O1844" s="49">
        <f t="shared" si="326"/>
        <v>0</v>
      </c>
      <c r="P1844" s="123"/>
      <c r="Q1844" s="58">
        <f t="shared" si="327"/>
        <v>370</v>
      </c>
      <c r="R1844" s="58">
        <f t="shared" si="330"/>
        <v>0</v>
      </c>
      <c r="S1844" s="58">
        <f t="shared" si="330"/>
        <v>370</v>
      </c>
    </row>
    <row r="1845" spans="2:19" x14ac:dyDescent="0.2">
      <c r="B1845" s="75">
        <f t="shared" si="324"/>
        <v>41</v>
      </c>
      <c r="C1845" s="15"/>
      <c r="D1845" s="15"/>
      <c r="E1845" s="15"/>
      <c r="F1845" s="52"/>
      <c r="G1845" s="15"/>
      <c r="H1845" s="99" t="s">
        <v>20</v>
      </c>
      <c r="I1845" s="58">
        <v>1500</v>
      </c>
      <c r="J1845" s="58"/>
      <c r="K1845" s="58">
        <f t="shared" si="325"/>
        <v>1500</v>
      </c>
      <c r="L1845" s="76"/>
      <c r="M1845" s="49"/>
      <c r="N1845" s="49"/>
      <c r="O1845" s="49">
        <f t="shared" si="326"/>
        <v>0</v>
      </c>
      <c r="P1845" s="123"/>
      <c r="Q1845" s="58">
        <f t="shared" si="327"/>
        <v>1500</v>
      </c>
      <c r="R1845" s="58">
        <f t="shared" si="330"/>
        <v>0</v>
      </c>
      <c r="S1845" s="58">
        <f t="shared" si="330"/>
        <v>1500</v>
      </c>
    </row>
    <row r="1846" spans="2:19" x14ac:dyDescent="0.2">
      <c r="B1846" s="75">
        <f t="shared" si="324"/>
        <v>42</v>
      </c>
      <c r="C1846" s="15"/>
      <c r="D1846" s="15"/>
      <c r="E1846" s="15"/>
      <c r="F1846" s="52"/>
      <c r="G1846" s="15"/>
      <c r="H1846" s="99" t="s">
        <v>424</v>
      </c>
      <c r="I1846" s="58">
        <v>230</v>
      </c>
      <c r="J1846" s="58"/>
      <c r="K1846" s="58">
        <f t="shared" si="325"/>
        <v>230</v>
      </c>
      <c r="L1846" s="76"/>
      <c r="M1846" s="49"/>
      <c r="N1846" s="49"/>
      <c r="O1846" s="49">
        <f t="shared" si="326"/>
        <v>0</v>
      </c>
      <c r="P1846" s="123"/>
      <c r="Q1846" s="58">
        <f t="shared" si="327"/>
        <v>230</v>
      </c>
      <c r="R1846" s="58">
        <f t="shared" si="330"/>
        <v>0</v>
      </c>
      <c r="S1846" s="58">
        <f t="shared" si="330"/>
        <v>230</v>
      </c>
    </row>
    <row r="1847" spans="2:19" x14ac:dyDescent="0.2">
      <c r="B1847" s="75">
        <f t="shared" si="324"/>
        <v>43</v>
      </c>
      <c r="C1847" s="15"/>
      <c r="D1847" s="15"/>
      <c r="E1847" s="15"/>
      <c r="F1847" s="52"/>
      <c r="G1847" s="15"/>
      <c r="H1847" s="15"/>
      <c r="I1847" s="49"/>
      <c r="J1847" s="49"/>
      <c r="K1847" s="49">
        <f t="shared" si="325"/>
        <v>0</v>
      </c>
      <c r="L1847" s="123"/>
      <c r="M1847" s="49"/>
      <c r="N1847" s="49"/>
      <c r="O1847" s="49">
        <f t="shared" si="326"/>
        <v>0</v>
      </c>
      <c r="P1847" s="123"/>
      <c r="Q1847" s="49"/>
      <c r="R1847" s="49"/>
      <c r="S1847" s="49"/>
    </row>
    <row r="1848" spans="2:19" x14ac:dyDescent="0.2">
      <c r="B1848" s="75">
        <f t="shared" si="324"/>
        <v>44</v>
      </c>
      <c r="C1848" s="15"/>
      <c r="D1848" s="15"/>
      <c r="E1848" s="15"/>
      <c r="F1848" s="52" t="s">
        <v>79</v>
      </c>
      <c r="G1848" s="15">
        <v>630</v>
      </c>
      <c r="H1848" s="15" t="s">
        <v>129</v>
      </c>
      <c r="I1848" s="49">
        <f>I1851+I1850+I1849+I1852+I1853+I1854+I1855+I1856+I1857+I1858+I1859</f>
        <v>6080</v>
      </c>
      <c r="J1848" s="49">
        <f>J1851+J1850+J1849+J1852+J1853+J1854+J1855+J1856+J1857+J1858+J1859</f>
        <v>0</v>
      </c>
      <c r="K1848" s="49">
        <f t="shared" si="325"/>
        <v>6080</v>
      </c>
      <c r="L1848" s="123"/>
      <c r="M1848" s="49">
        <v>0</v>
      </c>
      <c r="N1848" s="49">
        <v>0</v>
      </c>
      <c r="O1848" s="49">
        <f t="shared" si="326"/>
        <v>0</v>
      </c>
      <c r="P1848" s="123"/>
      <c r="Q1848" s="49">
        <f t="shared" ref="Q1848:Q1879" si="331">I1848+M1848</f>
        <v>6080</v>
      </c>
      <c r="R1848" s="49">
        <f t="shared" ref="R1848:S1863" si="332">J1848+N1848</f>
        <v>0</v>
      </c>
      <c r="S1848" s="49">
        <f t="shared" si="332"/>
        <v>6080</v>
      </c>
    </row>
    <row r="1849" spans="2:19" x14ac:dyDescent="0.2">
      <c r="B1849" s="75">
        <f t="shared" si="324"/>
        <v>45</v>
      </c>
      <c r="C1849" s="4"/>
      <c r="D1849" s="4"/>
      <c r="E1849" s="4"/>
      <c r="F1849" s="53" t="s">
        <v>79</v>
      </c>
      <c r="G1849" s="4">
        <v>633</v>
      </c>
      <c r="H1849" s="4" t="s">
        <v>133</v>
      </c>
      <c r="I1849" s="26">
        <f>5630-5080</f>
        <v>550</v>
      </c>
      <c r="J1849" s="26"/>
      <c r="K1849" s="26">
        <f t="shared" si="325"/>
        <v>550</v>
      </c>
      <c r="L1849" s="76"/>
      <c r="M1849" s="26"/>
      <c r="N1849" s="26"/>
      <c r="O1849" s="26">
        <f t="shared" si="326"/>
        <v>0</v>
      </c>
      <c r="P1849" s="76"/>
      <c r="Q1849" s="26">
        <f t="shared" si="331"/>
        <v>550</v>
      </c>
      <c r="R1849" s="26">
        <f t="shared" si="332"/>
        <v>0</v>
      </c>
      <c r="S1849" s="26">
        <f t="shared" si="332"/>
        <v>550</v>
      </c>
    </row>
    <row r="1850" spans="2:19" x14ac:dyDescent="0.2">
      <c r="B1850" s="75">
        <f t="shared" si="324"/>
        <v>46</v>
      </c>
      <c r="C1850" s="4"/>
      <c r="D1850" s="4"/>
      <c r="E1850" s="4"/>
      <c r="F1850" s="53" t="s">
        <v>79</v>
      </c>
      <c r="G1850" s="4">
        <v>634</v>
      </c>
      <c r="H1850" s="4" t="s">
        <v>138</v>
      </c>
      <c r="I1850" s="26">
        <v>350</v>
      </c>
      <c r="J1850" s="26"/>
      <c r="K1850" s="26">
        <f t="shared" si="325"/>
        <v>350</v>
      </c>
      <c r="L1850" s="76"/>
      <c r="M1850" s="26"/>
      <c r="N1850" s="26"/>
      <c r="O1850" s="26">
        <f t="shared" si="326"/>
        <v>0</v>
      </c>
      <c r="P1850" s="76"/>
      <c r="Q1850" s="26">
        <f t="shared" si="331"/>
        <v>350</v>
      </c>
      <c r="R1850" s="26">
        <f t="shared" si="332"/>
        <v>0</v>
      </c>
      <c r="S1850" s="26">
        <f t="shared" si="332"/>
        <v>350</v>
      </c>
    </row>
    <row r="1851" spans="2:19" x14ac:dyDescent="0.2">
      <c r="B1851" s="75">
        <f t="shared" si="324"/>
        <v>47</v>
      </c>
      <c r="C1851" s="4"/>
      <c r="D1851" s="4"/>
      <c r="E1851" s="4"/>
      <c r="F1851" s="53" t="s">
        <v>79</v>
      </c>
      <c r="G1851" s="4">
        <v>637</v>
      </c>
      <c r="H1851" s="4" t="s">
        <v>130</v>
      </c>
      <c r="I1851" s="26">
        <v>100</v>
      </c>
      <c r="J1851" s="26"/>
      <c r="K1851" s="26">
        <f t="shared" si="325"/>
        <v>100</v>
      </c>
      <c r="L1851" s="76"/>
      <c r="M1851" s="26"/>
      <c r="N1851" s="26"/>
      <c r="O1851" s="26">
        <f t="shared" si="326"/>
        <v>0</v>
      </c>
      <c r="P1851" s="76"/>
      <c r="Q1851" s="26">
        <f t="shared" si="331"/>
        <v>100</v>
      </c>
      <c r="R1851" s="26">
        <f t="shared" si="332"/>
        <v>0</v>
      </c>
      <c r="S1851" s="26">
        <f t="shared" si="332"/>
        <v>100</v>
      </c>
    </row>
    <row r="1852" spans="2:19" x14ac:dyDescent="0.2">
      <c r="B1852" s="75">
        <f t="shared" si="324"/>
        <v>48</v>
      </c>
      <c r="C1852" s="4"/>
      <c r="D1852" s="4"/>
      <c r="E1852" s="4"/>
      <c r="F1852" s="53" t="s">
        <v>79</v>
      </c>
      <c r="G1852" s="4">
        <v>630</v>
      </c>
      <c r="H1852" s="4" t="s">
        <v>638</v>
      </c>
      <c r="I1852" s="26">
        <v>511</v>
      </c>
      <c r="J1852" s="26"/>
      <c r="K1852" s="26">
        <f t="shared" si="325"/>
        <v>511</v>
      </c>
      <c r="L1852" s="76"/>
      <c r="M1852" s="26"/>
      <c r="N1852" s="26"/>
      <c r="O1852" s="26">
        <f t="shared" si="326"/>
        <v>0</v>
      </c>
      <c r="P1852" s="76"/>
      <c r="Q1852" s="26">
        <f t="shared" si="331"/>
        <v>511</v>
      </c>
      <c r="R1852" s="26">
        <f t="shared" si="332"/>
        <v>0</v>
      </c>
      <c r="S1852" s="26">
        <f t="shared" si="332"/>
        <v>511</v>
      </c>
    </row>
    <row r="1853" spans="2:19" x14ac:dyDescent="0.2">
      <c r="B1853" s="75">
        <f t="shared" si="324"/>
        <v>49</v>
      </c>
      <c r="C1853" s="4"/>
      <c r="D1853" s="4"/>
      <c r="E1853" s="4"/>
      <c r="F1853" s="53" t="s">
        <v>79</v>
      </c>
      <c r="G1853" s="4">
        <v>630</v>
      </c>
      <c r="H1853" s="4" t="s">
        <v>639</v>
      </c>
      <c r="I1853" s="26">
        <v>755</v>
      </c>
      <c r="J1853" s="26"/>
      <c r="K1853" s="26">
        <f t="shared" si="325"/>
        <v>755</v>
      </c>
      <c r="L1853" s="76"/>
      <c r="M1853" s="26"/>
      <c r="N1853" s="26"/>
      <c r="O1853" s="26">
        <f t="shared" si="326"/>
        <v>0</v>
      </c>
      <c r="P1853" s="76"/>
      <c r="Q1853" s="26">
        <f t="shared" si="331"/>
        <v>755</v>
      </c>
      <c r="R1853" s="26">
        <f t="shared" si="332"/>
        <v>0</v>
      </c>
      <c r="S1853" s="26">
        <f t="shared" si="332"/>
        <v>755</v>
      </c>
    </row>
    <row r="1854" spans="2:19" x14ac:dyDescent="0.2">
      <c r="B1854" s="75">
        <f t="shared" si="324"/>
        <v>50</v>
      </c>
      <c r="C1854" s="4"/>
      <c r="D1854" s="4"/>
      <c r="E1854" s="4"/>
      <c r="F1854" s="53" t="s">
        <v>79</v>
      </c>
      <c r="G1854" s="4">
        <v>630</v>
      </c>
      <c r="H1854" s="4" t="s">
        <v>640</v>
      </c>
      <c r="I1854" s="26">
        <v>472</v>
      </c>
      <c r="J1854" s="26"/>
      <c r="K1854" s="26">
        <f t="shared" si="325"/>
        <v>472</v>
      </c>
      <c r="L1854" s="76"/>
      <c r="M1854" s="26"/>
      <c r="N1854" s="26"/>
      <c r="O1854" s="26">
        <f t="shared" si="326"/>
        <v>0</v>
      </c>
      <c r="P1854" s="76"/>
      <c r="Q1854" s="26">
        <f t="shared" si="331"/>
        <v>472</v>
      </c>
      <c r="R1854" s="26">
        <f t="shared" si="332"/>
        <v>0</v>
      </c>
      <c r="S1854" s="26">
        <f t="shared" si="332"/>
        <v>472</v>
      </c>
    </row>
    <row r="1855" spans="2:19" x14ac:dyDescent="0.2">
      <c r="B1855" s="75">
        <f t="shared" si="324"/>
        <v>51</v>
      </c>
      <c r="C1855" s="4"/>
      <c r="D1855" s="4"/>
      <c r="E1855" s="4"/>
      <c r="F1855" s="53" t="s">
        <v>79</v>
      </c>
      <c r="G1855" s="4">
        <v>630</v>
      </c>
      <c r="H1855" s="4" t="s">
        <v>641</v>
      </c>
      <c r="I1855" s="26">
        <v>535</v>
      </c>
      <c r="J1855" s="26"/>
      <c r="K1855" s="26">
        <f t="shared" si="325"/>
        <v>535</v>
      </c>
      <c r="L1855" s="76"/>
      <c r="M1855" s="26"/>
      <c r="N1855" s="26"/>
      <c r="O1855" s="26">
        <f t="shared" si="326"/>
        <v>0</v>
      </c>
      <c r="P1855" s="76"/>
      <c r="Q1855" s="26">
        <f t="shared" si="331"/>
        <v>535</v>
      </c>
      <c r="R1855" s="26">
        <f t="shared" si="332"/>
        <v>0</v>
      </c>
      <c r="S1855" s="26">
        <f t="shared" si="332"/>
        <v>535</v>
      </c>
    </row>
    <row r="1856" spans="2:19" x14ac:dyDescent="0.2">
      <c r="B1856" s="75">
        <f t="shared" si="324"/>
        <v>52</v>
      </c>
      <c r="C1856" s="4"/>
      <c r="D1856" s="4"/>
      <c r="E1856" s="4"/>
      <c r="F1856" s="53" t="s">
        <v>79</v>
      </c>
      <c r="G1856" s="4">
        <v>630</v>
      </c>
      <c r="H1856" s="4" t="s">
        <v>642</v>
      </c>
      <c r="I1856" s="26">
        <v>952</v>
      </c>
      <c r="J1856" s="26"/>
      <c r="K1856" s="26">
        <f t="shared" si="325"/>
        <v>952</v>
      </c>
      <c r="L1856" s="76"/>
      <c r="M1856" s="26"/>
      <c r="N1856" s="26"/>
      <c r="O1856" s="26">
        <f t="shared" si="326"/>
        <v>0</v>
      </c>
      <c r="P1856" s="76"/>
      <c r="Q1856" s="26">
        <f t="shared" si="331"/>
        <v>952</v>
      </c>
      <c r="R1856" s="26">
        <f t="shared" si="332"/>
        <v>0</v>
      </c>
      <c r="S1856" s="26">
        <f t="shared" si="332"/>
        <v>952</v>
      </c>
    </row>
    <row r="1857" spans="2:19" x14ac:dyDescent="0.2">
      <c r="B1857" s="75">
        <f t="shared" si="324"/>
        <v>53</v>
      </c>
      <c r="C1857" s="4"/>
      <c r="D1857" s="4"/>
      <c r="E1857" s="4"/>
      <c r="F1857" s="53" t="s">
        <v>79</v>
      </c>
      <c r="G1857" s="4">
        <v>630</v>
      </c>
      <c r="H1857" s="4" t="s">
        <v>643</v>
      </c>
      <c r="I1857" s="26">
        <v>527</v>
      </c>
      <c r="J1857" s="26"/>
      <c r="K1857" s="26">
        <f t="shared" si="325"/>
        <v>527</v>
      </c>
      <c r="L1857" s="76"/>
      <c r="M1857" s="26"/>
      <c r="N1857" s="26"/>
      <c r="O1857" s="26">
        <f t="shared" si="326"/>
        <v>0</v>
      </c>
      <c r="P1857" s="76"/>
      <c r="Q1857" s="26">
        <f t="shared" si="331"/>
        <v>527</v>
      </c>
      <c r="R1857" s="26">
        <f t="shared" si="332"/>
        <v>0</v>
      </c>
      <c r="S1857" s="26">
        <f t="shared" si="332"/>
        <v>527</v>
      </c>
    </row>
    <row r="1858" spans="2:19" x14ac:dyDescent="0.2">
      <c r="B1858" s="75">
        <f t="shared" si="324"/>
        <v>54</v>
      </c>
      <c r="C1858" s="4"/>
      <c r="D1858" s="4"/>
      <c r="E1858" s="4"/>
      <c r="F1858" s="53" t="s">
        <v>79</v>
      </c>
      <c r="G1858" s="4">
        <v>630</v>
      </c>
      <c r="H1858" s="4" t="s">
        <v>644</v>
      </c>
      <c r="I1858" s="26">
        <v>778</v>
      </c>
      <c r="J1858" s="26"/>
      <c r="K1858" s="26">
        <f t="shared" si="325"/>
        <v>778</v>
      </c>
      <c r="L1858" s="76"/>
      <c r="M1858" s="26"/>
      <c r="N1858" s="26"/>
      <c r="O1858" s="26">
        <f t="shared" si="326"/>
        <v>0</v>
      </c>
      <c r="P1858" s="76"/>
      <c r="Q1858" s="26">
        <f t="shared" si="331"/>
        <v>778</v>
      </c>
      <c r="R1858" s="26">
        <f t="shared" si="332"/>
        <v>0</v>
      </c>
      <c r="S1858" s="26">
        <f t="shared" si="332"/>
        <v>778</v>
      </c>
    </row>
    <row r="1859" spans="2:19" x14ac:dyDescent="0.2">
      <c r="B1859" s="75">
        <f t="shared" si="324"/>
        <v>55</v>
      </c>
      <c r="C1859" s="4"/>
      <c r="D1859" s="4"/>
      <c r="E1859" s="4"/>
      <c r="F1859" s="53" t="s">
        <v>79</v>
      </c>
      <c r="G1859" s="4">
        <v>630</v>
      </c>
      <c r="H1859" s="4" t="s">
        <v>645</v>
      </c>
      <c r="I1859" s="26">
        <v>550</v>
      </c>
      <c r="J1859" s="26"/>
      <c r="K1859" s="26">
        <f t="shared" si="325"/>
        <v>550</v>
      </c>
      <c r="L1859" s="76"/>
      <c r="M1859" s="26"/>
      <c r="N1859" s="26"/>
      <c r="O1859" s="26">
        <f t="shared" si="326"/>
        <v>0</v>
      </c>
      <c r="P1859" s="76"/>
      <c r="Q1859" s="26">
        <f t="shared" si="331"/>
        <v>550</v>
      </c>
      <c r="R1859" s="26">
        <f t="shared" si="332"/>
        <v>0</v>
      </c>
      <c r="S1859" s="26">
        <f t="shared" si="332"/>
        <v>550</v>
      </c>
    </row>
    <row r="1860" spans="2:19" ht="15" x14ac:dyDescent="0.25">
      <c r="B1860" s="75">
        <f t="shared" si="324"/>
        <v>56</v>
      </c>
      <c r="C1860" s="163"/>
      <c r="D1860" s="163">
        <v>2</v>
      </c>
      <c r="E1860" s="227" t="s">
        <v>248</v>
      </c>
      <c r="F1860" s="228"/>
      <c r="G1860" s="228"/>
      <c r="H1860" s="229"/>
      <c r="I1860" s="46">
        <f>I1861</f>
        <v>473380</v>
      </c>
      <c r="J1860" s="46">
        <f>J1861</f>
        <v>0</v>
      </c>
      <c r="K1860" s="46">
        <f t="shared" si="325"/>
        <v>473380</v>
      </c>
      <c r="L1860" s="173"/>
      <c r="M1860" s="46">
        <v>0</v>
      </c>
      <c r="N1860" s="46">
        <v>0</v>
      </c>
      <c r="O1860" s="46">
        <f t="shared" si="326"/>
        <v>0</v>
      </c>
      <c r="P1860" s="173"/>
      <c r="Q1860" s="46">
        <f t="shared" si="331"/>
        <v>473380</v>
      </c>
      <c r="R1860" s="46">
        <f t="shared" si="332"/>
        <v>0</v>
      </c>
      <c r="S1860" s="46">
        <f t="shared" si="332"/>
        <v>473380</v>
      </c>
    </row>
    <row r="1861" spans="2:19" ht="15" x14ac:dyDescent="0.25">
      <c r="B1861" s="75">
        <f t="shared" si="324"/>
        <v>57</v>
      </c>
      <c r="C1861" s="18"/>
      <c r="D1861" s="18"/>
      <c r="E1861" s="18">
        <v>5</v>
      </c>
      <c r="F1861" s="50"/>
      <c r="G1861" s="18"/>
      <c r="H1861" s="18" t="s">
        <v>267</v>
      </c>
      <c r="I1861" s="47">
        <f>I1862+I1863+I1864+I1871</f>
        <v>473380</v>
      </c>
      <c r="J1861" s="47">
        <f>J1862+J1863+J1864+J1871</f>
        <v>0</v>
      </c>
      <c r="K1861" s="47">
        <f t="shared" si="325"/>
        <v>473380</v>
      </c>
      <c r="L1861" s="174"/>
      <c r="M1861" s="47">
        <v>0</v>
      </c>
      <c r="N1861" s="47">
        <v>0</v>
      </c>
      <c r="O1861" s="47">
        <f t="shared" si="326"/>
        <v>0</v>
      </c>
      <c r="P1861" s="174"/>
      <c r="Q1861" s="47">
        <f t="shared" si="331"/>
        <v>473380</v>
      </c>
      <c r="R1861" s="47">
        <f t="shared" si="332"/>
        <v>0</v>
      </c>
      <c r="S1861" s="47">
        <f t="shared" si="332"/>
        <v>473380</v>
      </c>
    </row>
    <row r="1862" spans="2:19" x14ac:dyDescent="0.2">
      <c r="B1862" s="75">
        <f t="shared" si="324"/>
        <v>58</v>
      </c>
      <c r="C1862" s="15"/>
      <c r="D1862" s="15"/>
      <c r="E1862" s="15"/>
      <c r="F1862" s="52" t="s">
        <v>79</v>
      </c>
      <c r="G1862" s="15">
        <v>610</v>
      </c>
      <c r="H1862" s="15" t="s">
        <v>137</v>
      </c>
      <c r="I1862" s="49">
        <f>213727-2</f>
        <v>213725</v>
      </c>
      <c r="J1862" s="49"/>
      <c r="K1862" s="49">
        <f t="shared" si="325"/>
        <v>213725</v>
      </c>
      <c r="L1862" s="123"/>
      <c r="M1862" s="49"/>
      <c r="N1862" s="49"/>
      <c r="O1862" s="49">
        <f t="shared" si="326"/>
        <v>0</v>
      </c>
      <c r="P1862" s="123"/>
      <c r="Q1862" s="49">
        <f t="shared" si="331"/>
        <v>213725</v>
      </c>
      <c r="R1862" s="49">
        <f t="shared" si="332"/>
        <v>0</v>
      </c>
      <c r="S1862" s="49">
        <f t="shared" si="332"/>
        <v>213725</v>
      </c>
    </row>
    <row r="1863" spans="2:19" x14ac:dyDescent="0.2">
      <c r="B1863" s="75">
        <f t="shared" si="324"/>
        <v>59</v>
      </c>
      <c r="C1863" s="15"/>
      <c r="D1863" s="15"/>
      <c r="E1863" s="15"/>
      <c r="F1863" s="52" t="s">
        <v>79</v>
      </c>
      <c r="G1863" s="15">
        <v>620</v>
      </c>
      <c r="H1863" s="15" t="s">
        <v>132</v>
      </c>
      <c r="I1863" s="49">
        <v>74800</v>
      </c>
      <c r="J1863" s="49"/>
      <c r="K1863" s="49">
        <f t="shared" si="325"/>
        <v>74800</v>
      </c>
      <c r="L1863" s="123"/>
      <c r="M1863" s="49"/>
      <c r="N1863" s="49"/>
      <c r="O1863" s="49">
        <f t="shared" si="326"/>
        <v>0</v>
      </c>
      <c r="P1863" s="123"/>
      <c r="Q1863" s="49">
        <f t="shared" si="331"/>
        <v>74800</v>
      </c>
      <c r="R1863" s="49">
        <f t="shared" si="332"/>
        <v>0</v>
      </c>
      <c r="S1863" s="49">
        <f t="shared" si="332"/>
        <v>74800</v>
      </c>
    </row>
    <row r="1864" spans="2:19" x14ac:dyDescent="0.2">
      <c r="B1864" s="75">
        <f t="shared" si="324"/>
        <v>60</v>
      </c>
      <c r="C1864" s="15"/>
      <c r="D1864" s="15"/>
      <c r="E1864" s="15"/>
      <c r="F1864" s="52" t="s">
        <v>79</v>
      </c>
      <c r="G1864" s="15">
        <v>630</v>
      </c>
      <c r="H1864" s="15" t="s">
        <v>129</v>
      </c>
      <c r="I1864" s="49">
        <f>I1870+I1869+I1868+I1867+I1866+I1865</f>
        <v>184405</v>
      </c>
      <c r="J1864" s="49">
        <f>J1870+J1869+J1868+J1867+J1866+J1865</f>
        <v>0</v>
      </c>
      <c r="K1864" s="49">
        <f t="shared" si="325"/>
        <v>184405</v>
      </c>
      <c r="L1864" s="123"/>
      <c r="M1864" s="49">
        <f>M1870+M1869+M1868+M1867+M1866+M1865</f>
        <v>0</v>
      </c>
      <c r="N1864" s="49">
        <f>N1870+N1869+N1868+N1867+N1866+N1865</f>
        <v>0</v>
      </c>
      <c r="O1864" s="49">
        <f t="shared" si="326"/>
        <v>0</v>
      </c>
      <c r="P1864" s="123"/>
      <c r="Q1864" s="49">
        <f t="shared" si="331"/>
        <v>184405</v>
      </c>
      <c r="R1864" s="49">
        <f t="shared" ref="R1864:S1879" si="333">J1864+N1864</f>
        <v>0</v>
      </c>
      <c r="S1864" s="49">
        <f t="shared" si="333"/>
        <v>184405</v>
      </c>
    </row>
    <row r="1865" spans="2:19" x14ac:dyDescent="0.2">
      <c r="B1865" s="75">
        <f t="shared" si="324"/>
        <v>61</v>
      </c>
      <c r="C1865" s="4"/>
      <c r="D1865" s="4"/>
      <c r="E1865" s="4"/>
      <c r="F1865" s="53" t="s">
        <v>79</v>
      </c>
      <c r="G1865" s="4">
        <v>631</v>
      </c>
      <c r="H1865" s="4" t="s">
        <v>135</v>
      </c>
      <c r="I1865" s="26">
        <v>200</v>
      </c>
      <c r="J1865" s="26"/>
      <c r="K1865" s="26">
        <f t="shared" si="325"/>
        <v>200</v>
      </c>
      <c r="L1865" s="76"/>
      <c r="M1865" s="26"/>
      <c r="N1865" s="26"/>
      <c r="O1865" s="26">
        <f t="shared" si="326"/>
        <v>0</v>
      </c>
      <c r="P1865" s="76"/>
      <c r="Q1865" s="26">
        <f t="shared" si="331"/>
        <v>200</v>
      </c>
      <c r="R1865" s="26">
        <f t="shared" si="333"/>
        <v>0</v>
      </c>
      <c r="S1865" s="26">
        <f t="shared" si="333"/>
        <v>200</v>
      </c>
    </row>
    <row r="1866" spans="2:19" x14ac:dyDescent="0.2">
      <c r="B1866" s="75">
        <f t="shared" si="324"/>
        <v>62</v>
      </c>
      <c r="C1866" s="4"/>
      <c r="D1866" s="4"/>
      <c r="E1866" s="4"/>
      <c r="F1866" s="53" t="s">
        <v>79</v>
      </c>
      <c r="G1866" s="4">
        <v>632</v>
      </c>
      <c r="H1866" s="4" t="s">
        <v>140</v>
      </c>
      <c r="I1866" s="26">
        <f>14750+41000</f>
        <v>55750</v>
      </c>
      <c r="J1866" s="26"/>
      <c r="K1866" s="26">
        <f t="shared" si="325"/>
        <v>55750</v>
      </c>
      <c r="L1866" s="76"/>
      <c r="M1866" s="26"/>
      <c r="N1866" s="26"/>
      <c r="O1866" s="26">
        <f t="shared" si="326"/>
        <v>0</v>
      </c>
      <c r="P1866" s="76"/>
      <c r="Q1866" s="26">
        <f t="shared" si="331"/>
        <v>55750</v>
      </c>
      <c r="R1866" s="26">
        <f t="shared" si="333"/>
        <v>0</v>
      </c>
      <c r="S1866" s="26">
        <f t="shared" si="333"/>
        <v>55750</v>
      </c>
    </row>
    <row r="1867" spans="2:19" x14ac:dyDescent="0.2">
      <c r="B1867" s="75">
        <f t="shared" si="324"/>
        <v>63</v>
      </c>
      <c r="C1867" s="4"/>
      <c r="D1867" s="4"/>
      <c r="E1867" s="4"/>
      <c r="F1867" s="53" t="s">
        <v>79</v>
      </c>
      <c r="G1867" s="4">
        <v>633</v>
      </c>
      <c r="H1867" s="4" t="s">
        <v>133</v>
      </c>
      <c r="I1867" s="26">
        <v>18960</v>
      </c>
      <c r="J1867" s="26"/>
      <c r="K1867" s="26">
        <f t="shared" si="325"/>
        <v>18960</v>
      </c>
      <c r="L1867" s="76"/>
      <c r="M1867" s="26"/>
      <c r="N1867" s="26"/>
      <c r="O1867" s="26">
        <f t="shared" si="326"/>
        <v>0</v>
      </c>
      <c r="P1867" s="76"/>
      <c r="Q1867" s="26">
        <f t="shared" si="331"/>
        <v>18960</v>
      </c>
      <c r="R1867" s="26">
        <f t="shared" si="333"/>
        <v>0</v>
      </c>
      <c r="S1867" s="26">
        <f t="shared" si="333"/>
        <v>18960</v>
      </c>
    </row>
    <row r="1868" spans="2:19" ht="12.75" customHeight="1" x14ac:dyDescent="0.2">
      <c r="B1868" s="75">
        <f t="shared" si="324"/>
        <v>64</v>
      </c>
      <c r="C1868" s="4"/>
      <c r="D1868" s="4"/>
      <c r="E1868" s="4"/>
      <c r="F1868" s="53" t="s">
        <v>79</v>
      </c>
      <c r="G1868" s="4">
        <v>634</v>
      </c>
      <c r="H1868" s="4" t="s">
        <v>138</v>
      </c>
      <c r="I1868" s="26">
        <v>2350</v>
      </c>
      <c r="J1868" s="26"/>
      <c r="K1868" s="26">
        <f t="shared" si="325"/>
        <v>2350</v>
      </c>
      <c r="L1868" s="76"/>
      <c r="M1868" s="26"/>
      <c r="N1868" s="26"/>
      <c r="O1868" s="26">
        <f t="shared" si="326"/>
        <v>0</v>
      </c>
      <c r="P1868" s="76"/>
      <c r="Q1868" s="26">
        <f t="shared" si="331"/>
        <v>2350</v>
      </c>
      <c r="R1868" s="26">
        <f t="shared" si="333"/>
        <v>0</v>
      </c>
      <c r="S1868" s="26">
        <f t="shared" si="333"/>
        <v>2350</v>
      </c>
    </row>
    <row r="1869" spans="2:19" ht="21.75" customHeight="1" x14ac:dyDescent="0.2">
      <c r="B1869" s="75">
        <f t="shared" ref="B1869:B1933" si="334">B1868+1</f>
        <v>65</v>
      </c>
      <c r="C1869" s="4"/>
      <c r="D1869" s="4"/>
      <c r="E1869" s="4"/>
      <c r="F1869" s="53" t="s">
        <v>79</v>
      </c>
      <c r="G1869" s="4">
        <v>635</v>
      </c>
      <c r="H1869" s="4" t="s">
        <v>139</v>
      </c>
      <c r="I1869" s="26">
        <v>36900</v>
      </c>
      <c r="J1869" s="26"/>
      <c r="K1869" s="26">
        <f t="shared" ref="K1869:K1933" si="335">I1869+J1869</f>
        <v>36900</v>
      </c>
      <c r="L1869" s="76"/>
      <c r="M1869" s="26"/>
      <c r="N1869" s="26"/>
      <c r="O1869" s="26">
        <f t="shared" ref="O1869:O1933" si="336">M1869+N1869</f>
        <v>0</v>
      </c>
      <c r="P1869" s="76"/>
      <c r="Q1869" s="26">
        <f t="shared" si="331"/>
        <v>36900</v>
      </c>
      <c r="R1869" s="26">
        <f t="shared" si="333"/>
        <v>0</v>
      </c>
      <c r="S1869" s="26">
        <f t="shared" si="333"/>
        <v>36900</v>
      </c>
    </row>
    <row r="1870" spans="2:19" ht="18" customHeight="1" x14ac:dyDescent="0.2">
      <c r="B1870" s="75">
        <f t="shared" si="334"/>
        <v>66</v>
      </c>
      <c r="C1870" s="4"/>
      <c r="D1870" s="4"/>
      <c r="E1870" s="4"/>
      <c r="F1870" s="53" t="s">
        <v>79</v>
      </c>
      <c r="G1870" s="4">
        <v>637</v>
      </c>
      <c r="H1870" s="4" t="s">
        <v>130</v>
      </c>
      <c r="I1870" s="26">
        <f>69974+275-4</f>
        <v>70245</v>
      </c>
      <c r="J1870" s="26"/>
      <c r="K1870" s="26">
        <f t="shared" si="335"/>
        <v>70245</v>
      </c>
      <c r="L1870" s="76"/>
      <c r="M1870" s="26"/>
      <c r="N1870" s="26"/>
      <c r="O1870" s="26">
        <f t="shared" si="336"/>
        <v>0</v>
      </c>
      <c r="P1870" s="76"/>
      <c r="Q1870" s="26">
        <f t="shared" si="331"/>
        <v>70245</v>
      </c>
      <c r="R1870" s="26">
        <f t="shared" si="333"/>
        <v>0</v>
      </c>
      <c r="S1870" s="26">
        <f t="shared" si="333"/>
        <v>70245</v>
      </c>
    </row>
    <row r="1871" spans="2:19" x14ac:dyDescent="0.2">
      <c r="B1871" s="75">
        <f t="shared" si="334"/>
        <v>67</v>
      </c>
      <c r="C1871" s="15"/>
      <c r="D1871" s="15"/>
      <c r="E1871" s="15"/>
      <c r="F1871" s="52" t="s">
        <v>79</v>
      </c>
      <c r="G1871" s="15">
        <v>640</v>
      </c>
      <c r="H1871" s="15" t="s">
        <v>136</v>
      </c>
      <c r="I1871" s="49">
        <v>450</v>
      </c>
      <c r="J1871" s="49"/>
      <c r="K1871" s="49">
        <f t="shared" si="335"/>
        <v>450</v>
      </c>
      <c r="L1871" s="123"/>
      <c r="M1871" s="49"/>
      <c r="N1871" s="49"/>
      <c r="O1871" s="49">
        <f t="shared" si="336"/>
        <v>0</v>
      </c>
      <c r="P1871" s="123"/>
      <c r="Q1871" s="49">
        <f t="shared" si="331"/>
        <v>450</v>
      </c>
      <c r="R1871" s="49">
        <f t="shared" si="333"/>
        <v>0</v>
      </c>
      <c r="S1871" s="49">
        <f t="shared" si="333"/>
        <v>450</v>
      </c>
    </row>
    <row r="1872" spans="2:19" ht="15" x14ac:dyDescent="0.25">
      <c r="B1872" s="75">
        <f t="shared" si="334"/>
        <v>68</v>
      </c>
      <c r="C1872" s="163"/>
      <c r="D1872" s="163">
        <v>3</v>
      </c>
      <c r="E1872" s="227" t="s">
        <v>356</v>
      </c>
      <c r="F1872" s="228"/>
      <c r="G1872" s="228"/>
      <c r="H1872" s="229"/>
      <c r="I1872" s="46">
        <f>I1873+I1877</f>
        <v>19725</v>
      </c>
      <c r="J1872" s="46">
        <f>J1873+J1877</f>
        <v>1000</v>
      </c>
      <c r="K1872" s="46">
        <f t="shared" si="335"/>
        <v>20725</v>
      </c>
      <c r="L1872" s="173"/>
      <c r="M1872" s="46">
        <f>M1873+M1877</f>
        <v>0</v>
      </c>
      <c r="N1872" s="46">
        <f>N1873+N1877</f>
        <v>0</v>
      </c>
      <c r="O1872" s="46">
        <f t="shared" si="336"/>
        <v>0</v>
      </c>
      <c r="P1872" s="173"/>
      <c r="Q1872" s="46">
        <f t="shared" si="331"/>
        <v>19725</v>
      </c>
      <c r="R1872" s="46">
        <f t="shared" si="333"/>
        <v>1000</v>
      </c>
      <c r="S1872" s="46">
        <f t="shared" si="333"/>
        <v>20725</v>
      </c>
    </row>
    <row r="1873" spans="2:19" x14ac:dyDescent="0.2">
      <c r="B1873" s="75">
        <f t="shared" si="334"/>
        <v>69</v>
      </c>
      <c r="C1873" s="15"/>
      <c r="D1873" s="15"/>
      <c r="E1873" s="15"/>
      <c r="F1873" s="52" t="s">
        <v>79</v>
      </c>
      <c r="G1873" s="15">
        <v>630</v>
      </c>
      <c r="H1873" s="15" t="s">
        <v>129</v>
      </c>
      <c r="I1873" s="49">
        <f>I1876+I1875+I1874</f>
        <v>1425</v>
      </c>
      <c r="J1873" s="49">
        <f>J1876+J1875+J1874</f>
        <v>0</v>
      </c>
      <c r="K1873" s="49">
        <f t="shared" si="335"/>
        <v>1425</v>
      </c>
      <c r="L1873" s="123"/>
      <c r="M1873" s="49">
        <f>M1876+M1875+M1874</f>
        <v>0</v>
      </c>
      <c r="N1873" s="49">
        <f>N1876+N1875+N1874</f>
        <v>0</v>
      </c>
      <c r="O1873" s="49">
        <f t="shared" si="336"/>
        <v>0</v>
      </c>
      <c r="P1873" s="123"/>
      <c r="Q1873" s="49">
        <f t="shared" si="331"/>
        <v>1425</v>
      </c>
      <c r="R1873" s="49">
        <f t="shared" si="333"/>
        <v>0</v>
      </c>
      <c r="S1873" s="49">
        <f t="shared" si="333"/>
        <v>1425</v>
      </c>
    </row>
    <row r="1874" spans="2:19" x14ac:dyDescent="0.2">
      <c r="B1874" s="75">
        <f t="shared" si="334"/>
        <v>70</v>
      </c>
      <c r="C1874" s="4"/>
      <c r="D1874" s="4"/>
      <c r="E1874" s="4"/>
      <c r="F1874" s="53" t="s">
        <v>79</v>
      </c>
      <c r="G1874" s="4">
        <v>633</v>
      </c>
      <c r="H1874" s="4" t="s">
        <v>133</v>
      </c>
      <c r="I1874" s="26">
        <v>1000</v>
      </c>
      <c r="J1874" s="26"/>
      <c r="K1874" s="26">
        <f t="shared" si="335"/>
        <v>1000</v>
      </c>
      <c r="L1874" s="76"/>
      <c r="M1874" s="26"/>
      <c r="N1874" s="26"/>
      <c r="O1874" s="26">
        <f t="shared" si="336"/>
        <v>0</v>
      </c>
      <c r="P1874" s="76"/>
      <c r="Q1874" s="26">
        <f t="shared" si="331"/>
        <v>1000</v>
      </c>
      <c r="R1874" s="26">
        <f t="shared" si="333"/>
        <v>0</v>
      </c>
      <c r="S1874" s="26">
        <f t="shared" si="333"/>
        <v>1000</v>
      </c>
    </row>
    <row r="1875" spans="2:19" x14ac:dyDescent="0.2">
      <c r="B1875" s="75">
        <f t="shared" si="334"/>
        <v>71</v>
      </c>
      <c r="C1875" s="4"/>
      <c r="D1875" s="4"/>
      <c r="E1875" s="4"/>
      <c r="F1875" s="53" t="s">
        <v>79</v>
      </c>
      <c r="G1875" s="4">
        <v>635</v>
      </c>
      <c r="H1875" s="4" t="s">
        <v>139</v>
      </c>
      <c r="I1875" s="26">
        <v>200</v>
      </c>
      <c r="J1875" s="26"/>
      <c r="K1875" s="26">
        <f t="shared" si="335"/>
        <v>200</v>
      </c>
      <c r="L1875" s="76"/>
      <c r="M1875" s="26"/>
      <c r="N1875" s="26"/>
      <c r="O1875" s="26">
        <f t="shared" si="336"/>
        <v>0</v>
      </c>
      <c r="P1875" s="76"/>
      <c r="Q1875" s="26">
        <f t="shared" si="331"/>
        <v>200</v>
      </c>
      <c r="R1875" s="26">
        <f t="shared" si="333"/>
        <v>0</v>
      </c>
      <c r="S1875" s="26">
        <f t="shared" si="333"/>
        <v>200</v>
      </c>
    </row>
    <row r="1876" spans="2:19" x14ac:dyDescent="0.2">
      <c r="B1876" s="75">
        <f t="shared" si="334"/>
        <v>72</v>
      </c>
      <c r="C1876" s="4"/>
      <c r="D1876" s="4"/>
      <c r="E1876" s="4"/>
      <c r="F1876" s="53" t="s">
        <v>79</v>
      </c>
      <c r="G1876" s="4">
        <v>637</v>
      </c>
      <c r="H1876" s="4" t="s">
        <v>130</v>
      </c>
      <c r="I1876" s="26">
        <v>225</v>
      </c>
      <c r="J1876" s="26"/>
      <c r="K1876" s="26">
        <f t="shared" si="335"/>
        <v>225</v>
      </c>
      <c r="L1876" s="76"/>
      <c r="M1876" s="26"/>
      <c r="N1876" s="26"/>
      <c r="O1876" s="26">
        <f t="shared" si="336"/>
        <v>0</v>
      </c>
      <c r="P1876" s="76"/>
      <c r="Q1876" s="26">
        <f t="shared" si="331"/>
        <v>225</v>
      </c>
      <c r="R1876" s="26">
        <f t="shared" si="333"/>
        <v>0</v>
      </c>
      <c r="S1876" s="26">
        <f t="shared" si="333"/>
        <v>225</v>
      </c>
    </row>
    <row r="1877" spans="2:19" ht="15" x14ac:dyDescent="0.25">
      <c r="B1877" s="75">
        <f t="shared" si="334"/>
        <v>73</v>
      </c>
      <c r="C1877" s="18"/>
      <c r="D1877" s="18"/>
      <c r="E1877" s="18">
        <v>2</v>
      </c>
      <c r="F1877" s="50"/>
      <c r="G1877" s="18"/>
      <c r="H1877" s="18" t="s">
        <v>258</v>
      </c>
      <c r="I1877" s="47">
        <f>I1878</f>
        <v>18300</v>
      </c>
      <c r="J1877" s="47">
        <f>J1878</f>
        <v>1000</v>
      </c>
      <c r="K1877" s="47">
        <f t="shared" si="335"/>
        <v>19300</v>
      </c>
      <c r="L1877" s="174"/>
      <c r="M1877" s="47">
        <f>M1878</f>
        <v>0</v>
      </c>
      <c r="N1877" s="47">
        <f>N1878</f>
        <v>0</v>
      </c>
      <c r="O1877" s="47">
        <f t="shared" si="336"/>
        <v>0</v>
      </c>
      <c r="P1877" s="174"/>
      <c r="Q1877" s="47">
        <f t="shared" si="331"/>
        <v>18300</v>
      </c>
      <c r="R1877" s="47">
        <f t="shared" si="333"/>
        <v>1000</v>
      </c>
      <c r="S1877" s="47">
        <f t="shared" si="333"/>
        <v>19300</v>
      </c>
    </row>
    <row r="1878" spans="2:19" x14ac:dyDescent="0.2">
      <c r="B1878" s="75">
        <f t="shared" si="334"/>
        <v>74</v>
      </c>
      <c r="C1878" s="15"/>
      <c r="D1878" s="15"/>
      <c r="E1878" s="15"/>
      <c r="F1878" s="52" t="s">
        <v>79</v>
      </c>
      <c r="G1878" s="15">
        <v>630</v>
      </c>
      <c r="H1878" s="15" t="s">
        <v>129</v>
      </c>
      <c r="I1878" s="49">
        <f>I1882+I1881+I1880+I1879</f>
        <v>18300</v>
      </c>
      <c r="J1878" s="49">
        <f>J1882+J1881+J1880+J1879</f>
        <v>1000</v>
      </c>
      <c r="K1878" s="49">
        <f t="shared" si="335"/>
        <v>19300</v>
      </c>
      <c r="L1878" s="123"/>
      <c r="M1878" s="49">
        <f>M1882+M1881+M1880+M1879</f>
        <v>0</v>
      </c>
      <c r="N1878" s="49">
        <f>N1882+N1881+N1880+N1879</f>
        <v>0</v>
      </c>
      <c r="O1878" s="49">
        <f t="shared" si="336"/>
        <v>0</v>
      </c>
      <c r="P1878" s="123"/>
      <c r="Q1878" s="49">
        <f t="shared" si="331"/>
        <v>18300</v>
      </c>
      <c r="R1878" s="49">
        <f t="shared" si="333"/>
        <v>1000</v>
      </c>
      <c r="S1878" s="49">
        <f t="shared" si="333"/>
        <v>19300</v>
      </c>
    </row>
    <row r="1879" spans="2:19" x14ac:dyDescent="0.2">
      <c r="B1879" s="75">
        <f t="shared" si="334"/>
        <v>75</v>
      </c>
      <c r="C1879" s="4"/>
      <c r="D1879" s="4"/>
      <c r="E1879" s="4"/>
      <c r="F1879" s="53" t="s">
        <v>79</v>
      </c>
      <c r="G1879" s="4">
        <v>632</v>
      </c>
      <c r="H1879" s="4" t="s">
        <v>140</v>
      </c>
      <c r="I1879" s="26">
        <v>17800</v>
      </c>
      <c r="J1879" s="26"/>
      <c r="K1879" s="26">
        <f t="shared" si="335"/>
        <v>17800</v>
      </c>
      <c r="L1879" s="76"/>
      <c r="M1879" s="26"/>
      <c r="N1879" s="26"/>
      <c r="O1879" s="26">
        <f t="shared" si="336"/>
        <v>0</v>
      </c>
      <c r="P1879" s="76"/>
      <c r="Q1879" s="26">
        <f t="shared" si="331"/>
        <v>17800</v>
      </c>
      <c r="R1879" s="26">
        <f t="shared" si="333"/>
        <v>0</v>
      </c>
      <c r="S1879" s="26">
        <f t="shared" si="333"/>
        <v>17800</v>
      </c>
    </row>
    <row r="1880" spans="2:19" x14ac:dyDescent="0.2">
      <c r="B1880" s="75">
        <f t="shared" si="334"/>
        <v>76</v>
      </c>
      <c r="C1880" s="4"/>
      <c r="D1880" s="4"/>
      <c r="E1880" s="4"/>
      <c r="F1880" s="53" t="s">
        <v>79</v>
      </c>
      <c r="G1880" s="4">
        <v>633</v>
      </c>
      <c r="H1880" s="4" t="s">
        <v>133</v>
      </c>
      <c r="I1880" s="26">
        <v>100</v>
      </c>
      <c r="J1880" s="26"/>
      <c r="K1880" s="26">
        <f t="shared" si="335"/>
        <v>100</v>
      </c>
      <c r="L1880" s="76"/>
      <c r="M1880" s="26"/>
      <c r="N1880" s="26"/>
      <c r="O1880" s="26">
        <f t="shared" si="336"/>
        <v>0</v>
      </c>
      <c r="P1880" s="76"/>
      <c r="Q1880" s="26">
        <f t="shared" ref="Q1880:Q1912" si="337">I1880+M1880</f>
        <v>100</v>
      </c>
      <c r="R1880" s="26">
        <f t="shared" ref="R1880:S1895" si="338">J1880+N1880</f>
        <v>0</v>
      </c>
      <c r="S1880" s="26">
        <f t="shared" si="338"/>
        <v>100</v>
      </c>
    </row>
    <row r="1881" spans="2:19" x14ac:dyDescent="0.2">
      <c r="B1881" s="75">
        <f t="shared" si="334"/>
        <v>77</v>
      </c>
      <c r="C1881" s="4"/>
      <c r="D1881" s="4"/>
      <c r="E1881" s="4"/>
      <c r="F1881" s="53" t="s">
        <v>79</v>
      </c>
      <c r="G1881" s="4">
        <v>635</v>
      </c>
      <c r="H1881" s="4" t="s">
        <v>139</v>
      </c>
      <c r="I1881" s="26">
        <v>300</v>
      </c>
      <c r="J1881" s="26">
        <v>1000</v>
      </c>
      <c r="K1881" s="26">
        <f t="shared" si="335"/>
        <v>1300</v>
      </c>
      <c r="L1881" s="76"/>
      <c r="M1881" s="26"/>
      <c r="N1881" s="26"/>
      <c r="O1881" s="26">
        <f t="shared" si="336"/>
        <v>0</v>
      </c>
      <c r="P1881" s="76"/>
      <c r="Q1881" s="26">
        <f t="shared" si="337"/>
        <v>300</v>
      </c>
      <c r="R1881" s="26">
        <f t="shared" si="338"/>
        <v>1000</v>
      </c>
      <c r="S1881" s="26">
        <f t="shared" si="338"/>
        <v>1300</v>
      </c>
    </row>
    <row r="1882" spans="2:19" x14ac:dyDescent="0.2">
      <c r="B1882" s="75">
        <f t="shared" si="334"/>
        <v>78</v>
      </c>
      <c r="C1882" s="4"/>
      <c r="D1882" s="4"/>
      <c r="E1882" s="4"/>
      <c r="F1882" s="53" t="s">
        <v>79</v>
      </c>
      <c r="G1882" s="4">
        <v>637</v>
      </c>
      <c r="H1882" s="4" t="s">
        <v>130</v>
      </c>
      <c r="I1882" s="26">
        <v>100</v>
      </c>
      <c r="J1882" s="26"/>
      <c r="K1882" s="26">
        <f t="shared" si="335"/>
        <v>100</v>
      </c>
      <c r="L1882" s="76"/>
      <c r="M1882" s="26"/>
      <c r="N1882" s="26"/>
      <c r="O1882" s="26">
        <f t="shared" si="336"/>
        <v>0</v>
      </c>
      <c r="P1882" s="76"/>
      <c r="Q1882" s="26">
        <f t="shared" si="337"/>
        <v>100</v>
      </c>
      <c r="R1882" s="26">
        <f t="shared" si="338"/>
        <v>0</v>
      </c>
      <c r="S1882" s="26">
        <f t="shared" si="338"/>
        <v>100</v>
      </c>
    </row>
    <row r="1883" spans="2:19" ht="15" x14ac:dyDescent="0.2">
      <c r="B1883" s="75">
        <f t="shared" si="334"/>
        <v>79</v>
      </c>
      <c r="C1883" s="164">
        <v>6</v>
      </c>
      <c r="D1883" s="230" t="s">
        <v>435</v>
      </c>
      <c r="E1883" s="228"/>
      <c r="F1883" s="228"/>
      <c r="G1883" s="228"/>
      <c r="H1883" s="229"/>
      <c r="I1883" s="45">
        <f>I1884+I1885+I1888+I1890</f>
        <v>1004431</v>
      </c>
      <c r="J1883" s="45">
        <f>J1884+J1885+J1888+J1890</f>
        <v>0</v>
      </c>
      <c r="K1883" s="45">
        <f t="shared" si="335"/>
        <v>1004431</v>
      </c>
      <c r="L1883" s="172"/>
      <c r="M1883" s="45">
        <f>M1884+M1885+M1888+M1890</f>
        <v>4000</v>
      </c>
      <c r="N1883" s="45">
        <f>N1884+N1885+N1888+N1890</f>
        <v>21000</v>
      </c>
      <c r="O1883" s="45">
        <f t="shared" si="336"/>
        <v>25000</v>
      </c>
      <c r="P1883" s="172"/>
      <c r="Q1883" s="45">
        <f t="shared" si="337"/>
        <v>1008431</v>
      </c>
      <c r="R1883" s="45">
        <f t="shared" si="338"/>
        <v>21000</v>
      </c>
      <c r="S1883" s="45">
        <f t="shared" si="338"/>
        <v>1029431</v>
      </c>
    </row>
    <row r="1884" spans="2:19" x14ac:dyDescent="0.2">
      <c r="B1884" s="75">
        <f t="shared" si="334"/>
        <v>80</v>
      </c>
      <c r="C1884" s="15"/>
      <c r="D1884" s="15"/>
      <c r="E1884" s="15"/>
      <c r="F1884" s="52" t="s">
        <v>79</v>
      </c>
      <c r="G1884" s="15">
        <v>620</v>
      </c>
      <c r="H1884" s="15" t="s">
        <v>132</v>
      </c>
      <c r="I1884" s="49">
        <v>760</v>
      </c>
      <c r="J1884" s="49"/>
      <c r="K1884" s="49">
        <f t="shared" si="335"/>
        <v>760</v>
      </c>
      <c r="L1884" s="123"/>
      <c r="M1884" s="49"/>
      <c r="N1884" s="49"/>
      <c r="O1884" s="49">
        <f t="shared" si="336"/>
        <v>0</v>
      </c>
      <c r="P1884" s="123"/>
      <c r="Q1884" s="49">
        <f t="shared" si="337"/>
        <v>760</v>
      </c>
      <c r="R1884" s="49">
        <f t="shared" si="338"/>
        <v>0</v>
      </c>
      <c r="S1884" s="49">
        <f t="shared" si="338"/>
        <v>760</v>
      </c>
    </row>
    <row r="1885" spans="2:19" x14ac:dyDescent="0.2">
      <c r="B1885" s="75">
        <f t="shared" si="334"/>
        <v>81</v>
      </c>
      <c r="C1885" s="15"/>
      <c r="D1885" s="15"/>
      <c r="E1885" s="15"/>
      <c r="F1885" s="52" t="s">
        <v>79</v>
      </c>
      <c r="G1885" s="15">
        <v>630</v>
      </c>
      <c r="H1885" s="15" t="s">
        <v>129</v>
      </c>
      <c r="I1885" s="49">
        <f>I1886+I1887</f>
        <v>3001</v>
      </c>
      <c r="J1885" s="49">
        <f>J1886+J1887</f>
        <v>0</v>
      </c>
      <c r="K1885" s="49">
        <f t="shared" si="335"/>
        <v>3001</v>
      </c>
      <c r="L1885" s="123"/>
      <c r="M1885" s="49">
        <f>M1886</f>
        <v>0</v>
      </c>
      <c r="N1885" s="49">
        <f>N1886</f>
        <v>0</v>
      </c>
      <c r="O1885" s="49">
        <f t="shared" si="336"/>
        <v>0</v>
      </c>
      <c r="P1885" s="123"/>
      <c r="Q1885" s="49">
        <f t="shared" si="337"/>
        <v>3001</v>
      </c>
      <c r="R1885" s="49">
        <f t="shared" si="338"/>
        <v>0</v>
      </c>
      <c r="S1885" s="49">
        <f t="shared" si="338"/>
        <v>3001</v>
      </c>
    </row>
    <row r="1886" spans="2:19" x14ac:dyDescent="0.2">
      <c r="B1886" s="75">
        <f t="shared" si="334"/>
        <v>82</v>
      </c>
      <c r="C1886" s="4"/>
      <c r="D1886" s="4"/>
      <c r="E1886" s="4"/>
      <c r="F1886" s="53" t="s">
        <v>79</v>
      </c>
      <c r="G1886" s="4">
        <v>637</v>
      </c>
      <c r="H1886" s="4" t="s">
        <v>130</v>
      </c>
      <c r="I1886" s="26">
        <v>3000</v>
      </c>
      <c r="J1886" s="26"/>
      <c r="K1886" s="26">
        <f t="shared" si="335"/>
        <v>3000</v>
      </c>
      <c r="L1886" s="76"/>
      <c r="M1886" s="26"/>
      <c r="N1886" s="26"/>
      <c r="O1886" s="26">
        <f t="shared" si="336"/>
        <v>0</v>
      </c>
      <c r="P1886" s="76"/>
      <c r="Q1886" s="26">
        <f t="shared" si="337"/>
        <v>3000</v>
      </c>
      <c r="R1886" s="26">
        <f t="shared" si="338"/>
        <v>0</v>
      </c>
      <c r="S1886" s="26">
        <f t="shared" si="338"/>
        <v>3000</v>
      </c>
    </row>
    <row r="1887" spans="2:19" x14ac:dyDescent="0.2">
      <c r="B1887" s="75">
        <f t="shared" si="334"/>
        <v>83</v>
      </c>
      <c r="C1887" s="4"/>
      <c r="D1887" s="4"/>
      <c r="E1887" s="4"/>
      <c r="F1887" s="53" t="s">
        <v>79</v>
      </c>
      <c r="G1887" s="4">
        <v>630</v>
      </c>
      <c r="H1887" s="4" t="s">
        <v>610</v>
      </c>
      <c r="I1887" s="26">
        <v>1</v>
      </c>
      <c r="J1887" s="26"/>
      <c r="K1887" s="26">
        <f t="shared" si="335"/>
        <v>1</v>
      </c>
      <c r="L1887" s="76"/>
      <c r="M1887" s="26"/>
      <c r="N1887" s="26"/>
      <c r="O1887" s="26">
        <f t="shared" si="336"/>
        <v>0</v>
      </c>
      <c r="P1887" s="76"/>
      <c r="Q1887" s="26">
        <f t="shared" si="337"/>
        <v>1</v>
      </c>
      <c r="R1887" s="26">
        <f t="shared" si="338"/>
        <v>0</v>
      </c>
      <c r="S1887" s="26">
        <f t="shared" si="338"/>
        <v>1</v>
      </c>
    </row>
    <row r="1888" spans="2:19" x14ac:dyDescent="0.2">
      <c r="B1888" s="75">
        <f t="shared" si="334"/>
        <v>84</v>
      </c>
      <c r="C1888" s="15"/>
      <c r="D1888" s="15"/>
      <c r="E1888" s="15"/>
      <c r="F1888" s="52" t="s">
        <v>79</v>
      </c>
      <c r="G1888" s="15">
        <v>640</v>
      </c>
      <c r="H1888" s="15" t="s">
        <v>136</v>
      </c>
      <c r="I1888" s="49">
        <f>SUM(I1889:I1889)</f>
        <v>7000</v>
      </c>
      <c r="J1888" s="49">
        <f>SUM(J1889:J1889)</f>
        <v>0</v>
      </c>
      <c r="K1888" s="49">
        <f t="shared" si="335"/>
        <v>7000</v>
      </c>
      <c r="L1888" s="123"/>
      <c r="M1888" s="49"/>
      <c r="N1888" s="49"/>
      <c r="O1888" s="49">
        <f t="shared" si="336"/>
        <v>0</v>
      </c>
      <c r="P1888" s="123"/>
      <c r="Q1888" s="49">
        <f t="shared" si="337"/>
        <v>7000</v>
      </c>
      <c r="R1888" s="49">
        <f t="shared" si="338"/>
        <v>0</v>
      </c>
      <c r="S1888" s="49">
        <f t="shared" si="338"/>
        <v>7000</v>
      </c>
    </row>
    <row r="1889" spans="2:19" x14ac:dyDescent="0.2">
      <c r="B1889" s="75">
        <f t="shared" si="334"/>
        <v>85</v>
      </c>
      <c r="C1889" s="68"/>
      <c r="D1889" s="68"/>
      <c r="E1889" s="68"/>
      <c r="F1889" s="72"/>
      <c r="G1889" s="68"/>
      <c r="H1889" s="90" t="s">
        <v>323</v>
      </c>
      <c r="I1889" s="65">
        <v>7000</v>
      </c>
      <c r="J1889" s="65"/>
      <c r="K1889" s="65">
        <f t="shared" si="335"/>
        <v>7000</v>
      </c>
      <c r="L1889" s="161"/>
      <c r="M1889" s="70"/>
      <c r="N1889" s="70"/>
      <c r="O1889" s="70">
        <f t="shared" si="336"/>
        <v>0</v>
      </c>
      <c r="P1889" s="180"/>
      <c r="Q1889" s="65">
        <f t="shared" si="337"/>
        <v>7000</v>
      </c>
      <c r="R1889" s="65">
        <f t="shared" si="338"/>
        <v>0</v>
      </c>
      <c r="S1889" s="65">
        <f t="shared" si="338"/>
        <v>7000</v>
      </c>
    </row>
    <row r="1890" spans="2:19" ht="15" x14ac:dyDescent="0.25">
      <c r="B1890" s="75">
        <f t="shared" si="334"/>
        <v>86</v>
      </c>
      <c r="C1890" s="18"/>
      <c r="D1890" s="18"/>
      <c r="E1890" s="18">
        <v>5</v>
      </c>
      <c r="F1890" s="50"/>
      <c r="G1890" s="18"/>
      <c r="H1890" s="18" t="s">
        <v>267</v>
      </c>
      <c r="I1890" s="47">
        <f>I1891+I1892+I1893+I1900+I1901</f>
        <v>993670</v>
      </c>
      <c r="J1890" s="47">
        <f>J1891+J1892+J1893+J1900+J1901</f>
        <v>0</v>
      </c>
      <c r="K1890" s="47">
        <f t="shared" si="335"/>
        <v>993670</v>
      </c>
      <c r="L1890" s="174"/>
      <c r="M1890" s="47">
        <f>M1891+M1892+M1893+M1900+M1901</f>
        <v>4000</v>
      </c>
      <c r="N1890" s="47">
        <f>N1891+N1892+N1893+N1900+N1901</f>
        <v>21000</v>
      </c>
      <c r="O1890" s="47">
        <f t="shared" si="336"/>
        <v>25000</v>
      </c>
      <c r="P1890" s="174"/>
      <c r="Q1890" s="47">
        <f t="shared" si="337"/>
        <v>997670</v>
      </c>
      <c r="R1890" s="47">
        <f t="shared" si="338"/>
        <v>21000</v>
      </c>
      <c r="S1890" s="47">
        <f t="shared" si="338"/>
        <v>1018670</v>
      </c>
    </row>
    <row r="1891" spans="2:19" x14ac:dyDescent="0.2">
      <c r="B1891" s="75">
        <f t="shared" si="334"/>
        <v>87</v>
      </c>
      <c r="C1891" s="15"/>
      <c r="D1891" s="15"/>
      <c r="E1891" s="15"/>
      <c r="F1891" s="52" t="s">
        <v>78</v>
      </c>
      <c r="G1891" s="15">
        <v>610</v>
      </c>
      <c r="H1891" s="15" t="s">
        <v>137</v>
      </c>
      <c r="I1891" s="49">
        <f>444453+2+6200</f>
        <v>450655</v>
      </c>
      <c r="J1891" s="49"/>
      <c r="K1891" s="49">
        <f t="shared" si="335"/>
        <v>450655</v>
      </c>
      <c r="L1891" s="123"/>
      <c r="M1891" s="49"/>
      <c r="N1891" s="49"/>
      <c r="O1891" s="49">
        <f t="shared" si="336"/>
        <v>0</v>
      </c>
      <c r="P1891" s="123"/>
      <c r="Q1891" s="49">
        <f t="shared" si="337"/>
        <v>450655</v>
      </c>
      <c r="R1891" s="49">
        <f t="shared" si="338"/>
        <v>0</v>
      </c>
      <c r="S1891" s="49">
        <f t="shared" si="338"/>
        <v>450655</v>
      </c>
    </row>
    <row r="1892" spans="2:19" x14ac:dyDescent="0.2">
      <c r="B1892" s="75">
        <f t="shared" si="334"/>
        <v>88</v>
      </c>
      <c r="C1892" s="15"/>
      <c r="D1892" s="15"/>
      <c r="E1892" s="15"/>
      <c r="F1892" s="52" t="s">
        <v>78</v>
      </c>
      <c r="G1892" s="15">
        <v>620</v>
      </c>
      <c r="H1892" s="15" t="s">
        <v>132</v>
      </c>
      <c r="I1892" s="49">
        <f>155559+1+2170</f>
        <v>157730</v>
      </c>
      <c r="J1892" s="49"/>
      <c r="K1892" s="49">
        <f t="shared" si="335"/>
        <v>157730</v>
      </c>
      <c r="L1892" s="123"/>
      <c r="M1892" s="49"/>
      <c r="N1892" s="49"/>
      <c r="O1892" s="49">
        <f t="shared" si="336"/>
        <v>0</v>
      </c>
      <c r="P1892" s="123"/>
      <c r="Q1892" s="49">
        <f t="shared" si="337"/>
        <v>157730</v>
      </c>
      <c r="R1892" s="49">
        <f t="shared" si="338"/>
        <v>0</v>
      </c>
      <c r="S1892" s="49">
        <f t="shared" si="338"/>
        <v>157730</v>
      </c>
    </row>
    <row r="1893" spans="2:19" x14ac:dyDescent="0.2">
      <c r="B1893" s="75">
        <f t="shared" si="334"/>
        <v>89</v>
      </c>
      <c r="C1893" s="15"/>
      <c r="D1893" s="15"/>
      <c r="E1893" s="15"/>
      <c r="F1893" s="52" t="s">
        <v>78</v>
      </c>
      <c r="G1893" s="15">
        <v>630</v>
      </c>
      <c r="H1893" s="15" t="s">
        <v>129</v>
      </c>
      <c r="I1893" s="49">
        <f>I1899+I1898+I1897+I1896+I1895+I1894</f>
        <v>382185</v>
      </c>
      <c r="J1893" s="49">
        <f>J1899+J1898+J1897+J1896+J1895+J1894</f>
        <v>0</v>
      </c>
      <c r="K1893" s="49">
        <f t="shared" si="335"/>
        <v>382185</v>
      </c>
      <c r="L1893" s="123"/>
      <c r="M1893" s="49">
        <f>M1899+M1898+M1897+M1896+M1895+M1894</f>
        <v>0</v>
      </c>
      <c r="N1893" s="49">
        <f>N1899+N1898+N1897+N1896+N1895+N1894</f>
        <v>0</v>
      </c>
      <c r="O1893" s="49">
        <f t="shared" si="336"/>
        <v>0</v>
      </c>
      <c r="P1893" s="123"/>
      <c r="Q1893" s="49">
        <f t="shared" si="337"/>
        <v>382185</v>
      </c>
      <c r="R1893" s="49">
        <f t="shared" si="338"/>
        <v>0</v>
      </c>
      <c r="S1893" s="49">
        <f t="shared" si="338"/>
        <v>382185</v>
      </c>
    </row>
    <row r="1894" spans="2:19" x14ac:dyDescent="0.2">
      <c r="B1894" s="75">
        <f t="shared" si="334"/>
        <v>90</v>
      </c>
      <c r="C1894" s="4"/>
      <c r="D1894" s="4"/>
      <c r="E1894" s="4"/>
      <c r="F1894" s="53" t="s">
        <v>78</v>
      </c>
      <c r="G1894" s="4">
        <v>631</v>
      </c>
      <c r="H1894" s="4" t="s">
        <v>135</v>
      </c>
      <c r="I1894" s="26">
        <v>200</v>
      </c>
      <c r="J1894" s="26"/>
      <c r="K1894" s="26">
        <f t="shared" si="335"/>
        <v>200</v>
      </c>
      <c r="L1894" s="76"/>
      <c r="M1894" s="26"/>
      <c r="N1894" s="26"/>
      <c r="O1894" s="26">
        <f t="shared" si="336"/>
        <v>0</v>
      </c>
      <c r="P1894" s="76"/>
      <c r="Q1894" s="26">
        <f t="shared" si="337"/>
        <v>200</v>
      </c>
      <c r="R1894" s="26">
        <f t="shared" si="338"/>
        <v>0</v>
      </c>
      <c r="S1894" s="26">
        <f t="shared" si="338"/>
        <v>200</v>
      </c>
    </row>
    <row r="1895" spans="2:19" x14ac:dyDescent="0.2">
      <c r="B1895" s="75">
        <f t="shared" si="334"/>
        <v>91</v>
      </c>
      <c r="C1895" s="4"/>
      <c r="D1895" s="4"/>
      <c r="E1895" s="4"/>
      <c r="F1895" s="53" t="s">
        <v>78</v>
      </c>
      <c r="G1895" s="4">
        <v>632</v>
      </c>
      <c r="H1895" s="4" t="s">
        <v>140</v>
      </c>
      <c r="I1895" s="26">
        <v>93750</v>
      </c>
      <c r="J1895" s="26"/>
      <c r="K1895" s="26">
        <f t="shared" si="335"/>
        <v>93750</v>
      </c>
      <c r="L1895" s="76"/>
      <c r="M1895" s="26"/>
      <c r="N1895" s="26"/>
      <c r="O1895" s="26">
        <f t="shared" si="336"/>
        <v>0</v>
      </c>
      <c r="P1895" s="76"/>
      <c r="Q1895" s="26">
        <f t="shared" si="337"/>
        <v>93750</v>
      </c>
      <c r="R1895" s="26">
        <f t="shared" si="338"/>
        <v>0</v>
      </c>
      <c r="S1895" s="26">
        <f t="shared" si="338"/>
        <v>93750</v>
      </c>
    </row>
    <row r="1896" spans="2:19" x14ac:dyDescent="0.2">
      <c r="B1896" s="75">
        <f t="shared" si="334"/>
        <v>92</v>
      </c>
      <c r="C1896" s="4"/>
      <c r="D1896" s="4"/>
      <c r="E1896" s="4"/>
      <c r="F1896" s="53" t="s">
        <v>78</v>
      </c>
      <c r="G1896" s="4">
        <v>633</v>
      </c>
      <c r="H1896" s="4" t="s">
        <v>133</v>
      </c>
      <c r="I1896" s="26">
        <v>18870</v>
      </c>
      <c r="J1896" s="26"/>
      <c r="K1896" s="26">
        <f t="shared" si="335"/>
        <v>18870</v>
      </c>
      <c r="L1896" s="76"/>
      <c r="M1896" s="26"/>
      <c r="N1896" s="26"/>
      <c r="O1896" s="26">
        <f t="shared" si="336"/>
        <v>0</v>
      </c>
      <c r="P1896" s="76"/>
      <c r="Q1896" s="26">
        <f t="shared" si="337"/>
        <v>18870</v>
      </c>
      <c r="R1896" s="26">
        <f t="shared" ref="R1896:S1912" si="339">J1896+N1896</f>
        <v>0</v>
      </c>
      <c r="S1896" s="26">
        <f t="shared" si="339"/>
        <v>18870</v>
      </c>
    </row>
    <row r="1897" spans="2:19" x14ac:dyDescent="0.2">
      <c r="B1897" s="75">
        <f t="shared" si="334"/>
        <v>93</v>
      </c>
      <c r="C1897" s="4"/>
      <c r="D1897" s="4"/>
      <c r="E1897" s="4"/>
      <c r="F1897" s="53" t="s">
        <v>78</v>
      </c>
      <c r="G1897" s="4">
        <v>634</v>
      </c>
      <c r="H1897" s="4" t="s">
        <v>138</v>
      </c>
      <c r="I1897" s="26">
        <v>1900</v>
      </c>
      <c r="J1897" s="26"/>
      <c r="K1897" s="26">
        <f t="shared" si="335"/>
        <v>1900</v>
      </c>
      <c r="L1897" s="76"/>
      <c r="M1897" s="26"/>
      <c r="N1897" s="26"/>
      <c r="O1897" s="26">
        <f t="shared" si="336"/>
        <v>0</v>
      </c>
      <c r="P1897" s="76"/>
      <c r="Q1897" s="26">
        <f t="shared" si="337"/>
        <v>1900</v>
      </c>
      <c r="R1897" s="26">
        <f t="shared" si="339"/>
        <v>0</v>
      </c>
      <c r="S1897" s="26">
        <f t="shared" si="339"/>
        <v>1900</v>
      </c>
    </row>
    <row r="1898" spans="2:19" x14ac:dyDescent="0.2">
      <c r="B1898" s="75">
        <f t="shared" si="334"/>
        <v>94</v>
      </c>
      <c r="C1898" s="4"/>
      <c r="D1898" s="4"/>
      <c r="E1898" s="4"/>
      <c r="F1898" s="53" t="s">
        <v>78</v>
      </c>
      <c r="G1898" s="4">
        <v>635</v>
      </c>
      <c r="H1898" s="4" t="s">
        <v>139</v>
      </c>
      <c r="I1898" s="26">
        <v>24250</v>
      </c>
      <c r="J1898" s="26"/>
      <c r="K1898" s="26">
        <f t="shared" si="335"/>
        <v>24250</v>
      </c>
      <c r="L1898" s="76"/>
      <c r="M1898" s="26"/>
      <c r="N1898" s="26"/>
      <c r="O1898" s="26">
        <f t="shared" si="336"/>
        <v>0</v>
      </c>
      <c r="P1898" s="76"/>
      <c r="Q1898" s="26">
        <f t="shared" si="337"/>
        <v>24250</v>
      </c>
      <c r="R1898" s="26">
        <f t="shared" si="339"/>
        <v>0</v>
      </c>
      <c r="S1898" s="26">
        <f t="shared" si="339"/>
        <v>24250</v>
      </c>
    </row>
    <row r="1899" spans="2:19" x14ac:dyDescent="0.2">
      <c r="B1899" s="75">
        <f t="shared" si="334"/>
        <v>95</v>
      </c>
      <c r="C1899" s="4"/>
      <c r="D1899" s="4"/>
      <c r="E1899" s="4"/>
      <c r="F1899" s="53" t="s">
        <v>78</v>
      </c>
      <c r="G1899" s="4">
        <v>637</v>
      </c>
      <c r="H1899" s="4" t="s">
        <v>130</v>
      </c>
      <c r="I1899" s="26">
        <f>242937+275+3</f>
        <v>243215</v>
      </c>
      <c r="J1899" s="26"/>
      <c r="K1899" s="26">
        <f t="shared" si="335"/>
        <v>243215</v>
      </c>
      <c r="L1899" s="76"/>
      <c r="M1899" s="26"/>
      <c r="N1899" s="26"/>
      <c r="O1899" s="26">
        <f t="shared" si="336"/>
        <v>0</v>
      </c>
      <c r="P1899" s="76"/>
      <c r="Q1899" s="26">
        <f t="shared" si="337"/>
        <v>243215</v>
      </c>
      <c r="R1899" s="26">
        <f t="shared" si="339"/>
        <v>0</v>
      </c>
      <c r="S1899" s="26">
        <f t="shared" si="339"/>
        <v>243215</v>
      </c>
    </row>
    <row r="1900" spans="2:19" x14ac:dyDescent="0.2">
      <c r="B1900" s="75">
        <f t="shared" si="334"/>
        <v>96</v>
      </c>
      <c r="C1900" s="15"/>
      <c r="D1900" s="15"/>
      <c r="E1900" s="15"/>
      <c r="F1900" s="52" t="s">
        <v>78</v>
      </c>
      <c r="G1900" s="15">
        <v>640</v>
      </c>
      <c r="H1900" s="15" t="s">
        <v>136</v>
      </c>
      <c r="I1900" s="49">
        <v>3100</v>
      </c>
      <c r="J1900" s="49"/>
      <c r="K1900" s="49">
        <f t="shared" si="335"/>
        <v>3100</v>
      </c>
      <c r="L1900" s="123"/>
      <c r="M1900" s="49"/>
      <c r="N1900" s="49"/>
      <c r="O1900" s="49">
        <f t="shared" si="336"/>
        <v>0</v>
      </c>
      <c r="P1900" s="123"/>
      <c r="Q1900" s="49">
        <f t="shared" si="337"/>
        <v>3100</v>
      </c>
      <c r="R1900" s="49">
        <f t="shared" si="339"/>
        <v>0</v>
      </c>
      <c r="S1900" s="49">
        <f t="shared" si="339"/>
        <v>3100</v>
      </c>
    </row>
    <row r="1901" spans="2:19" x14ac:dyDescent="0.2">
      <c r="B1901" s="75">
        <f t="shared" si="334"/>
        <v>97</v>
      </c>
      <c r="C1901" s="15"/>
      <c r="D1901" s="15"/>
      <c r="E1901" s="15"/>
      <c r="F1901" s="52" t="s">
        <v>78</v>
      </c>
      <c r="G1901" s="15">
        <v>710</v>
      </c>
      <c r="H1901" s="15" t="s">
        <v>185</v>
      </c>
      <c r="I1901" s="49">
        <f>I1902</f>
        <v>0</v>
      </c>
      <c r="J1901" s="49">
        <f>J1902</f>
        <v>0</v>
      </c>
      <c r="K1901" s="49">
        <f t="shared" si="335"/>
        <v>0</v>
      </c>
      <c r="L1901" s="123"/>
      <c r="M1901" s="49">
        <f>M1902</f>
        <v>4000</v>
      </c>
      <c r="N1901" s="49">
        <f>N1902</f>
        <v>21000</v>
      </c>
      <c r="O1901" s="49">
        <f t="shared" si="336"/>
        <v>25000</v>
      </c>
      <c r="P1901" s="123"/>
      <c r="Q1901" s="49">
        <f t="shared" si="337"/>
        <v>4000</v>
      </c>
      <c r="R1901" s="49">
        <f t="shared" si="339"/>
        <v>21000</v>
      </c>
      <c r="S1901" s="49">
        <f t="shared" si="339"/>
        <v>25000</v>
      </c>
    </row>
    <row r="1902" spans="2:19" x14ac:dyDescent="0.2">
      <c r="B1902" s="75">
        <f t="shared" si="334"/>
        <v>98</v>
      </c>
      <c r="C1902" s="4"/>
      <c r="D1902" s="4"/>
      <c r="E1902" s="4"/>
      <c r="F1902" s="86" t="s">
        <v>78</v>
      </c>
      <c r="G1902" s="87">
        <v>717</v>
      </c>
      <c r="H1902" s="87" t="s">
        <v>195</v>
      </c>
      <c r="I1902" s="88">
        <f>SUM(I1903:I1903)</f>
        <v>0</v>
      </c>
      <c r="J1902" s="88">
        <f>SUM(J1903:J1903)</f>
        <v>0</v>
      </c>
      <c r="K1902" s="88">
        <f t="shared" si="335"/>
        <v>0</v>
      </c>
      <c r="L1902" s="76"/>
      <c r="M1902" s="88">
        <f>SUM(M1903:M1903)</f>
        <v>4000</v>
      </c>
      <c r="N1902" s="88">
        <f>SUM(N1903:N1904)</f>
        <v>21000</v>
      </c>
      <c r="O1902" s="88">
        <f t="shared" si="336"/>
        <v>25000</v>
      </c>
      <c r="P1902" s="76"/>
      <c r="Q1902" s="88">
        <f t="shared" si="337"/>
        <v>4000</v>
      </c>
      <c r="R1902" s="88">
        <f t="shared" si="339"/>
        <v>21000</v>
      </c>
      <c r="S1902" s="88">
        <f t="shared" si="339"/>
        <v>25000</v>
      </c>
    </row>
    <row r="1903" spans="2:19" x14ac:dyDescent="0.2">
      <c r="B1903" s="75">
        <f t="shared" si="334"/>
        <v>99</v>
      </c>
      <c r="C1903" s="4"/>
      <c r="D1903" s="4"/>
      <c r="E1903" s="4"/>
      <c r="F1903" s="53"/>
      <c r="G1903" s="4"/>
      <c r="H1903" s="4" t="s">
        <v>420</v>
      </c>
      <c r="I1903" s="26"/>
      <c r="J1903" s="26"/>
      <c r="K1903" s="26">
        <f t="shared" si="335"/>
        <v>0</v>
      </c>
      <c r="L1903" s="76"/>
      <c r="M1903" s="26">
        <v>4000</v>
      </c>
      <c r="N1903" s="26">
        <v>-4000</v>
      </c>
      <c r="O1903" s="26">
        <f t="shared" si="336"/>
        <v>0</v>
      </c>
      <c r="P1903" s="76"/>
      <c r="Q1903" s="26">
        <f t="shared" si="337"/>
        <v>4000</v>
      </c>
      <c r="R1903" s="26">
        <f t="shared" si="339"/>
        <v>-4000</v>
      </c>
      <c r="S1903" s="26">
        <f t="shared" si="339"/>
        <v>0</v>
      </c>
    </row>
    <row r="1904" spans="2:19" x14ac:dyDescent="0.2">
      <c r="B1904" s="75">
        <f t="shared" si="334"/>
        <v>100</v>
      </c>
      <c r="C1904" s="4"/>
      <c r="D1904" s="54"/>
      <c r="E1904" s="4"/>
      <c r="F1904" s="53"/>
      <c r="G1904" s="4"/>
      <c r="H1904" s="38" t="s">
        <v>666</v>
      </c>
      <c r="I1904" s="26"/>
      <c r="J1904" s="26"/>
      <c r="K1904" s="26"/>
      <c r="L1904" s="76"/>
      <c r="M1904" s="26"/>
      <c r="N1904" s="26">
        <v>25000</v>
      </c>
      <c r="O1904" s="26">
        <f t="shared" si="336"/>
        <v>25000</v>
      </c>
      <c r="P1904" s="76"/>
      <c r="Q1904" s="26">
        <f t="shared" ref="Q1904" si="340">I1904+M1904</f>
        <v>0</v>
      </c>
      <c r="R1904" s="26">
        <f t="shared" ref="R1904" si="341">J1904+N1904</f>
        <v>25000</v>
      </c>
      <c r="S1904" s="26">
        <f t="shared" ref="S1904" si="342">K1904+O1904</f>
        <v>25000</v>
      </c>
    </row>
    <row r="1905" spans="2:19" ht="15" x14ac:dyDescent="0.2">
      <c r="B1905" s="75">
        <f t="shared" si="334"/>
        <v>101</v>
      </c>
      <c r="C1905" s="164">
        <v>7</v>
      </c>
      <c r="D1905" s="230" t="s">
        <v>236</v>
      </c>
      <c r="E1905" s="228"/>
      <c r="F1905" s="228"/>
      <c r="G1905" s="228"/>
      <c r="H1905" s="229"/>
      <c r="I1905" s="45">
        <f>I1906</f>
        <v>526153</v>
      </c>
      <c r="J1905" s="45">
        <f>J1906</f>
        <v>0</v>
      </c>
      <c r="K1905" s="45">
        <f t="shared" si="335"/>
        <v>526153</v>
      </c>
      <c r="L1905" s="172"/>
      <c r="M1905" s="45">
        <f>M1906</f>
        <v>0</v>
      </c>
      <c r="N1905" s="45">
        <f>N1906</f>
        <v>0</v>
      </c>
      <c r="O1905" s="45">
        <f t="shared" si="336"/>
        <v>0</v>
      </c>
      <c r="P1905" s="172"/>
      <c r="Q1905" s="45">
        <f t="shared" si="337"/>
        <v>526153</v>
      </c>
      <c r="R1905" s="45">
        <f t="shared" si="339"/>
        <v>0</v>
      </c>
      <c r="S1905" s="45">
        <f t="shared" si="339"/>
        <v>526153</v>
      </c>
    </row>
    <row r="1906" spans="2:19" ht="15" x14ac:dyDescent="0.25">
      <c r="B1906" s="75">
        <f t="shared" si="334"/>
        <v>102</v>
      </c>
      <c r="C1906" s="18"/>
      <c r="D1906" s="18"/>
      <c r="E1906" s="18">
        <v>5</v>
      </c>
      <c r="F1906" s="50"/>
      <c r="G1906" s="18"/>
      <c r="H1906" s="18" t="s">
        <v>267</v>
      </c>
      <c r="I1906" s="47">
        <f>I1907+I1908+I1909+I1914</f>
        <v>526153</v>
      </c>
      <c r="J1906" s="47">
        <f>J1907+J1908+J1909+J1914</f>
        <v>0</v>
      </c>
      <c r="K1906" s="47">
        <f t="shared" si="335"/>
        <v>526153</v>
      </c>
      <c r="L1906" s="174"/>
      <c r="M1906" s="47">
        <f>M1907+M1908+M1909+M1914</f>
        <v>0</v>
      </c>
      <c r="N1906" s="47">
        <f>N1907+N1908+N1909+N1914</f>
        <v>0</v>
      </c>
      <c r="O1906" s="47">
        <f t="shared" si="336"/>
        <v>0</v>
      </c>
      <c r="P1906" s="174"/>
      <c r="Q1906" s="47">
        <f t="shared" si="337"/>
        <v>526153</v>
      </c>
      <c r="R1906" s="47">
        <f t="shared" si="339"/>
        <v>0</v>
      </c>
      <c r="S1906" s="47">
        <f t="shared" si="339"/>
        <v>526153</v>
      </c>
    </row>
    <row r="1907" spans="2:19" x14ac:dyDescent="0.2">
      <c r="B1907" s="75">
        <f t="shared" si="334"/>
        <v>103</v>
      </c>
      <c r="C1907" s="15"/>
      <c r="D1907" s="15"/>
      <c r="E1907" s="15"/>
      <c r="F1907" s="52" t="s">
        <v>78</v>
      </c>
      <c r="G1907" s="15">
        <v>610</v>
      </c>
      <c r="H1907" s="15" t="s">
        <v>137</v>
      </c>
      <c r="I1907" s="49">
        <f>221000+129510</f>
        <v>350510</v>
      </c>
      <c r="J1907" s="49"/>
      <c r="K1907" s="49">
        <f t="shared" si="335"/>
        <v>350510</v>
      </c>
      <c r="L1907" s="123"/>
      <c r="M1907" s="49"/>
      <c r="N1907" s="49"/>
      <c r="O1907" s="49">
        <f t="shared" si="336"/>
        <v>0</v>
      </c>
      <c r="P1907" s="123"/>
      <c r="Q1907" s="49">
        <f t="shared" si="337"/>
        <v>350510</v>
      </c>
      <c r="R1907" s="49">
        <f t="shared" si="339"/>
        <v>0</v>
      </c>
      <c r="S1907" s="49">
        <f t="shared" si="339"/>
        <v>350510</v>
      </c>
    </row>
    <row r="1908" spans="2:19" x14ac:dyDescent="0.2">
      <c r="B1908" s="75">
        <f t="shared" si="334"/>
        <v>104</v>
      </c>
      <c r="C1908" s="15"/>
      <c r="D1908" s="15"/>
      <c r="E1908" s="15"/>
      <c r="F1908" s="52" t="s">
        <v>78</v>
      </c>
      <c r="G1908" s="15">
        <v>620</v>
      </c>
      <c r="H1908" s="15" t="s">
        <v>132</v>
      </c>
      <c r="I1908" s="49">
        <f>77350+45330</f>
        <v>122680</v>
      </c>
      <c r="J1908" s="49"/>
      <c r="K1908" s="49">
        <f t="shared" si="335"/>
        <v>122680</v>
      </c>
      <c r="L1908" s="123"/>
      <c r="M1908" s="49"/>
      <c r="N1908" s="49"/>
      <c r="O1908" s="49">
        <f t="shared" si="336"/>
        <v>0</v>
      </c>
      <c r="P1908" s="123"/>
      <c r="Q1908" s="49">
        <f t="shared" si="337"/>
        <v>122680</v>
      </c>
      <c r="R1908" s="49">
        <f t="shared" si="339"/>
        <v>0</v>
      </c>
      <c r="S1908" s="49">
        <f t="shared" si="339"/>
        <v>122680</v>
      </c>
    </row>
    <row r="1909" spans="2:19" x14ac:dyDescent="0.2">
      <c r="B1909" s="75">
        <f t="shared" si="334"/>
        <v>105</v>
      </c>
      <c r="C1909" s="15"/>
      <c r="D1909" s="15"/>
      <c r="E1909" s="15"/>
      <c r="F1909" s="52" t="s">
        <v>78</v>
      </c>
      <c r="G1909" s="15">
        <v>630</v>
      </c>
      <c r="H1909" s="15" t="s">
        <v>129</v>
      </c>
      <c r="I1909" s="49">
        <f>SUM(I1910:I1913)</f>
        <v>50763</v>
      </c>
      <c r="J1909" s="49">
        <f>SUM(J1910:J1913)</f>
        <v>0</v>
      </c>
      <c r="K1909" s="49">
        <f t="shared" si="335"/>
        <v>50763</v>
      </c>
      <c r="L1909" s="123"/>
      <c r="M1909" s="49">
        <f>SUM(M1910:M1913)</f>
        <v>0</v>
      </c>
      <c r="N1909" s="49">
        <f>SUM(N1910:N1913)</f>
        <v>0</v>
      </c>
      <c r="O1909" s="49">
        <f t="shared" si="336"/>
        <v>0</v>
      </c>
      <c r="P1909" s="123"/>
      <c r="Q1909" s="49">
        <f t="shared" si="337"/>
        <v>50763</v>
      </c>
      <c r="R1909" s="49">
        <f t="shared" si="339"/>
        <v>0</v>
      </c>
      <c r="S1909" s="49">
        <f t="shared" si="339"/>
        <v>50763</v>
      </c>
    </row>
    <row r="1910" spans="2:19" x14ac:dyDescent="0.2">
      <c r="B1910" s="75">
        <f t="shared" si="334"/>
        <v>106</v>
      </c>
      <c r="C1910" s="4"/>
      <c r="D1910" s="4"/>
      <c r="E1910" s="4"/>
      <c r="F1910" s="53" t="s">
        <v>78</v>
      </c>
      <c r="G1910" s="4">
        <v>632</v>
      </c>
      <c r="H1910" s="4" t="s">
        <v>140</v>
      </c>
      <c r="I1910" s="26">
        <v>700</v>
      </c>
      <c r="J1910" s="26"/>
      <c r="K1910" s="26">
        <f t="shared" si="335"/>
        <v>700</v>
      </c>
      <c r="L1910" s="76"/>
      <c r="M1910" s="26"/>
      <c r="N1910" s="26"/>
      <c r="O1910" s="26">
        <f t="shared" si="336"/>
        <v>0</v>
      </c>
      <c r="P1910" s="76"/>
      <c r="Q1910" s="26">
        <f t="shared" si="337"/>
        <v>700</v>
      </c>
      <c r="R1910" s="26">
        <f t="shared" si="339"/>
        <v>0</v>
      </c>
      <c r="S1910" s="26">
        <f t="shared" si="339"/>
        <v>700</v>
      </c>
    </row>
    <row r="1911" spans="2:19" x14ac:dyDescent="0.2">
      <c r="B1911" s="75">
        <f t="shared" si="334"/>
        <v>107</v>
      </c>
      <c r="C1911" s="4"/>
      <c r="D1911" s="4"/>
      <c r="E1911" s="4"/>
      <c r="F1911" s="53" t="s">
        <v>78</v>
      </c>
      <c r="G1911" s="4">
        <v>633</v>
      </c>
      <c r="H1911" s="4" t="s">
        <v>133</v>
      </c>
      <c r="I1911" s="26">
        <v>2700</v>
      </c>
      <c r="J1911" s="26"/>
      <c r="K1911" s="26">
        <f t="shared" si="335"/>
        <v>2700</v>
      </c>
      <c r="L1911" s="76"/>
      <c r="M1911" s="26"/>
      <c r="N1911" s="26"/>
      <c r="O1911" s="26">
        <f t="shared" si="336"/>
        <v>0</v>
      </c>
      <c r="P1911" s="76"/>
      <c r="Q1911" s="26">
        <f t="shared" si="337"/>
        <v>2700</v>
      </c>
      <c r="R1911" s="26">
        <f t="shared" si="339"/>
        <v>0</v>
      </c>
      <c r="S1911" s="26">
        <f t="shared" si="339"/>
        <v>2700</v>
      </c>
    </row>
    <row r="1912" spans="2:19" x14ac:dyDescent="0.2">
      <c r="B1912" s="75">
        <f t="shared" si="334"/>
        <v>108</v>
      </c>
      <c r="C1912" s="4"/>
      <c r="D1912" s="4"/>
      <c r="E1912" s="4"/>
      <c r="F1912" s="53" t="s">
        <v>78</v>
      </c>
      <c r="G1912" s="4">
        <v>634</v>
      </c>
      <c r="H1912" s="4" t="s">
        <v>138</v>
      </c>
      <c r="I1912" s="26">
        <v>4900</v>
      </c>
      <c r="J1912" s="26"/>
      <c r="K1912" s="26">
        <f t="shared" si="335"/>
        <v>4900</v>
      </c>
      <c r="L1912" s="76"/>
      <c r="M1912" s="26"/>
      <c r="N1912" s="26"/>
      <c r="O1912" s="26">
        <f t="shared" si="336"/>
        <v>0</v>
      </c>
      <c r="P1912" s="76"/>
      <c r="Q1912" s="26">
        <f t="shared" si="337"/>
        <v>4900</v>
      </c>
      <c r="R1912" s="26">
        <f t="shared" si="339"/>
        <v>0</v>
      </c>
      <c r="S1912" s="26">
        <f t="shared" si="339"/>
        <v>4900</v>
      </c>
    </row>
    <row r="1913" spans="2:19" x14ac:dyDescent="0.2">
      <c r="B1913" s="75">
        <f t="shared" si="334"/>
        <v>109</v>
      </c>
      <c r="C1913" s="4"/>
      <c r="D1913" s="4"/>
      <c r="E1913" s="4"/>
      <c r="F1913" s="53" t="s">
        <v>78</v>
      </c>
      <c r="G1913" s="4">
        <v>637</v>
      </c>
      <c r="H1913" s="4" t="s">
        <v>130</v>
      </c>
      <c r="I1913" s="26">
        <f>25020+17443</f>
        <v>42463</v>
      </c>
      <c r="J1913" s="26"/>
      <c r="K1913" s="26">
        <f t="shared" si="335"/>
        <v>42463</v>
      </c>
      <c r="L1913" s="76"/>
      <c r="M1913" s="26"/>
      <c r="N1913" s="26"/>
      <c r="O1913" s="26">
        <f t="shared" si="336"/>
        <v>0</v>
      </c>
      <c r="P1913" s="76"/>
      <c r="Q1913" s="26">
        <f t="shared" ref="Q1913:Q1920" si="343">I1913+M1913</f>
        <v>42463</v>
      </c>
      <c r="R1913" s="26">
        <f t="shared" ref="R1913:S1920" si="344">J1913+N1913</f>
        <v>0</v>
      </c>
      <c r="S1913" s="26">
        <f t="shared" si="344"/>
        <v>42463</v>
      </c>
    </row>
    <row r="1914" spans="2:19" x14ac:dyDescent="0.2">
      <c r="B1914" s="75">
        <f t="shared" si="334"/>
        <v>110</v>
      </c>
      <c r="C1914" s="15"/>
      <c r="D1914" s="15"/>
      <c r="E1914" s="15"/>
      <c r="F1914" s="52" t="s">
        <v>78</v>
      </c>
      <c r="G1914" s="15">
        <v>640</v>
      </c>
      <c r="H1914" s="15" t="s">
        <v>136</v>
      </c>
      <c r="I1914" s="49">
        <v>2200</v>
      </c>
      <c r="J1914" s="49"/>
      <c r="K1914" s="49">
        <f t="shared" si="335"/>
        <v>2200</v>
      </c>
      <c r="L1914" s="123"/>
      <c r="M1914" s="49"/>
      <c r="N1914" s="49"/>
      <c r="O1914" s="49">
        <f t="shared" si="336"/>
        <v>0</v>
      </c>
      <c r="P1914" s="123"/>
      <c r="Q1914" s="49">
        <f t="shared" si="343"/>
        <v>2200</v>
      </c>
      <c r="R1914" s="49">
        <f t="shared" si="344"/>
        <v>0</v>
      </c>
      <c r="S1914" s="49">
        <f t="shared" si="344"/>
        <v>2200</v>
      </c>
    </row>
    <row r="1915" spans="2:19" ht="15" x14ac:dyDescent="0.2">
      <c r="B1915" s="75">
        <f t="shared" si="334"/>
        <v>111</v>
      </c>
      <c r="C1915" s="164">
        <v>8</v>
      </c>
      <c r="D1915" s="230" t="s">
        <v>208</v>
      </c>
      <c r="E1915" s="228"/>
      <c r="F1915" s="228"/>
      <c r="G1915" s="228"/>
      <c r="H1915" s="229"/>
      <c r="I1915" s="45">
        <f>I1916</f>
        <v>2000</v>
      </c>
      <c r="J1915" s="45">
        <f>J1916</f>
        <v>0</v>
      </c>
      <c r="K1915" s="45">
        <f t="shared" si="335"/>
        <v>2000</v>
      </c>
      <c r="L1915" s="172"/>
      <c r="M1915" s="45">
        <f>M1916</f>
        <v>0</v>
      </c>
      <c r="N1915" s="45">
        <f>N1916</f>
        <v>0</v>
      </c>
      <c r="O1915" s="45">
        <f t="shared" si="336"/>
        <v>0</v>
      </c>
      <c r="P1915" s="172"/>
      <c r="Q1915" s="45">
        <f t="shared" si="343"/>
        <v>2000</v>
      </c>
      <c r="R1915" s="45">
        <f t="shared" si="344"/>
        <v>0</v>
      </c>
      <c r="S1915" s="45">
        <f t="shared" si="344"/>
        <v>2000</v>
      </c>
    </row>
    <row r="1916" spans="2:19" x14ac:dyDescent="0.2">
      <c r="B1916" s="75">
        <f t="shared" si="334"/>
        <v>112</v>
      </c>
      <c r="C1916" s="15"/>
      <c r="D1916" s="15"/>
      <c r="E1916" s="15"/>
      <c r="F1916" s="52" t="s">
        <v>151</v>
      </c>
      <c r="G1916" s="15">
        <v>630</v>
      </c>
      <c r="H1916" s="15" t="s">
        <v>129</v>
      </c>
      <c r="I1916" s="49">
        <f>I1917</f>
        <v>2000</v>
      </c>
      <c r="J1916" s="49">
        <f>J1917</f>
        <v>0</v>
      </c>
      <c r="K1916" s="49">
        <f t="shared" si="335"/>
        <v>2000</v>
      </c>
      <c r="L1916" s="123"/>
      <c r="M1916" s="49">
        <f>M1917</f>
        <v>0</v>
      </c>
      <c r="N1916" s="49">
        <f>N1917</f>
        <v>0</v>
      </c>
      <c r="O1916" s="49">
        <f t="shared" si="336"/>
        <v>0</v>
      </c>
      <c r="P1916" s="123"/>
      <c r="Q1916" s="49">
        <f t="shared" si="343"/>
        <v>2000</v>
      </c>
      <c r="R1916" s="49">
        <f t="shared" si="344"/>
        <v>0</v>
      </c>
      <c r="S1916" s="49">
        <f t="shared" si="344"/>
        <v>2000</v>
      </c>
    </row>
    <row r="1917" spans="2:19" x14ac:dyDescent="0.2">
      <c r="B1917" s="75">
        <f t="shared" si="334"/>
        <v>113</v>
      </c>
      <c r="C1917" s="4"/>
      <c r="D1917" s="4"/>
      <c r="E1917" s="4"/>
      <c r="F1917" s="53" t="s">
        <v>151</v>
      </c>
      <c r="G1917" s="4">
        <v>637</v>
      </c>
      <c r="H1917" s="4" t="s">
        <v>130</v>
      </c>
      <c r="I1917" s="26">
        <v>2000</v>
      </c>
      <c r="J1917" s="26"/>
      <c r="K1917" s="26">
        <f t="shared" si="335"/>
        <v>2000</v>
      </c>
      <c r="L1917" s="76"/>
      <c r="M1917" s="26"/>
      <c r="N1917" s="26"/>
      <c r="O1917" s="26">
        <f t="shared" si="336"/>
        <v>0</v>
      </c>
      <c r="P1917" s="76"/>
      <c r="Q1917" s="26">
        <f t="shared" si="343"/>
        <v>2000</v>
      </c>
      <c r="R1917" s="26">
        <f t="shared" si="344"/>
        <v>0</v>
      </c>
      <c r="S1917" s="26">
        <f t="shared" si="344"/>
        <v>2000</v>
      </c>
    </row>
    <row r="1918" spans="2:19" ht="15" x14ac:dyDescent="0.2">
      <c r="B1918" s="75">
        <f t="shared" si="334"/>
        <v>114</v>
      </c>
      <c r="C1918" s="164">
        <v>9</v>
      </c>
      <c r="D1918" s="230" t="s">
        <v>183</v>
      </c>
      <c r="E1918" s="228"/>
      <c r="F1918" s="228"/>
      <c r="G1918" s="228"/>
      <c r="H1918" s="229"/>
      <c r="I1918" s="45">
        <f>I1919+I1922</f>
        <v>19165</v>
      </c>
      <c r="J1918" s="45">
        <f>J1919+J1922</f>
        <v>0</v>
      </c>
      <c r="K1918" s="45">
        <f t="shared" si="335"/>
        <v>19165</v>
      </c>
      <c r="L1918" s="172"/>
      <c r="M1918" s="45">
        <f>M1919+M1922</f>
        <v>0</v>
      </c>
      <c r="N1918" s="45">
        <f>N1919+N1922</f>
        <v>0</v>
      </c>
      <c r="O1918" s="45">
        <f t="shared" si="336"/>
        <v>0</v>
      </c>
      <c r="P1918" s="172"/>
      <c r="Q1918" s="45">
        <f t="shared" si="343"/>
        <v>19165</v>
      </c>
      <c r="R1918" s="45">
        <f t="shared" si="344"/>
        <v>0</v>
      </c>
      <c r="S1918" s="45">
        <f t="shared" si="344"/>
        <v>19165</v>
      </c>
    </row>
    <row r="1919" spans="2:19" x14ac:dyDescent="0.2">
      <c r="B1919" s="75">
        <f t="shared" si="334"/>
        <v>115</v>
      </c>
      <c r="C1919" s="15"/>
      <c r="D1919" s="15"/>
      <c r="E1919" s="15"/>
      <c r="F1919" s="52" t="s">
        <v>77</v>
      </c>
      <c r="G1919" s="15">
        <v>630</v>
      </c>
      <c r="H1919" s="15" t="s">
        <v>129</v>
      </c>
      <c r="I1919" s="49">
        <f>I1920+I1921</f>
        <v>12165</v>
      </c>
      <c r="J1919" s="49">
        <f>J1920+J1921</f>
        <v>0</v>
      </c>
      <c r="K1919" s="49">
        <f t="shared" si="335"/>
        <v>12165</v>
      </c>
      <c r="L1919" s="123"/>
      <c r="M1919" s="49">
        <f>M1920</f>
        <v>0</v>
      </c>
      <c r="N1919" s="49">
        <f>N1920</f>
        <v>0</v>
      </c>
      <c r="O1919" s="49">
        <f t="shared" si="336"/>
        <v>0</v>
      </c>
      <c r="P1919" s="123"/>
      <c r="Q1919" s="49">
        <f t="shared" si="343"/>
        <v>12165</v>
      </c>
      <c r="R1919" s="49">
        <f t="shared" si="344"/>
        <v>0</v>
      </c>
      <c r="S1919" s="49">
        <f t="shared" si="344"/>
        <v>12165</v>
      </c>
    </row>
    <row r="1920" spans="2:19" x14ac:dyDescent="0.2">
      <c r="B1920" s="75">
        <f t="shared" si="334"/>
        <v>116</v>
      </c>
      <c r="C1920" s="4"/>
      <c r="D1920" s="4"/>
      <c r="E1920" s="4"/>
      <c r="F1920" s="53" t="s">
        <v>77</v>
      </c>
      <c r="G1920" s="4">
        <v>637</v>
      </c>
      <c r="H1920" s="4" t="s">
        <v>130</v>
      </c>
      <c r="I1920" s="26">
        <v>12000</v>
      </c>
      <c r="J1920" s="26"/>
      <c r="K1920" s="26">
        <f t="shared" si="335"/>
        <v>12000</v>
      </c>
      <c r="L1920" s="76"/>
      <c r="M1920" s="26"/>
      <c r="N1920" s="26"/>
      <c r="O1920" s="26">
        <f t="shared" si="336"/>
        <v>0</v>
      </c>
      <c r="P1920" s="76"/>
      <c r="Q1920" s="26">
        <f t="shared" si="343"/>
        <v>12000</v>
      </c>
      <c r="R1920" s="26">
        <f t="shared" si="344"/>
        <v>0</v>
      </c>
      <c r="S1920" s="26">
        <f t="shared" si="344"/>
        <v>12000</v>
      </c>
    </row>
    <row r="1921" spans="2:19" x14ac:dyDescent="0.2">
      <c r="B1921" s="75">
        <f t="shared" si="334"/>
        <v>117</v>
      </c>
      <c r="C1921" s="4"/>
      <c r="D1921" s="4"/>
      <c r="E1921" s="4"/>
      <c r="F1921" s="53" t="s">
        <v>77</v>
      </c>
      <c r="G1921" s="4">
        <v>630</v>
      </c>
      <c r="H1921" s="4" t="s">
        <v>631</v>
      </c>
      <c r="I1921" s="26">
        <v>165</v>
      </c>
      <c r="J1921" s="26"/>
      <c r="K1921" s="26">
        <f t="shared" si="335"/>
        <v>165</v>
      </c>
      <c r="L1921" s="76"/>
      <c r="M1921" s="26"/>
      <c r="N1921" s="26"/>
      <c r="O1921" s="26">
        <f t="shared" si="336"/>
        <v>0</v>
      </c>
      <c r="P1921" s="76"/>
      <c r="Q1921" s="26"/>
      <c r="R1921" s="26"/>
      <c r="S1921" s="26"/>
    </row>
    <row r="1922" spans="2:19" x14ac:dyDescent="0.2">
      <c r="B1922" s="75">
        <f t="shared" si="334"/>
        <v>118</v>
      </c>
      <c r="C1922" s="15"/>
      <c r="D1922" s="15"/>
      <c r="E1922" s="15"/>
      <c r="F1922" s="52" t="s">
        <v>77</v>
      </c>
      <c r="G1922" s="15">
        <v>640</v>
      </c>
      <c r="H1922" s="15" t="s">
        <v>136</v>
      </c>
      <c r="I1922" s="49">
        <f>I1923</f>
        <v>7000</v>
      </c>
      <c r="J1922" s="49">
        <f>J1923</f>
        <v>0</v>
      </c>
      <c r="K1922" s="49">
        <f t="shared" si="335"/>
        <v>7000</v>
      </c>
      <c r="L1922" s="123"/>
      <c r="M1922" s="49">
        <f>M1923</f>
        <v>0</v>
      </c>
      <c r="N1922" s="49">
        <f>N1923</f>
        <v>0</v>
      </c>
      <c r="O1922" s="49">
        <f t="shared" si="336"/>
        <v>0</v>
      </c>
      <c r="P1922" s="123"/>
      <c r="Q1922" s="49">
        <f t="shared" ref="Q1922:Q1944" si="345">I1922+M1922</f>
        <v>7000</v>
      </c>
      <c r="R1922" s="49">
        <f t="shared" ref="R1922:S1937" si="346">J1922+N1922</f>
        <v>0</v>
      </c>
      <c r="S1922" s="49">
        <f t="shared" si="346"/>
        <v>7000</v>
      </c>
    </row>
    <row r="1923" spans="2:19" ht="24" x14ac:dyDescent="0.2">
      <c r="B1923" s="75">
        <f t="shared" si="334"/>
        <v>119</v>
      </c>
      <c r="C1923" s="85"/>
      <c r="D1923" s="101"/>
      <c r="E1923" s="85"/>
      <c r="F1923" s="84"/>
      <c r="G1923" s="85"/>
      <c r="H1923" s="83" t="s">
        <v>429</v>
      </c>
      <c r="I1923" s="65">
        <v>7000</v>
      </c>
      <c r="J1923" s="65"/>
      <c r="K1923" s="65">
        <f t="shared" si="335"/>
        <v>7000</v>
      </c>
      <c r="L1923" s="161"/>
      <c r="M1923" s="65"/>
      <c r="N1923" s="65"/>
      <c r="O1923" s="65">
        <f t="shared" si="336"/>
        <v>0</v>
      </c>
      <c r="P1923" s="161"/>
      <c r="Q1923" s="65">
        <f t="shared" si="345"/>
        <v>7000</v>
      </c>
      <c r="R1923" s="65">
        <f t="shared" si="346"/>
        <v>0</v>
      </c>
      <c r="S1923" s="65">
        <f t="shared" si="346"/>
        <v>7000</v>
      </c>
    </row>
    <row r="1924" spans="2:19" ht="15" x14ac:dyDescent="0.2">
      <c r="B1924" s="75">
        <f t="shared" si="334"/>
        <v>120</v>
      </c>
      <c r="C1924" s="164">
        <v>10</v>
      </c>
      <c r="D1924" s="230" t="s">
        <v>184</v>
      </c>
      <c r="E1924" s="228"/>
      <c r="F1924" s="228"/>
      <c r="G1924" s="228"/>
      <c r="H1924" s="229"/>
      <c r="I1924" s="45">
        <f>I1925</f>
        <v>12225</v>
      </c>
      <c r="J1924" s="45">
        <f>J1925</f>
        <v>0</v>
      </c>
      <c r="K1924" s="45">
        <f t="shared" si="335"/>
        <v>12225</v>
      </c>
      <c r="L1924" s="172"/>
      <c r="M1924" s="45">
        <f>M1925</f>
        <v>0</v>
      </c>
      <c r="N1924" s="45">
        <f>N1925</f>
        <v>0</v>
      </c>
      <c r="O1924" s="45">
        <f t="shared" si="336"/>
        <v>0</v>
      </c>
      <c r="P1924" s="172"/>
      <c r="Q1924" s="45">
        <f t="shared" si="345"/>
        <v>12225</v>
      </c>
      <c r="R1924" s="45">
        <f t="shared" si="346"/>
        <v>0</v>
      </c>
      <c r="S1924" s="45">
        <f t="shared" si="346"/>
        <v>12225</v>
      </c>
    </row>
    <row r="1925" spans="2:19" ht="15" x14ac:dyDescent="0.25">
      <c r="B1925" s="75">
        <f t="shared" si="334"/>
        <v>121</v>
      </c>
      <c r="C1925" s="18"/>
      <c r="D1925" s="18"/>
      <c r="E1925" s="18">
        <v>5</v>
      </c>
      <c r="F1925" s="50"/>
      <c r="G1925" s="18"/>
      <c r="H1925" s="18" t="s">
        <v>267</v>
      </c>
      <c r="I1925" s="47">
        <f>I1926+I1927+I1928+I1932</f>
        <v>12225</v>
      </c>
      <c r="J1925" s="47">
        <f>J1926+J1927+J1928+J1932</f>
        <v>0</v>
      </c>
      <c r="K1925" s="47">
        <f t="shared" si="335"/>
        <v>12225</v>
      </c>
      <c r="L1925" s="174"/>
      <c r="M1925" s="47">
        <f>M1926+M1927+M1928+M1932</f>
        <v>0</v>
      </c>
      <c r="N1925" s="47">
        <f>N1926+N1927+N1928+N1932</f>
        <v>0</v>
      </c>
      <c r="O1925" s="47">
        <f t="shared" si="336"/>
        <v>0</v>
      </c>
      <c r="P1925" s="174"/>
      <c r="Q1925" s="47">
        <f t="shared" si="345"/>
        <v>12225</v>
      </c>
      <c r="R1925" s="47">
        <f t="shared" si="346"/>
        <v>0</v>
      </c>
      <c r="S1925" s="47">
        <f t="shared" si="346"/>
        <v>12225</v>
      </c>
    </row>
    <row r="1926" spans="2:19" x14ac:dyDescent="0.2">
      <c r="B1926" s="75">
        <f t="shared" si="334"/>
        <v>122</v>
      </c>
      <c r="C1926" s="15"/>
      <c r="D1926" s="15"/>
      <c r="E1926" s="15"/>
      <c r="F1926" s="52" t="s">
        <v>78</v>
      </c>
      <c r="G1926" s="15">
        <v>610</v>
      </c>
      <c r="H1926" s="15" t="s">
        <v>137</v>
      </c>
      <c r="I1926" s="49">
        <v>6705</v>
      </c>
      <c r="J1926" s="49"/>
      <c r="K1926" s="49">
        <f t="shared" si="335"/>
        <v>6705</v>
      </c>
      <c r="L1926" s="123"/>
      <c r="M1926" s="49"/>
      <c r="N1926" s="49"/>
      <c r="O1926" s="49">
        <f t="shared" si="336"/>
        <v>0</v>
      </c>
      <c r="P1926" s="123"/>
      <c r="Q1926" s="49">
        <f t="shared" si="345"/>
        <v>6705</v>
      </c>
      <c r="R1926" s="49">
        <f t="shared" si="346"/>
        <v>0</v>
      </c>
      <c r="S1926" s="49">
        <f t="shared" si="346"/>
        <v>6705</v>
      </c>
    </row>
    <row r="1927" spans="2:19" x14ac:dyDescent="0.2">
      <c r="B1927" s="75">
        <f t="shared" si="334"/>
        <v>123</v>
      </c>
      <c r="C1927" s="15"/>
      <c r="D1927" s="15"/>
      <c r="E1927" s="15"/>
      <c r="F1927" s="52" t="s">
        <v>78</v>
      </c>
      <c r="G1927" s="15">
        <v>620</v>
      </c>
      <c r="H1927" s="15" t="s">
        <v>132</v>
      </c>
      <c r="I1927" s="49">
        <v>2350</v>
      </c>
      <c r="J1927" s="49"/>
      <c r="K1927" s="49">
        <f t="shared" si="335"/>
        <v>2350</v>
      </c>
      <c r="L1927" s="123"/>
      <c r="M1927" s="49"/>
      <c r="N1927" s="49"/>
      <c r="O1927" s="49">
        <f t="shared" si="336"/>
        <v>0</v>
      </c>
      <c r="P1927" s="123"/>
      <c r="Q1927" s="49">
        <f t="shared" si="345"/>
        <v>2350</v>
      </c>
      <c r="R1927" s="49">
        <f t="shared" si="346"/>
        <v>0</v>
      </c>
      <c r="S1927" s="49">
        <f t="shared" si="346"/>
        <v>2350</v>
      </c>
    </row>
    <row r="1928" spans="2:19" x14ac:dyDescent="0.2">
      <c r="B1928" s="75">
        <f t="shared" si="334"/>
        <v>124</v>
      </c>
      <c r="C1928" s="15"/>
      <c r="D1928" s="15"/>
      <c r="E1928" s="15"/>
      <c r="F1928" s="52" t="s">
        <v>78</v>
      </c>
      <c r="G1928" s="15">
        <v>630</v>
      </c>
      <c r="H1928" s="15" t="s">
        <v>129</v>
      </c>
      <c r="I1928" s="49">
        <f>I1931+I1930+I1929</f>
        <v>3140</v>
      </c>
      <c r="J1928" s="49">
        <f>J1931+J1930+J1929</f>
        <v>0</v>
      </c>
      <c r="K1928" s="49">
        <f t="shared" si="335"/>
        <v>3140</v>
      </c>
      <c r="L1928" s="123"/>
      <c r="M1928" s="49">
        <v>0</v>
      </c>
      <c r="N1928" s="49"/>
      <c r="O1928" s="49">
        <f t="shared" si="336"/>
        <v>0</v>
      </c>
      <c r="P1928" s="123"/>
      <c r="Q1928" s="49">
        <f t="shared" si="345"/>
        <v>3140</v>
      </c>
      <c r="R1928" s="49">
        <f t="shared" si="346"/>
        <v>0</v>
      </c>
      <c r="S1928" s="49">
        <f t="shared" si="346"/>
        <v>3140</v>
      </c>
    </row>
    <row r="1929" spans="2:19" x14ac:dyDescent="0.2">
      <c r="B1929" s="75">
        <f t="shared" si="334"/>
        <v>125</v>
      </c>
      <c r="C1929" s="4"/>
      <c r="D1929" s="4"/>
      <c r="E1929" s="4"/>
      <c r="F1929" s="53" t="s">
        <v>78</v>
      </c>
      <c r="G1929" s="4">
        <v>632</v>
      </c>
      <c r="H1929" s="4" t="s">
        <v>140</v>
      </c>
      <c r="I1929" s="26">
        <v>70</v>
      </c>
      <c r="J1929" s="26"/>
      <c r="K1929" s="26">
        <f t="shared" si="335"/>
        <v>70</v>
      </c>
      <c r="L1929" s="76"/>
      <c r="M1929" s="26"/>
      <c r="N1929" s="26"/>
      <c r="O1929" s="26">
        <f t="shared" si="336"/>
        <v>0</v>
      </c>
      <c r="P1929" s="76"/>
      <c r="Q1929" s="26">
        <f t="shared" si="345"/>
        <v>70</v>
      </c>
      <c r="R1929" s="26">
        <f t="shared" si="346"/>
        <v>0</v>
      </c>
      <c r="S1929" s="26">
        <f t="shared" si="346"/>
        <v>70</v>
      </c>
    </row>
    <row r="1930" spans="2:19" x14ac:dyDescent="0.2">
      <c r="B1930" s="75">
        <f t="shared" si="334"/>
        <v>126</v>
      </c>
      <c r="C1930" s="4"/>
      <c r="D1930" s="4"/>
      <c r="E1930" s="4"/>
      <c r="F1930" s="53" t="s">
        <v>78</v>
      </c>
      <c r="G1930" s="4">
        <v>634</v>
      </c>
      <c r="H1930" s="4" t="s">
        <v>138</v>
      </c>
      <c r="I1930" s="26">
        <v>2400</v>
      </c>
      <c r="J1930" s="26"/>
      <c r="K1930" s="26">
        <f t="shared" si="335"/>
        <v>2400</v>
      </c>
      <c r="L1930" s="76"/>
      <c r="M1930" s="26"/>
      <c r="N1930" s="26"/>
      <c r="O1930" s="26">
        <f t="shared" si="336"/>
        <v>0</v>
      </c>
      <c r="P1930" s="76"/>
      <c r="Q1930" s="26">
        <f t="shared" si="345"/>
        <v>2400</v>
      </c>
      <c r="R1930" s="26">
        <f t="shared" si="346"/>
        <v>0</v>
      </c>
      <c r="S1930" s="26">
        <f t="shared" si="346"/>
        <v>2400</v>
      </c>
    </row>
    <row r="1931" spans="2:19" x14ac:dyDescent="0.2">
      <c r="B1931" s="75">
        <f t="shared" si="334"/>
        <v>127</v>
      </c>
      <c r="C1931" s="4"/>
      <c r="D1931" s="4"/>
      <c r="E1931" s="4"/>
      <c r="F1931" s="53" t="s">
        <v>78</v>
      </c>
      <c r="G1931" s="4">
        <v>637</v>
      </c>
      <c r="H1931" s="4" t="s">
        <v>130</v>
      </c>
      <c r="I1931" s="26">
        <v>670</v>
      </c>
      <c r="J1931" s="26"/>
      <c r="K1931" s="26">
        <f t="shared" si="335"/>
        <v>670</v>
      </c>
      <c r="L1931" s="76"/>
      <c r="M1931" s="26"/>
      <c r="N1931" s="26"/>
      <c r="O1931" s="26">
        <f t="shared" si="336"/>
        <v>0</v>
      </c>
      <c r="P1931" s="76"/>
      <c r="Q1931" s="26">
        <f t="shared" si="345"/>
        <v>670</v>
      </c>
      <c r="R1931" s="26">
        <f t="shared" si="346"/>
        <v>0</v>
      </c>
      <c r="S1931" s="26">
        <f t="shared" si="346"/>
        <v>670</v>
      </c>
    </row>
    <row r="1932" spans="2:19" x14ac:dyDescent="0.2">
      <c r="B1932" s="75">
        <f t="shared" si="334"/>
        <v>128</v>
      </c>
      <c r="C1932" s="15"/>
      <c r="D1932" s="15"/>
      <c r="E1932" s="15"/>
      <c r="F1932" s="52" t="s">
        <v>78</v>
      </c>
      <c r="G1932" s="15">
        <v>640</v>
      </c>
      <c r="H1932" s="15" t="s">
        <v>136</v>
      </c>
      <c r="I1932" s="49">
        <v>30</v>
      </c>
      <c r="J1932" s="49"/>
      <c r="K1932" s="49">
        <f t="shared" si="335"/>
        <v>30</v>
      </c>
      <c r="L1932" s="123"/>
      <c r="M1932" s="49"/>
      <c r="N1932" s="49"/>
      <c r="O1932" s="49">
        <f t="shared" si="336"/>
        <v>0</v>
      </c>
      <c r="P1932" s="123"/>
      <c r="Q1932" s="49">
        <f t="shared" si="345"/>
        <v>30</v>
      </c>
      <c r="R1932" s="49">
        <f t="shared" si="346"/>
        <v>0</v>
      </c>
      <c r="S1932" s="49">
        <f t="shared" si="346"/>
        <v>30</v>
      </c>
    </row>
    <row r="1933" spans="2:19" ht="15" x14ac:dyDescent="0.2">
      <c r="B1933" s="75">
        <f t="shared" si="334"/>
        <v>129</v>
      </c>
      <c r="C1933" s="164">
        <v>11</v>
      </c>
      <c r="D1933" s="230" t="s">
        <v>72</v>
      </c>
      <c r="E1933" s="228"/>
      <c r="F1933" s="228"/>
      <c r="G1933" s="228"/>
      <c r="H1933" s="229"/>
      <c r="I1933" s="45">
        <f>I1934</f>
        <v>180077</v>
      </c>
      <c r="J1933" s="45">
        <f>J1934</f>
        <v>-21000</v>
      </c>
      <c r="K1933" s="45">
        <f t="shared" si="335"/>
        <v>159077</v>
      </c>
      <c r="L1933" s="172"/>
      <c r="M1933" s="45">
        <f>M1934</f>
        <v>0</v>
      </c>
      <c r="N1933" s="45">
        <f>N1934</f>
        <v>0</v>
      </c>
      <c r="O1933" s="45">
        <f t="shared" si="336"/>
        <v>0</v>
      </c>
      <c r="P1933" s="172"/>
      <c r="Q1933" s="45">
        <f t="shared" si="345"/>
        <v>180077</v>
      </c>
      <c r="R1933" s="45">
        <f t="shared" si="346"/>
        <v>-21000</v>
      </c>
      <c r="S1933" s="45">
        <f t="shared" si="346"/>
        <v>159077</v>
      </c>
    </row>
    <row r="1934" spans="2:19" ht="15" x14ac:dyDescent="0.25">
      <c r="B1934" s="75">
        <f t="shared" ref="B1934:B1944" si="347">B1933+1</f>
        <v>130</v>
      </c>
      <c r="C1934" s="18"/>
      <c r="D1934" s="18"/>
      <c r="E1934" s="18">
        <v>5</v>
      </c>
      <c r="F1934" s="50"/>
      <c r="G1934" s="18"/>
      <c r="H1934" s="18" t="s">
        <v>267</v>
      </c>
      <c r="I1934" s="47">
        <f>I1935+I1936+I1937</f>
        <v>180077</v>
      </c>
      <c r="J1934" s="47">
        <f>J1935+J1936+J1937</f>
        <v>-21000</v>
      </c>
      <c r="K1934" s="47">
        <f t="shared" ref="K1934:K1944" si="348">I1934+J1934</f>
        <v>159077</v>
      </c>
      <c r="L1934" s="174"/>
      <c r="M1934" s="47">
        <v>0</v>
      </c>
      <c r="N1934" s="47"/>
      <c r="O1934" s="47">
        <f t="shared" ref="O1934:O1944" si="349">M1934+N1934</f>
        <v>0</v>
      </c>
      <c r="P1934" s="174"/>
      <c r="Q1934" s="47">
        <f t="shared" si="345"/>
        <v>180077</v>
      </c>
      <c r="R1934" s="47">
        <f t="shared" si="346"/>
        <v>-21000</v>
      </c>
      <c r="S1934" s="47">
        <f t="shared" si="346"/>
        <v>159077</v>
      </c>
    </row>
    <row r="1935" spans="2:19" x14ac:dyDescent="0.2">
      <c r="B1935" s="75">
        <f t="shared" si="347"/>
        <v>131</v>
      </c>
      <c r="C1935" s="15"/>
      <c r="D1935" s="15"/>
      <c r="E1935" s="15"/>
      <c r="F1935" s="52" t="s">
        <v>253</v>
      </c>
      <c r="G1935" s="15">
        <v>610</v>
      </c>
      <c r="H1935" s="15" t="s">
        <v>137</v>
      </c>
      <c r="I1935" s="49">
        <v>79485</v>
      </c>
      <c r="J1935" s="49"/>
      <c r="K1935" s="49">
        <f t="shared" si="348"/>
        <v>79485</v>
      </c>
      <c r="L1935" s="123"/>
      <c r="M1935" s="49"/>
      <c r="N1935" s="49"/>
      <c r="O1935" s="49">
        <f t="shared" si="349"/>
        <v>0</v>
      </c>
      <c r="P1935" s="123"/>
      <c r="Q1935" s="49">
        <f t="shared" si="345"/>
        <v>79485</v>
      </c>
      <c r="R1935" s="49">
        <f t="shared" si="346"/>
        <v>0</v>
      </c>
      <c r="S1935" s="49">
        <f t="shared" si="346"/>
        <v>79485</v>
      </c>
    </row>
    <row r="1936" spans="2:19" x14ac:dyDescent="0.2">
      <c r="B1936" s="75">
        <f t="shared" si="347"/>
        <v>132</v>
      </c>
      <c r="C1936" s="15"/>
      <c r="D1936" s="15"/>
      <c r="E1936" s="15"/>
      <c r="F1936" s="52" t="s">
        <v>253</v>
      </c>
      <c r="G1936" s="15">
        <v>620</v>
      </c>
      <c r="H1936" s="15" t="s">
        <v>132</v>
      </c>
      <c r="I1936" s="49">
        <v>27820</v>
      </c>
      <c r="J1936" s="49"/>
      <c r="K1936" s="49">
        <f t="shared" si="348"/>
        <v>27820</v>
      </c>
      <c r="L1936" s="123"/>
      <c r="M1936" s="49"/>
      <c r="N1936" s="49"/>
      <c r="O1936" s="49">
        <f t="shared" si="349"/>
        <v>0</v>
      </c>
      <c r="P1936" s="123"/>
      <c r="Q1936" s="49">
        <f t="shared" si="345"/>
        <v>27820</v>
      </c>
      <c r="R1936" s="49">
        <f t="shared" si="346"/>
        <v>0</v>
      </c>
      <c r="S1936" s="49">
        <f t="shared" si="346"/>
        <v>27820</v>
      </c>
    </row>
    <row r="1937" spans="2:19" x14ac:dyDescent="0.2">
      <c r="B1937" s="75">
        <f t="shared" si="347"/>
        <v>133</v>
      </c>
      <c r="C1937" s="15"/>
      <c r="D1937" s="15"/>
      <c r="E1937" s="15"/>
      <c r="F1937" s="52" t="s">
        <v>253</v>
      </c>
      <c r="G1937" s="15">
        <v>630</v>
      </c>
      <c r="H1937" s="15" t="s">
        <v>129</v>
      </c>
      <c r="I1937" s="49">
        <f>I1943+I1942+I1941+I1940+I1939+I1938+I1944</f>
        <v>72772</v>
      </c>
      <c r="J1937" s="49">
        <f>J1943+J1942+J1941+J1940+J1939+J1938+J1944</f>
        <v>-21000</v>
      </c>
      <c r="K1937" s="49">
        <f t="shared" si="348"/>
        <v>51772</v>
      </c>
      <c r="L1937" s="123"/>
      <c r="M1937" s="49">
        <f>M1943+M1942+M1941+M1940+M1939+M1938</f>
        <v>0</v>
      </c>
      <c r="N1937" s="49">
        <f>N1943+N1942+N1941+N1940+N1939+N1938</f>
        <v>0</v>
      </c>
      <c r="O1937" s="49">
        <f t="shared" si="349"/>
        <v>0</v>
      </c>
      <c r="P1937" s="123"/>
      <c r="Q1937" s="49">
        <f t="shared" si="345"/>
        <v>72772</v>
      </c>
      <c r="R1937" s="49">
        <f t="shared" si="346"/>
        <v>-21000</v>
      </c>
      <c r="S1937" s="49">
        <f t="shared" si="346"/>
        <v>51772</v>
      </c>
    </row>
    <row r="1938" spans="2:19" x14ac:dyDescent="0.2">
      <c r="B1938" s="75">
        <f t="shared" si="347"/>
        <v>134</v>
      </c>
      <c r="C1938" s="4"/>
      <c r="D1938" s="4"/>
      <c r="E1938" s="4"/>
      <c r="F1938" s="53" t="s">
        <v>253</v>
      </c>
      <c r="G1938" s="4">
        <v>631</v>
      </c>
      <c r="H1938" s="4" t="s">
        <v>135</v>
      </c>
      <c r="I1938" s="26">
        <v>300</v>
      </c>
      <c r="J1938" s="26"/>
      <c r="K1938" s="26">
        <f t="shared" si="348"/>
        <v>300</v>
      </c>
      <c r="L1938" s="76"/>
      <c r="M1938" s="26"/>
      <c r="N1938" s="26"/>
      <c r="O1938" s="26">
        <f t="shared" si="349"/>
        <v>0</v>
      </c>
      <c r="P1938" s="76"/>
      <c r="Q1938" s="26">
        <f t="shared" si="345"/>
        <v>300</v>
      </c>
      <c r="R1938" s="26">
        <f t="shared" ref="R1938:S1944" si="350">J1938+N1938</f>
        <v>0</v>
      </c>
      <c r="S1938" s="26">
        <f t="shared" si="350"/>
        <v>300</v>
      </c>
    </row>
    <row r="1939" spans="2:19" x14ac:dyDescent="0.2">
      <c r="B1939" s="75">
        <f t="shared" si="347"/>
        <v>135</v>
      </c>
      <c r="C1939" s="4"/>
      <c r="D1939" s="4"/>
      <c r="E1939" s="4"/>
      <c r="F1939" s="53" t="s">
        <v>253</v>
      </c>
      <c r="G1939" s="4">
        <v>632</v>
      </c>
      <c r="H1939" s="4" t="s">
        <v>140</v>
      </c>
      <c r="I1939" s="26">
        <v>2300</v>
      </c>
      <c r="J1939" s="26"/>
      <c r="K1939" s="26">
        <f t="shared" si="348"/>
        <v>2300</v>
      </c>
      <c r="L1939" s="76"/>
      <c r="M1939" s="26"/>
      <c r="N1939" s="26"/>
      <c r="O1939" s="26">
        <f t="shared" si="349"/>
        <v>0</v>
      </c>
      <c r="P1939" s="76"/>
      <c r="Q1939" s="26">
        <f t="shared" si="345"/>
        <v>2300</v>
      </c>
      <c r="R1939" s="26">
        <f t="shared" si="350"/>
        <v>0</v>
      </c>
      <c r="S1939" s="26">
        <f t="shared" si="350"/>
        <v>2300</v>
      </c>
    </row>
    <row r="1940" spans="2:19" x14ac:dyDescent="0.2">
      <c r="B1940" s="75">
        <f t="shared" si="347"/>
        <v>136</v>
      </c>
      <c r="C1940" s="4"/>
      <c r="D1940" s="4"/>
      <c r="E1940" s="4"/>
      <c r="F1940" s="53" t="s">
        <v>253</v>
      </c>
      <c r="G1940" s="4">
        <v>633</v>
      </c>
      <c r="H1940" s="4" t="s">
        <v>133</v>
      </c>
      <c r="I1940" s="26">
        <v>3160</v>
      </c>
      <c r="J1940" s="26"/>
      <c r="K1940" s="26">
        <f t="shared" si="348"/>
        <v>3160</v>
      </c>
      <c r="L1940" s="76"/>
      <c r="M1940" s="26"/>
      <c r="N1940" s="26"/>
      <c r="O1940" s="26">
        <f t="shared" si="349"/>
        <v>0</v>
      </c>
      <c r="P1940" s="76"/>
      <c r="Q1940" s="26">
        <f t="shared" si="345"/>
        <v>3160</v>
      </c>
      <c r="R1940" s="26">
        <f t="shared" si="350"/>
        <v>0</v>
      </c>
      <c r="S1940" s="26">
        <f t="shared" si="350"/>
        <v>3160</v>
      </c>
    </row>
    <row r="1941" spans="2:19" x14ac:dyDescent="0.2">
      <c r="B1941" s="75">
        <f t="shared" si="347"/>
        <v>137</v>
      </c>
      <c r="C1941" s="4"/>
      <c r="D1941" s="4"/>
      <c r="E1941" s="4"/>
      <c r="F1941" s="53" t="s">
        <v>253</v>
      </c>
      <c r="G1941" s="4">
        <v>634</v>
      </c>
      <c r="H1941" s="4" t="s">
        <v>138</v>
      </c>
      <c r="I1941" s="26">
        <v>543</v>
      </c>
      <c r="J1941" s="26"/>
      <c r="K1941" s="26">
        <f t="shared" si="348"/>
        <v>543</v>
      </c>
      <c r="L1941" s="76"/>
      <c r="M1941" s="26"/>
      <c r="N1941" s="26"/>
      <c r="O1941" s="26">
        <f t="shared" si="349"/>
        <v>0</v>
      </c>
      <c r="P1941" s="76"/>
      <c r="Q1941" s="26">
        <f t="shared" si="345"/>
        <v>543</v>
      </c>
      <c r="R1941" s="26">
        <f t="shared" si="350"/>
        <v>0</v>
      </c>
      <c r="S1941" s="26">
        <f t="shared" si="350"/>
        <v>543</v>
      </c>
    </row>
    <row r="1942" spans="2:19" x14ac:dyDescent="0.2">
      <c r="B1942" s="75">
        <f t="shared" si="347"/>
        <v>138</v>
      </c>
      <c r="C1942" s="4"/>
      <c r="D1942" s="4"/>
      <c r="E1942" s="4"/>
      <c r="F1942" s="53" t="s">
        <v>253</v>
      </c>
      <c r="G1942" s="4">
        <v>635</v>
      </c>
      <c r="H1942" s="4" t="s">
        <v>139</v>
      </c>
      <c r="I1942" s="26">
        <v>1600</v>
      </c>
      <c r="J1942" s="26"/>
      <c r="K1942" s="26">
        <f t="shared" si="348"/>
        <v>1600</v>
      </c>
      <c r="L1942" s="76"/>
      <c r="M1942" s="26"/>
      <c r="N1942" s="26"/>
      <c r="O1942" s="26">
        <f t="shared" si="349"/>
        <v>0</v>
      </c>
      <c r="P1942" s="76"/>
      <c r="Q1942" s="26">
        <f t="shared" si="345"/>
        <v>1600</v>
      </c>
      <c r="R1942" s="26">
        <f t="shared" si="350"/>
        <v>0</v>
      </c>
      <c r="S1942" s="26">
        <f t="shared" si="350"/>
        <v>1600</v>
      </c>
    </row>
    <row r="1943" spans="2:19" x14ac:dyDescent="0.2">
      <c r="B1943" s="75">
        <f t="shared" si="347"/>
        <v>139</v>
      </c>
      <c r="C1943" s="4"/>
      <c r="D1943" s="4"/>
      <c r="E1943" s="4"/>
      <c r="F1943" s="53" t="s">
        <v>253</v>
      </c>
      <c r="G1943" s="4">
        <v>637</v>
      </c>
      <c r="H1943" s="4" t="s">
        <v>130</v>
      </c>
      <c r="I1943" s="26">
        <v>20172</v>
      </c>
      <c r="J1943" s="26"/>
      <c r="K1943" s="26">
        <f t="shared" si="348"/>
        <v>20172</v>
      </c>
      <c r="L1943" s="76"/>
      <c r="M1943" s="26"/>
      <c r="N1943" s="26"/>
      <c r="O1943" s="26">
        <f t="shared" si="349"/>
        <v>0</v>
      </c>
      <c r="P1943" s="76"/>
      <c r="Q1943" s="26">
        <f t="shared" si="345"/>
        <v>20172</v>
      </c>
      <c r="R1943" s="26">
        <f t="shared" si="350"/>
        <v>0</v>
      </c>
      <c r="S1943" s="26">
        <f t="shared" si="350"/>
        <v>20172</v>
      </c>
    </row>
    <row r="1944" spans="2:19" x14ac:dyDescent="0.2">
      <c r="B1944" s="75">
        <f t="shared" si="347"/>
        <v>140</v>
      </c>
      <c r="C1944" s="4"/>
      <c r="D1944" s="4"/>
      <c r="E1944" s="4"/>
      <c r="F1944" s="53" t="s">
        <v>253</v>
      </c>
      <c r="G1944" s="4">
        <v>630</v>
      </c>
      <c r="H1944" s="4" t="s">
        <v>565</v>
      </c>
      <c r="I1944" s="26">
        <v>44697</v>
      </c>
      <c r="J1944" s="26">
        <v>-21000</v>
      </c>
      <c r="K1944" s="26">
        <f t="shared" si="348"/>
        <v>23697</v>
      </c>
      <c r="L1944" s="76"/>
      <c r="M1944" s="26"/>
      <c r="N1944" s="26"/>
      <c r="O1944" s="26">
        <f t="shared" si="349"/>
        <v>0</v>
      </c>
      <c r="P1944" s="76"/>
      <c r="Q1944" s="26">
        <f t="shared" si="345"/>
        <v>44697</v>
      </c>
      <c r="R1944" s="26">
        <f t="shared" si="350"/>
        <v>-21000</v>
      </c>
      <c r="S1944" s="26">
        <f t="shared" si="350"/>
        <v>23697</v>
      </c>
    </row>
    <row r="1977" spans="2:19" ht="27" x14ac:dyDescent="0.35">
      <c r="B1977" s="234" t="s">
        <v>316</v>
      </c>
      <c r="C1977" s="235"/>
      <c r="D1977" s="235"/>
      <c r="E1977" s="235"/>
      <c r="F1977" s="235"/>
      <c r="G1977" s="235"/>
      <c r="H1977" s="235"/>
      <c r="I1977" s="235"/>
      <c r="J1977" s="235"/>
      <c r="K1977" s="235"/>
      <c r="L1977" s="235"/>
      <c r="M1977" s="235"/>
      <c r="N1977" s="235"/>
      <c r="O1977" s="235"/>
      <c r="P1977" s="235"/>
      <c r="Q1977" s="235"/>
    </row>
    <row r="1978" spans="2:19" x14ac:dyDescent="0.2">
      <c r="B1978" s="236" t="s">
        <v>285</v>
      </c>
      <c r="C1978" s="237"/>
      <c r="D1978" s="237"/>
      <c r="E1978" s="237"/>
      <c r="F1978" s="237"/>
      <c r="G1978" s="237"/>
      <c r="H1978" s="237"/>
      <c r="I1978" s="237"/>
      <c r="J1978" s="237"/>
      <c r="K1978" s="237"/>
      <c r="L1978" s="237"/>
      <c r="M1978" s="237"/>
      <c r="N1978" s="182"/>
      <c r="O1978" s="182"/>
      <c r="P1978" s="183"/>
      <c r="Q1978" s="222" t="s">
        <v>602</v>
      </c>
      <c r="R1978" s="222" t="s">
        <v>657</v>
      </c>
      <c r="S1978" s="222" t="s">
        <v>602</v>
      </c>
    </row>
    <row r="1979" spans="2:19" x14ac:dyDescent="0.2">
      <c r="B1979" s="238" t="s">
        <v>113</v>
      </c>
      <c r="C1979" s="225" t="s">
        <v>121</v>
      </c>
      <c r="D1979" s="225" t="s">
        <v>122</v>
      </c>
      <c r="E1979" s="231" t="s">
        <v>126</v>
      </c>
      <c r="F1979" s="225" t="s">
        <v>123</v>
      </c>
      <c r="G1979" s="225" t="s">
        <v>124</v>
      </c>
      <c r="H1979" s="240" t="s">
        <v>125</v>
      </c>
      <c r="I1979" s="222" t="s">
        <v>599</v>
      </c>
      <c r="J1979" s="222" t="s">
        <v>657</v>
      </c>
      <c r="K1979" s="222" t="s">
        <v>659</v>
      </c>
      <c r="L1979" s="168"/>
      <c r="M1979" s="222" t="s">
        <v>600</v>
      </c>
      <c r="N1979" s="222" t="s">
        <v>657</v>
      </c>
      <c r="O1979" s="222" t="s">
        <v>660</v>
      </c>
      <c r="P1979" s="169"/>
      <c r="Q1979" s="223"/>
      <c r="R1979" s="223"/>
      <c r="S1979" s="223"/>
    </row>
    <row r="1980" spans="2:19" x14ac:dyDescent="0.2">
      <c r="B1980" s="238"/>
      <c r="C1980" s="225"/>
      <c r="D1980" s="225"/>
      <c r="E1980" s="232"/>
      <c r="F1980" s="225"/>
      <c r="G1980" s="225"/>
      <c r="H1980" s="240"/>
      <c r="I1980" s="223"/>
      <c r="J1980" s="223"/>
      <c r="K1980" s="223"/>
      <c r="L1980" s="169"/>
      <c r="M1980" s="223"/>
      <c r="N1980" s="223"/>
      <c r="O1980" s="223"/>
      <c r="P1980" s="169"/>
      <c r="Q1980" s="223"/>
      <c r="R1980" s="223"/>
      <c r="S1980" s="223"/>
    </row>
    <row r="1981" spans="2:19" x14ac:dyDescent="0.2">
      <c r="B1981" s="238"/>
      <c r="C1981" s="225"/>
      <c r="D1981" s="225"/>
      <c r="E1981" s="232"/>
      <c r="F1981" s="225"/>
      <c r="G1981" s="225"/>
      <c r="H1981" s="240"/>
      <c r="I1981" s="223"/>
      <c r="J1981" s="223"/>
      <c r="K1981" s="223"/>
      <c r="L1981" s="169"/>
      <c r="M1981" s="223"/>
      <c r="N1981" s="223"/>
      <c r="O1981" s="223"/>
      <c r="P1981" s="169"/>
      <c r="Q1981" s="223"/>
      <c r="R1981" s="223"/>
      <c r="S1981" s="223"/>
    </row>
    <row r="1982" spans="2:19" ht="13.5" thickBot="1" x14ac:dyDescent="0.25">
      <c r="B1982" s="239"/>
      <c r="C1982" s="226"/>
      <c r="D1982" s="226"/>
      <c r="E1982" s="233"/>
      <c r="F1982" s="226"/>
      <c r="G1982" s="226"/>
      <c r="H1982" s="241"/>
      <c r="I1982" s="224"/>
      <c r="J1982" s="224"/>
      <c r="K1982" s="224"/>
      <c r="L1982" s="170"/>
      <c r="M1982" s="224"/>
      <c r="N1982" s="224"/>
      <c r="O1982" s="224"/>
      <c r="P1982" s="170"/>
      <c r="Q1982" s="224"/>
      <c r="R1982" s="224"/>
      <c r="S1982" s="224"/>
    </row>
    <row r="1983" spans="2:19" ht="16.5" thickTop="1" x14ac:dyDescent="0.2">
      <c r="B1983" s="75">
        <f t="shared" ref="B1983:B1997" si="351">B1982+1</f>
        <v>1</v>
      </c>
      <c r="C1983" s="242" t="s">
        <v>316</v>
      </c>
      <c r="D1983" s="243"/>
      <c r="E1983" s="243"/>
      <c r="F1983" s="243"/>
      <c r="G1983" s="243"/>
      <c r="H1983" s="244"/>
      <c r="I1983" s="44">
        <f>I1984</f>
        <v>158700</v>
      </c>
      <c r="J1983" s="44">
        <f>J1984</f>
        <v>0</v>
      </c>
      <c r="K1983" s="44">
        <f t="shared" ref="K1983:K1997" si="352">I1983+J1983</f>
        <v>158700</v>
      </c>
      <c r="L1983" s="171"/>
      <c r="M1983" s="44">
        <f>M1984</f>
        <v>0</v>
      </c>
      <c r="N1983" s="44">
        <f>N1984</f>
        <v>0</v>
      </c>
      <c r="O1983" s="44">
        <f t="shared" ref="O1983:O1997" si="353">M1983+N1983</f>
        <v>0</v>
      </c>
      <c r="P1983" s="171"/>
      <c r="Q1983" s="44">
        <f>I1983+M1983</f>
        <v>158700</v>
      </c>
      <c r="R1983" s="44">
        <f t="shared" ref="R1983:S1983" si="354">J1983+N1983</f>
        <v>0</v>
      </c>
      <c r="S1983" s="44">
        <f t="shared" si="354"/>
        <v>158700</v>
      </c>
    </row>
    <row r="1984" spans="2:19" ht="15" x14ac:dyDescent="0.2">
      <c r="B1984" s="75">
        <f t="shared" si="351"/>
        <v>2</v>
      </c>
      <c r="C1984" s="164">
        <v>1</v>
      </c>
      <c r="D1984" s="230" t="s">
        <v>162</v>
      </c>
      <c r="E1984" s="228"/>
      <c r="F1984" s="228"/>
      <c r="G1984" s="228"/>
      <c r="H1984" s="229"/>
      <c r="I1984" s="45">
        <f>I1990+I1985</f>
        <v>158700</v>
      </c>
      <c r="J1984" s="45">
        <f>J1990+J1985</f>
        <v>0</v>
      </c>
      <c r="K1984" s="45">
        <f t="shared" si="352"/>
        <v>158700</v>
      </c>
      <c r="L1984" s="172"/>
      <c r="M1984" s="45">
        <f>M1990+M1985</f>
        <v>0</v>
      </c>
      <c r="N1984" s="45">
        <f>N1990+N1985</f>
        <v>0</v>
      </c>
      <c r="O1984" s="45">
        <f t="shared" si="353"/>
        <v>0</v>
      </c>
      <c r="P1984" s="172"/>
      <c r="Q1984" s="45">
        <f>Q1990+Q1985</f>
        <v>158700</v>
      </c>
      <c r="R1984" s="45">
        <f t="shared" ref="R1984:S1984" si="355">R1990+R1985</f>
        <v>0</v>
      </c>
      <c r="S1984" s="45">
        <f t="shared" si="355"/>
        <v>158700</v>
      </c>
    </row>
    <row r="1985" spans="2:19" ht="15" x14ac:dyDescent="0.25">
      <c r="B1985" s="75">
        <f t="shared" si="351"/>
        <v>3</v>
      </c>
      <c r="C1985" s="163"/>
      <c r="D1985" s="163">
        <v>1</v>
      </c>
      <c r="E1985" s="227" t="s">
        <v>161</v>
      </c>
      <c r="F1985" s="228"/>
      <c r="G1985" s="228"/>
      <c r="H1985" s="229"/>
      <c r="I1985" s="46">
        <f>I1986+I1988</f>
        <v>125000</v>
      </c>
      <c r="J1985" s="46">
        <f>J1986+J1988</f>
        <v>0</v>
      </c>
      <c r="K1985" s="46">
        <f t="shared" si="352"/>
        <v>125000</v>
      </c>
      <c r="L1985" s="173"/>
      <c r="M1985" s="46">
        <f>M1986+M1988</f>
        <v>0</v>
      </c>
      <c r="N1985" s="46">
        <f>N1986+N1988</f>
        <v>0</v>
      </c>
      <c r="O1985" s="46">
        <f t="shared" si="353"/>
        <v>0</v>
      </c>
      <c r="P1985" s="173"/>
      <c r="Q1985" s="46">
        <f t="shared" ref="Q1985:Q1997" si="356">I1985+M1985</f>
        <v>125000</v>
      </c>
      <c r="R1985" s="46">
        <f t="shared" ref="R1985:S1997" si="357">J1985+N1985</f>
        <v>0</v>
      </c>
      <c r="S1985" s="46">
        <f t="shared" si="357"/>
        <v>125000</v>
      </c>
    </row>
    <row r="1986" spans="2:19" x14ac:dyDescent="0.2">
      <c r="B1986" s="75">
        <f t="shared" si="351"/>
        <v>4</v>
      </c>
      <c r="C1986" s="15"/>
      <c r="D1986" s="15"/>
      <c r="E1986" s="15"/>
      <c r="F1986" s="52" t="s">
        <v>160</v>
      </c>
      <c r="G1986" s="15">
        <v>630</v>
      </c>
      <c r="H1986" s="15" t="s">
        <v>129</v>
      </c>
      <c r="I1986" s="49">
        <f>I1987</f>
        <v>95000</v>
      </c>
      <c r="J1986" s="49">
        <f>J1987</f>
        <v>0</v>
      </c>
      <c r="K1986" s="49">
        <f t="shared" si="352"/>
        <v>95000</v>
      </c>
      <c r="L1986" s="123"/>
      <c r="M1986" s="49">
        <f>M1987</f>
        <v>0</v>
      </c>
      <c r="N1986" s="49">
        <f>N1987</f>
        <v>0</v>
      </c>
      <c r="O1986" s="49">
        <f t="shared" si="353"/>
        <v>0</v>
      </c>
      <c r="P1986" s="123"/>
      <c r="Q1986" s="49">
        <f t="shared" si="356"/>
        <v>95000</v>
      </c>
      <c r="R1986" s="49">
        <f t="shared" si="357"/>
        <v>0</v>
      </c>
      <c r="S1986" s="49">
        <f t="shared" si="357"/>
        <v>95000</v>
      </c>
    </row>
    <row r="1987" spans="2:19" x14ac:dyDescent="0.2">
      <c r="B1987" s="75">
        <f t="shared" si="351"/>
        <v>5</v>
      </c>
      <c r="C1987" s="4"/>
      <c r="D1987" s="4"/>
      <c r="E1987" s="4"/>
      <c r="F1987" s="53" t="s">
        <v>160</v>
      </c>
      <c r="G1987" s="4">
        <v>637</v>
      </c>
      <c r="H1987" s="4" t="s">
        <v>130</v>
      </c>
      <c r="I1987" s="26">
        <v>95000</v>
      </c>
      <c r="J1987" s="26"/>
      <c r="K1987" s="26">
        <f t="shared" si="352"/>
        <v>95000</v>
      </c>
      <c r="L1987" s="76"/>
      <c r="M1987" s="26"/>
      <c r="N1987" s="26"/>
      <c r="O1987" s="26">
        <f t="shared" si="353"/>
        <v>0</v>
      </c>
      <c r="P1987" s="76"/>
      <c r="Q1987" s="26">
        <f t="shared" si="356"/>
        <v>95000</v>
      </c>
      <c r="R1987" s="26">
        <f t="shared" si="357"/>
        <v>0</v>
      </c>
      <c r="S1987" s="26">
        <f t="shared" si="357"/>
        <v>95000</v>
      </c>
    </row>
    <row r="1988" spans="2:19" x14ac:dyDescent="0.2">
      <c r="B1988" s="75">
        <f t="shared" si="351"/>
        <v>6</v>
      </c>
      <c r="C1988" s="15"/>
      <c r="D1988" s="15"/>
      <c r="E1988" s="15"/>
      <c r="F1988" s="52" t="s">
        <v>160</v>
      </c>
      <c r="G1988" s="15">
        <v>640</v>
      </c>
      <c r="H1988" s="15" t="s">
        <v>136</v>
      </c>
      <c r="I1988" s="49">
        <v>30000</v>
      </c>
      <c r="J1988" s="49"/>
      <c r="K1988" s="49">
        <f t="shared" si="352"/>
        <v>30000</v>
      </c>
      <c r="L1988" s="123"/>
      <c r="M1988" s="49"/>
      <c r="N1988" s="49"/>
      <c r="O1988" s="49">
        <f t="shared" si="353"/>
        <v>0</v>
      </c>
      <c r="P1988" s="123"/>
      <c r="Q1988" s="49">
        <f t="shared" si="356"/>
        <v>30000</v>
      </c>
      <c r="R1988" s="49">
        <f t="shared" si="357"/>
        <v>0</v>
      </c>
      <c r="S1988" s="49">
        <f t="shared" si="357"/>
        <v>30000</v>
      </c>
    </row>
    <row r="1989" spans="2:19" ht="15" x14ac:dyDescent="0.25">
      <c r="B1989" s="75">
        <f t="shared" si="351"/>
        <v>7</v>
      </c>
      <c r="C1989" s="163"/>
      <c r="D1989" s="163">
        <v>2</v>
      </c>
      <c r="E1989" s="227" t="s">
        <v>439</v>
      </c>
      <c r="F1989" s="228"/>
      <c r="G1989" s="228"/>
      <c r="H1989" s="229"/>
      <c r="I1989" s="46">
        <v>0</v>
      </c>
      <c r="J1989" s="46">
        <v>0</v>
      </c>
      <c r="K1989" s="46">
        <f t="shared" si="352"/>
        <v>0</v>
      </c>
      <c r="L1989" s="173"/>
      <c r="M1989" s="46">
        <f>M1990+M1991+M1992+M1997</f>
        <v>0</v>
      </c>
      <c r="N1989" s="46">
        <f>N1990+N1991+N1992+N1997</f>
        <v>0</v>
      </c>
      <c r="O1989" s="46">
        <f t="shared" si="353"/>
        <v>0</v>
      </c>
      <c r="P1989" s="173"/>
      <c r="Q1989" s="46">
        <f t="shared" si="356"/>
        <v>0</v>
      </c>
      <c r="R1989" s="46">
        <f t="shared" si="357"/>
        <v>0</v>
      </c>
      <c r="S1989" s="46">
        <f t="shared" si="357"/>
        <v>0</v>
      </c>
    </row>
    <row r="1990" spans="2:19" ht="15" x14ac:dyDescent="0.25">
      <c r="B1990" s="75">
        <f t="shared" si="351"/>
        <v>8</v>
      </c>
      <c r="C1990" s="163"/>
      <c r="D1990" s="163">
        <v>3</v>
      </c>
      <c r="E1990" s="227" t="s">
        <v>199</v>
      </c>
      <c r="F1990" s="228"/>
      <c r="G1990" s="228"/>
      <c r="H1990" s="229"/>
      <c r="I1990" s="46">
        <f>I1991+I1992+I1993</f>
        <v>33700</v>
      </c>
      <c r="J1990" s="46">
        <f>J1991+J1992+J1993</f>
        <v>0</v>
      </c>
      <c r="K1990" s="46">
        <f t="shared" si="352"/>
        <v>33700</v>
      </c>
      <c r="L1990" s="173"/>
      <c r="M1990" s="46">
        <f>M1991+M1992+M1993</f>
        <v>0</v>
      </c>
      <c r="N1990" s="46">
        <f>N1991+N1992+N1993</f>
        <v>0</v>
      </c>
      <c r="O1990" s="46">
        <f t="shared" si="353"/>
        <v>0</v>
      </c>
      <c r="P1990" s="173"/>
      <c r="Q1990" s="46">
        <f t="shared" si="356"/>
        <v>33700</v>
      </c>
      <c r="R1990" s="46">
        <f t="shared" si="357"/>
        <v>0</v>
      </c>
      <c r="S1990" s="46">
        <f t="shared" si="357"/>
        <v>33700</v>
      </c>
    </row>
    <row r="1991" spans="2:19" x14ac:dyDescent="0.2">
      <c r="B1991" s="75">
        <f t="shared" si="351"/>
        <v>9</v>
      </c>
      <c r="C1991" s="15"/>
      <c r="D1991" s="15"/>
      <c r="E1991" s="15"/>
      <c r="F1991" s="52" t="s">
        <v>198</v>
      </c>
      <c r="G1991" s="15">
        <v>610</v>
      </c>
      <c r="H1991" s="15" t="s">
        <v>137</v>
      </c>
      <c r="I1991" s="49">
        <v>23000</v>
      </c>
      <c r="J1991" s="49"/>
      <c r="K1991" s="49">
        <f t="shared" si="352"/>
        <v>23000</v>
      </c>
      <c r="L1991" s="123"/>
      <c r="M1991" s="49"/>
      <c r="N1991" s="49"/>
      <c r="O1991" s="49">
        <f t="shared" si="353"/>
        <v>0</v>
      </c>
      <c r="P1991" s="123"/>
      <c r="Q1991" s="49">
        <f t="shared" si="356"/>
        <v>23000</v>
      </c>
      <c r="R1991" s="49">
        <f t="shared" si="357"/>
        <v>0</v>
      </c>
      <c r="S1991" s="49">
        <f t="shared" si="357"/>
        <v>23000</v>
      </c>
    </row>
    <row r="1992" spans="2:19" x14ac:dyDescent="0.2">
      <c r="B1992" s="75">
        <f t="shared" si="351"/>
        <v>10</v>
      </c>
      <c r="C1992" s="15"/>
      <c r="D1992" s="15"/>
      <c r="E1992" s="15"/>
      <c r="F1992" s="52" t="s">
        <v>198</v>
      </c>
      <c r="G1992" s="15">
        <v>620</v>
      </c>
      <c r="H1992" s="15" t="s">
        <v>132</v>
      </c>
      <c r="I1992" s="49">
        <v>8750</v>
      </c>
      <c r="J1992" s="49"/>
      <c r="K1992" s="49">
        <f t="shared" si="352"/>
        <v>8750</v>
      </c>
      <c r="L1992" s="123"/>
      <c r="M1992" s="49"/>
      <c r="N1992" s="49"/>
      <c r="O1992" s="49">
        <f t="shared" si="353"/>
        <v>0</v>
      </c>
      <c r="P1992" s="123"/>
      <c r="Q1992" s="49">
        <f t="shared" si="356"/>
        <v>8750</v>
      </c>
      <c r="R1992" s="49">
        <f t="shared" si="357"/>
        <v>0</v>
      </c>
      <c r="S1992" s="49">
        <f t="shared" si="357"/>
        <v>8750</v>
      </c>
    </row>
    <row r="1993" spans="2:19" x14ac:dyDescent="0.2">
      <c r="B1993" s="75">
        <f t="shared" si="351"/>
        <v>11</v>
      </c>
      <c r="C1993" s="15"/>
      <c r="D1993" s="15"/>
      <c r="E1993" s="15"/>
      <c r="F1993" s="52" t="s">
        <v>198</v>
      </c>
      <c r="G1993" s="15">
        <v>630</v>
      </c>
      <c r="H1993" s="15" t="s">
        <v>129</v>
      </c>
      <c r="I1993" s="49">
        <f>I1997+I1996+I1995+I1994</f>
        <v>1950</v>
      </c>
      <c r="J1993" s="49">
        <f>J1997+J1996+J1995+J1994</f>
        <v>0</v>
      </c>
      <c r="K1993" s="49">
        <f t="shared" si="352"/>
        <v>1950</v>
      </c>
      <c r="L1993" s="123"/>
      <c r="M1993" s="49">
        <v>0</v>
      </c>
      <c r="N1993" s="49"/>
      <c r="O1993" s="49">
        <f t="shared" si="353"/>
        <v>0</v>
      </c>
      <c r="P1993" s="123"/>
      <c r="Q1993" s="49">
        <f t="shared" si="356"/>
        <v>1950</v>
      </c>
      <c r="R1993" s="49">
        <f t="shared" si="357"/>
        <v>0</v>
      </c>
      <c r="S1993" s="49">
        <f t="shared" si="357"/>
        <v>1950</v>
      </c>
    </row>
    <row r="1994" spans="2:19" x14ac:dyDescent="0.2">
      <c r="B1994" s="75">
        <f t="shared" si="351"/>
        <v>12</v>
      </c>
      <c r="C1994" s="4"/>
      <c r="D1994" s="4"/>
      <c r="E1994" s="4"/>
      <c r="F1994" s="53" t="s">
        <v>198</v>
      </c>
      <c r="G1994" s="4">
        <v>632</v>
      </c>
      <c r="H1994" s="4" t="s">
        <v>140</v>
      </c>
      <c r="I1994" s="58">
        <v>150</v>
      </c>
      <c r="J1994" s="58"/>
      <c r="K1994" s="58">
        <f t="shared" si="352"/>
        <v>150</v>
      </c>
      <c r="L1994" s="76"/>
      <c r="M1994" s="26"/>
      <c r="N1994" s="26"/>
      <c r="O1994" s="26">
        <f t="shared" si="353"/>
        <v>0</v>
      </c>
      <c r="P1994" s="76"/>
      <c r="Q1994" s="26">
        <f t="shared" si="356"/>
        <v>150</v>
      </c>
      <c r="R1994" s="26">
        <f t="shared" si="357"/>
        <v>0</v>
      </c>
      <c r="S1994" s="26">
        <f t="shared" si="357"/>
        <v>150</v>
      </c>
    </row>
    <row r="1995" spans="2:19" x14ac:dyDescent="0.2">
      <c r="B1995" s="75">
        <f t="shared" si="351"/>
        <v>13</v>
      </c>
      <c r="C1995" s="4"/>
      <c r="D1995" s="4"/>
      <c r="E1995" s="4"/>
      <c r="F1995" s="53" t="s">
        <v>198</v>
      </c>
      <c r="G1995" s="4">
        <v>633</v>
      </c>
      <c r="H1995" s="4" t="s">
        <v>133</v>
      </c>
      <c r="I1995" s="58">
        <v>500</v>
      </c>
      <c r="J1995" s="58"/>
      <c r="K1995" s="58">
        <f t="shared" si="352"/>
        <v>500</v>
      </c>
      <c r="L1995" s="76"/>
      <c r="M1995" s="26"/>
      <c r="N1995" s="26"/>
      <c r="O1995" s="26">
        <f t="shared" si="353"/>
        <v>0</v>
      </c>
      <c r="P1995" s="76"/>
      <c r="Q1995" s="26">
        <f t="shared" si="356"/>
        <v>500</v>
      </c>
      <c r="R1995" s="26">
        <f t="shared" si="357"/>
        <v>0</v>
      </c>
      <c r="S1995" s="26">
        <f t="shared" si="357"/>
        <v>500</v>
      </c>
    </row>
    <row r="1996" spans="2:19" x14ac:dyDescent="0.2">
      <c r="B1996" s="75">
        <f t="shared" si="351"/>
        <v>14</v>
      </c>
      <c r="C1996" s="4"/>
      <c r="D1996" s="4"/>
      <c r="E1996" s="4"/>
      <c r="F1996" s="53" t="s">
        <v>198</v>
      </c>
      <c r="G1996" s="4">
        <v>635</v>
      </c>
      <c r="H1996" s="4" t="s">
        <v>139</v>
      </c>
      <c r="I1996" s="58">
        <v>200</v>
      </c>
      <c r="J1996" s="58"/>
      <c r="K1996" s="58">
        <f t="shared" si="352"/>
        <v>200</v>
      </c>
      <c r="L1996" s="76"/>
      <c r="M1996" s="26"/>
      <c r="N1996" s="26"/>
      <c r="O1996" s="26">
        <f t="shared" si="353"/>
        <v>0</v>
      </c>
      <c r="P1996" s="76"/>
      <c r="Q1996" s="26">
        <f t="shared" si="356"/>
        <v>200</v>
      </c>
      <c r="R1996" s="26">
        <f t="shared" si="357"/>
        <v>0</v>
      </c>
      <c r="S1996" s="26">
        <f t="shared" si="357"/>
        <v>200</v>
      </c>
    </row>
    <row r="1997" spans="2:19" x14ac:dyDescent="0.2">
      <c r="B1997" s="75">
        <f t="shared" si="351"/>
        <v>15</v>
      </c>
      <c r="C1997" s="4"/>
      <c r="D1997" s="4"/>
      <c r="E1997" s="4"/>
      <c r="F1997" s="53" t="s">
        <v>198</v>
      </c>
      <c r="G1997" s="4">
        <v>637</v>
      </c>
      <c r="H1997" s="4" t="s">
        <v>130</v>
      </c>
      <c r="I1997" s="58">
        <v>1100</v>
      </c>
      <c r="J1997" s="58"/>
      <c r="K1997" s="58">
        <f t="shared" si="352"/>
        <v>1100</v>
      </c>
      <c r="L1997" s="76"/>
      <c r="M1997" s="26"/>
      <c r="N1997" s="26"/>
      <c r="O1997" s="26">
        <f t="shared" si="353"/>
        <v>0</v>
      </c>
      <c r="P1997" s="76"/>
      <c r="Q1997" s="26">
        <f t="shared" si="356"/>
        <v>1100</v>
      </c>
      <c r="R1997" s="26">
        <f t="shared" si="357"/>
        <v>0</v>
      </c>
      <c r="S1997" s="26">
        <f t="shared" si="357"/>
        <v>1100</v>
      </c>
    </row>
    <row r="2011" ht="12.75" customHeight="1" x14ac:dyDescent="0.2"/>
    <row r="2012" ht="24.75" customHeight="1" x14ac:dyDescent="0.2"/>
    <row r="2013" ht="15.75" customHeight="1" x14ac:dyDescent="0.2"/>
    <row r="2030" spans="1:16" s="71" customFormat="1" x14ac:dyDescent="0.2">
      <c r="A2030" s="67"/>
      <c r="L2030" s="178"/>
      <c r="P2030" s="178"/>
    </row>
    <row r="2031" spans="1:16" s="71" customFormat="1" x14ac:dyDescent="0.2">
      <c r="A2031" s="67"/>
      <c r="L2031" s="178"/>
      <c r="P2031" s="178"/>
    </row>
    <row r="2032" spans="1:16" s="71" customFormat="1" x14ac:dyDescent="0.2">
      <c r="A2032" s="67"/>
      <c r="L2032" s="178"/>
      <c r="P2032" s="178"/>
    </row>
    <row r="2033" spans="1:16" s="71" customFormat="1" x14ac:dyDescent="0.2">
      <c r="A2033" s="67"/>
      <c r="L2033" s="178"/>
      <c r="P2033" s="178"/>
    </row>
    <row r="2034" spans="1:16" s="71" customFormat="1" x14ac:dyDescent="0.2">
      <c r="A2034" s="67"/>
      <c r="L2034" s="178"/>
      <c r="P2034" s="178"/>
    </row>
    <row r="2035" spans="1:16" s="71" customFormat="1" x14ac:dyDescent="0.2">
      <c r="A2035" s="67"/>
      <c r="L2035" s="178"/>
      <c r="P2035" s="178"/>
    </row>
    <row r="2036" spans="1:16" s="71" customFormat="1" x14ac:dyDescent="0.2">
      <c r="A2036" s="67"/>
      <c r="L2036" s="178"/>
      <c r="P2036" s="178"/>
    </row>
    <row r="2037" spans="1:16" s="71" customFormat="1" x14ac:dyDescent="0.2">
      <c r="A2037" s="67"/>
      <c r="L2037" s="178"/>
      <c r="P2037" s="178"/>
    </row>
    <row r="2038" spans="1:16" s="71" customFormat="1" x14ac:dyDescent="0.2">
      <c r="A2038" s="67"/>
      <c r="L2038" s="178"/>
      <c r="P2038" s="178"/>
    </row>
    <row r="2039" spans="1:16" s="71" customFormat="1" x14ac:dyDescent="0.2">
      <c r="A2039" s="67"/>
      <c r="L2039" s="178"/>
      <c r="P2039" s="178"/>
    </row>
    <row r="2040" spans="1:16" s="71" customFormat="1" x14ac:dyDescent="0.2">
      <c r="A2040" s="67"/>
      <c r="L2040" s="178"/>
      <c r="P2040" s="178"/>
    </row>
    <row r="2041" spans="1:16" s="71" customFormat="1" x14ac:dyDescent="0.2">
      <c r="A2041" s="67"/>
      <c r="L2041" s="178"/>
      <c r="P2041" s="178"/>
    </row>
    <row r="2042" spans="1:16" s="71" customFormat="1" ht="36.75" customHeight="1" x14ac:dyDescent="0.2">
      <c r="A2042" s="67"/>
      <c r="L2042" s="178"/>
      <c r="P2042" s="178"/>
    </row>
    <row r="2091" spans="1:16" s="71" customFormat="1" ht="13.5" customHeight="1" x14ac:dyDescent="0.2">
      <c r="A2091" s="67"/>
      <c r="L2091" s="178"/>
      <c r="P2091" s="178"/>
    </row>
    <row r="2123" spans="1:16" s="102" customFormat="1" x14ac:dyDescent="0.2">
      <c r="A2123" s="100"/>
      <c r="L2123" s="181"/>
      <c r="P2123" s="181"/>
    </row>
    <row r="2178" ht="12.75" customHeight="1" x14ac:dyDescent="0.2"/>
    <row r="2179" ht="17.25" customHeight="1" x14ac:dyDescent="0.2"/>
    <row r="2181" ht="18" customHeight="1" x14ac:dyDescent="0.2"/>
    <row r="2182" ht="19.5" customHeight="1" x14ac:dyDescent="0.2"/>
  </sheetData>
  <mergeCells count="316">
    <mergeCell ref="R1978:R1982"/>
    <mergeCell ref="S1978:S1982"/>
    <mergeCell ref="R644:R648"/>
    <mergeCell ref="S644:S648"/>
    <mergeCell ref="R1508:R1512"/>
    <mergeCell ref="S1508:S1512"/>
    <mergeCell ref="R1624:R1628"/>
    <mergeCell ref="S1624:S1628"/>
    <mergeCell ref="R2:R6"/>
    <mergeCell ref="S2:S6"/>
    <mergeCell ref="R81:R85"/>
    <mergeCell ref="S81:S85"/>
    <mergeCell ref="R121:R125"/>
    <mergeCell ref="S121:S125"/>
    <mergeCell ref="R1682:R1686"/>
    <mergeCell ref="S1682:S1686"/>
    <mergeCell ref="R1800:R1804"/>
    <mergeCell ref="S1800:S1804"/>
    <mergeCell ref="O82:O85"/>
    <mergeCell ref="O1509:O1512"/>
    <mergeCell ref="N645:N648"/>
    <mergeCell ref="O645:O648"/>
    <mergeCell ref="N480:N483"/>
    <mergeCell ref="O480:O483"/>
    <mergeCell ref="R240:R244"/>
    <mergeCell ref="S240:S244"/>
    <mergeCell ref="R359:R363"/>
    <mergeCell ref="S359:S363"/>
    <mergeCell ref="R479:R483"/>
    <mergeCell ref="S479:S483"/>
    <mergeCell ref="C1983:H1983"/>
    <mergeCell ref="D1984:H1984"/>
    <mergeCell ref="E1985:H1985"/>
    <mergeCell ref="E1989:H1989"/>
    <mergeCell ref="E1990:H1990"/>
    <mergeCell ref="B1977:Q1977"/>
    <mergeCell ref="B1978:M1978"/>
    <mergeCell ref="Q1978:Q1982"/>
    <mergeCell ref="B1979:B1982"/>
    <mergeCell ref="C1979:C1982"/>
    <mergeCell ref="D1979:D1982"/>
    <mergeCell ref="E1979:E1982"/>
    <mergeCell ref="F1979:F1982"/>
    <mergeCell ref="G1979:G1982"/>
    <mergeCell ref="H1979:H1982"/>
    <mergeCell ref="I1979:I1982"/>
    <mergeCell ref="M1979:M1982"/>
    <mergeCell ref="J1979:J1982"/>
    <mergeCell ref="K1979:K1982"/>
    <mergeCell ref="N1979:N1982"/>
    <mergeCell ref="O1979:O1982"/>
    <mergeCell ref="D1905:H1905"/>
    <mergeCell ref="D1915:H1915"/>
    <mergeCell ref="D1918:H1918"/>
    <mergeCell ref="D1924:H1924"/>
    <mergeCell ref="D1933:H1933"/>
    <mergeCell ref="D1841:H1841"/>
    <mergeCell ref="E1842:H1842"/>
    <mergeCell ref="E1860:H1860"/>
    <mergeCell ref="E1872:H1872"/>
    <mergeCell ref="D1883:H1883"/>
    <mergeCell ref="C1805:H1805"/>
    <mergeCell ref="D1806:H1806"/>
    <mergeCell ref="D1816:H1816"/>
    <mergeCell ref="D1818:H1818"/>
    <mergeCell ref="D1832:H1832"/>
    <mergeCell ref="B1800:M1800"/>
    <mergeCell ref="Q1800:Q1804"/>
    <mergeCell ref="B1801:B1804"/>
    <mergeCell ref="C1801:C1804"/>
    <mergeCell ref="D1801:D1804"/>
    <mergeCell ref="E1801:E1804"/>
    <mergeCell ref="F1801:F1804"/>
    <mergeCell ref="G1801:G1804"/>
    <mergeCell ref="H1801:H1804"/>
    <mergeCell ref="I1801:I1804"/>
    <mergeCell ref="M1801:M1804"/>
    <mergeCell ref="J1801:J1804"/>
    <mergeCell ref="K1801:K1804"/>
    <mergeCell ref="N1801:N1804"/>
    <mergeCell ref="O1801:O1804"/>
    <mergeCell ref="D1740:H1740"/>
    <mergeCell ref="D1744:H1744"/>
    <mergeCell ref="D1747:H1747"/>
    <mergeCell ref="D1758:H1758"/>
    <mergeCell ref="B1799:Q1799"/>
    <mergeCell ref="C1687:H1687"/>
    <mergeCell ref="D1688:H1688"/>
    <mergeCell ref="D1730:H1730"/>
    <mergeCell ref="E1731:H1731"/>
    <mergeCell ref="E1734:H1734"/>
    <mergeCell ref="B1681:Q1681"/>
    <mergeCell ref="B1682:M1682"/>
    <mergeCell ref="Q1682:Q1686"/>
    <mergeCell ref="B1683:B1686"/>
    <mergeCell ref="C1683:C1686"/>
    <mergeCell ref="D1683:D1686"/>
    <mergeCell ref="E1683:E1686"/>
    <mergeCell ref="F1683:F1686"/>
    <mergeCell ref="G1683:G1686"/>
    <mergeCell ref="H1683:H1686"/>
    <mergeCell ref="I1683:I1686"/>
    <mergeCell ref="M1683:M1686"/>
    <mergeCell ref="J1683:J1686"/>
    <mergeCell ref="K1683:K1686"/>
    <mergeCell ref="N1683:N1686"/>
    <mergeCell ref="O1683:O1686"/>
    <mergeCell ref="C1629:H1629"/>
    <mergeCell ref="D1630:H1630"/>
    <mergeCell ref="D1639:H1639"/>
    <mergeCell ref="D1655:H1655"/>
    <mergeCell ref="D1674:H1674"/>
    <mergeCell ref="B1623:Q1623"/>
    <mergeCell ref="B1624:M1624"/>
    <mergeCell ref="Q1624:Q1628"/>
    <mergeCell ref="B1625:B1628"/>
    <mergeCell ref="C1625:C1628"/>
    <mergeCell ref="D1625:D1628"/>
    <mergeCell ref="E1625:E1628"/>
    <mergeCell ref="F1625:F1628"/>
    <mergeCell ref="G1625:G1628"/>
    <mergeCell ref="H1625:H1628"/>
    <mergeCell ref="I1625:I1628"/>
    <mergeCell ref="M1625:M1628"/>
    <mergeCell ref="J1625:J1628"/>
    <mergeCell ref="K1625:K1628"/>
    <mergeCell ref="N1625:N1628"/>
    <mergeCell ref="O1625:O1628"/>
    <mergeCell ref="E1534:H1534"/>
    <mergeCell ref="E1545:H1545"/>
    <mergeCell ref="E1566:H1566"/>
    <mergeCell ref="E1583:H1583"/>
    <mergeCell ref="D1593:H1593"/>
    <mergeCell ref="C1513:H1513"/>
    <mergeCell ref="D1514:H1514"/>
    <mergeCell ref="D1517:H1517"/>
    <mergeCell ref="D1529:H1529"/>
    <mergeCell ref="E1530:H1530"/>
    <mergeCell ref="D1418:H1418"/>
    <mergeCell ref="B1507:Q1507"/>
    <mergeCell ref="B1508:M1508"/>
    <mergeCell ref="Q1508:Q1512"/>
    <mergeCell ref="B1509:B1512"/>
    <mergeCell ref="C1509:C1512"/>
    <mergeCell ref="D1509:D1512"/>
    <mergeCell ref="E1509:E1512"/>
    <mergeCell ref="F1509:F1512"/>
    <mergeCell ref="G1509:G1512"/>
    <mergeCell ref="H1509:H1512"/>
    <mergeCell ref="I1509:I1512"/>
    <mergeCell ref="M1509:M1512"/>
    <mergeCell ref="J1509:J1512"/>
    <mergeCell ref="K1509:K1512"/>
    <mergeCell ref="N1509:N1512"/>
    <mergeCell ref="C649:H649"/>
    <mergeCell ref="D650:H650"/>
    <mergeCell ref="D850:H850"/>
    <mergeCell ref="D1077:H1077"/>
    <mergeCell ref="D1177:H1177"/>
    <mergeCell ref="B644:M644"/>
    <mergeCell ref="Q644:Q648"/>
    <mergeCell ref="B645:B648"/>
    <mergeCell ref="C645:C648"/>
    <mergeCell ref="D645:D648"/>
    <mergeCell ref="E645:E648"/>
    <mergeCell ref="F645:F648"/>
    <mergeCell ref="G645:G648"/>
    <mergeCell ref="H645:H648"/>
    <mergeCell ref="I645:I648"/>
    <mergeCell ref="M645:M648"/>
    <mergeCell ref="J645:J648"/>
    <mergeCell ref="K645:K648"/>
    <mergeCell ref="C484:H484"/>
    <mergeCell ref="D485:H485"/>
    <mergeCell ref="D488:H488"/>
    <mergeCell ref="D511:H511"/>
    <mergeCell ref="B643:Q643"/>
    <mergeCell ref="D419:H419"/>
    <mergeCell ref="B478:Q478"/>
    <mergeCell ref="B479:M479"/>
    <mergeCell ref="Q479:Q483"/>
    <mergeCell ref="B480:B483"/>
    <mergeCell ref="C480:C483"/>
    <mergeCell ref="D480:D483"/>
    <mergeCell ref="E480:E483"/>
    <mergeCell ref="F480:F483"/>
    <mergeCell ref="G480:G483"/>
    <mergeCell ref="H480:H483"/>
    <mergeCell ref="I480:I483"/>
    <mergeCell ref="M480:M483"/>
    <mergeCell ref="J480:J483"/>
    <mergeCell ref="K480:K483"/>
    <mergeCell ref="C364:H364"/>
    <mergeCell ref="D365:H365"/>
    <mergeCell ref="D383:H383"/>
    <mergeCell ref="D408:H408"/>
    <mergeCell ref="D416:H416"/>
    <mergeCell ref="B359:M359"/>
    <mergeCell ref="Q359:Q363"/>
    <mergeCell ref="B360:B363"/>
    <mergeCell ref="C360:C363"/>
    <mergeCell ref="D360:D363"/>
    <mergeCell ref="E360:E363"/>
    <mergeCell ref="F360:F363"/>
    <mergeCell ref="G360:G363"/>
    <mergeCell ref="H360:H363"/>
    <mergeCell ref="I360:I363"/>
    <mergeCell ref="M360:M363"/>
    <mergeCell ref="J360:J363"/>
    <mergeCell ref="K360:K363"/>
    <mergeCell ref="N360:N363"/>
    <mergeCell ref="O360:O363"/>
    <mergeCell ref="D282:H282"/>
    <mergeCell ref="D294:H294"/>
    <mergeCell ref="D309:H309"/>
    <mergeCell ref="D318:H318"/>
    <mergeCell ref="B358:Q358"/>
    <mergeCell ref="C245:H245"/>
    <mergeCell ref="D246:H246"/>
    <mergeCell ref="D251:H251"/>
    <mergeCell ref="D262:H262"/>
    <mergeCell ref="D272:H272"/>
    <mergeCell ref="D193:H193"/>
    <mergeCell ref="D203:H203"/>
    <mergeCell ref="B239:Q239"/>
    <mergeCell ref="B240:M240"/>
    <mergeCell ref="Q240:Q244"/>
    <mergeCell ref="B241:B244"/>
    <mergeCell ref="C241:C244"/>
    <mergeCell ref="D241:D244"/>
    <mergeCell ref="E241:E244"/>
    <mergeCell ref="F241:F244"/>
    <mergeCell ref="G241:G244"/>
    <mergeCell ref="H241:H244"/>
    <mergeCell ref="I241:I244"/>
    <mergeCell ref="M241:M244"/>
    <mergeCell ref="J241:J244"/>
    <mergeCell ref="K241:K244"/>
    <mergeCell ref="N241:N244"/>
    <mergeCell ref="O241:O244"/>
    <mergeCell ref="E141:H141"/>
    <mergeCell ref="D147:H147"/>
    <mergeCell ref="D151:H151"/>
    <mergeCell ref="D174:H174"/>
    <mergeCell ref="D189:H189"/>
    <mergeCell ref="C126:H126"/>
    <mergeCell ref="D127:H127"/>
    <mergeCell ref="D130:H130"/>
    <mergeCell ref="E131:H131"/>
    <mergeCell ref="E134:H134"/>
    <mergeCell ref="D87:H87"/>
    <mergeCell ref="D92:H92"/>
    <mergeCell ref="B120:Q120"/>
    <mergeCell ref="B121:M121"/>
    <mergeCell ref="Q121:Q125"/>
    <mergeCell ref="B122:B125"/>
    <mergeCell ref="C122:C125"/>
    <mergeCell ref="D122:D125"/>
    <mergeCell ref="E122:E125"/>
    <mergeCell ref="F122:F125"/>
    <mergeCell ref="G122:G125"/>
    <mergeCell ref="H122:H125"/>
    <mergeCell ref="I122:I125"/>
    <mergeCell ref="M122:M125"/>
    <mergeCell ref="J122:J125"/>
    <mergeCell ref="K122:K125"/>
    <mergeCell ref="N122:N125"/>
    <mergeCell ref="O122:O125"/>
    <mergeCell ref="H82:H85"/>
    <mergeCell ref="I82:I85"/>
    <mergeCell ref="M82:M85"/>
    <mergeCell ref="C86:H86"/>
    <mergeCell ref="J82:J85"/>
    <mergeCell ref="K82:K85"/>
    <mergeCell ref="B1:Q1"/>
    <mergeCell ref="B3:B6"/>
    <mergeCell ref="C3:C6"/>
    <mergeCell ref="C7:H7"/>
    <mergeCell ref="Q2:Q6"/>
    <mergeCell ref="B2:M2"/>
    <mergeCell ref="G3:G6"/>
    <mergeCell ref="H3:H6"/>
    <mergeCell ref="J3:J6"/>
    <mergeCell ref="K3:K6"/>
    <mergeCell ref="N3:N6"/>
    <mergeCell ref="O3:O6"/>
    <mergeCell ref="E19:H19"/>
    <mergeCell ref="E22:H22"/>
    <mergeCell ref="E27:H27"/>
    <mergeCell ref="D32:H32"/>
    <mergeCell ref="M3:M6"/>
    <mergeCell ref="N82:N85"/>
    <mergeCell ref="I3:I6"/>
    <mergeCell ref="D3:D6"/>
    <mergeCell ref="E16:H16"/>
    <mergeCell ref="E9:H9"/>
    <mergeCell ref="F3:F6"/>
    <mergeCell ref="D8:H8"/>
    <mergeCell ref="E3:E6"/>
    <mergeCell ref="A178:A180"/>
    <mergeCell ref="D47:H47"/>
    <mergeCell ref="D68:H68"/>
    <mergeCell ref="D74:H74"/>
    <mergeCell ref="D76:H76"/>
    <mergeCell ref="D65:H65"/>
    <mergeCell ref="D66:H66"/>
    <mergeCell ref="D67:H67"/>
    <mergeCell ref="B80:Q80"/>
    <mergeCell ref="B81:M81"/>
    <mergeCell ref="Q81:Q85"/>
    <mergeCell ref="B82:B85"/>
    <mergeCell ref="C82:C85"/>
    <mergeCell ref="D82:D85"/>
    <mergeCell ref="E82:E85"/>
    <mergeCell ref="F82:F85"/>
    <mergeCell ref="G82:G85"/>
  </mergeCells>
  <phoneticPr fontId="1" type="noConversion"/>
  <pageMargins left="0.39370078740157483" right="0.19685039370078741" top="0.19685039370078741" bottom="0.19685039370078741" header="0.19685039370078741" footer="0.19685039370078741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C1:O40"/>
  <sheetViews>
    <sheetView tabSelected="1" zoomScale="90" zoomScaleNormal="90" workbookViewId="0">
      <selection activeCell="C2" sqref="C2:D2"/>
    </sheetView>
  </sheetViews>
  <sheetFormatPr defaultRowHeight="12.75" x14ac:dyDescent="0.2"/>
  <cols>
    <col min="1" max="2" width="3.28515625" customWidth="1"/>
    <col min="3" max="3" width="4.85546875" customWidth="1"/>
    <col min="4" max="4" width="45.5703125" customWidth="1"/>
    <col min="5" max="5" width="12.7109375" style="21" customWidth="1"/>
    <col min="6" max="6" width="10.5703125" style="21" customWidth="1"/>
    <col min="7" max="7" width="13.42578125" style="21" customWidth="1"/>
    <col min="8" max="8" width="12.140625" style="21" customWidth="1"/>
    <col min="9" max="9" width="11.140625" style="21" customWidth="1"/>
    <col min="10" max="10" width="12.7109375" style="21" customWidth="1"/>
    <col min="11" max="11" width="13" style="21" customWidth="1"/>
    <col min="12" max="12" width="11.7109375" style="21" customWidth="1"/>
    <col min="13" max="13" width="12" customWidth="1"/>
    <col min="15" max="15" width="10.85546875" bestFit="1" customWidth="1"/>
  </cols>
  <sheetData>
    <row r="1" spans="3:15" ht="25.5" customHeight="1" x14ac:dyDescent="0.2"/>
    <row r="2" spans="3:15" ht="57" customHeight="1" thickBot="1" x14ac:dyDescent="0.25">
      <c r="C2" s="251"/>
      <c r="D2" s="252"/>
      <c r="E2" s="192" t="s">
        <v>661</v>
      </c>
      <c r="F2" s="192" t="s">
        <v>657</v>
      </c>
      <c r="G2" s="192" t="s">
        <v>662</v>
      </c>
      <c r="H2" s="193" t="s">
        <v>663</v>
      </c>
      <c r="I2" s="193" t="s">
        <v>657</v>
      </c>
      <c r="J2" s="193" t="s">
        <v>600</v>
      </c>
      <c r="K2" s="194" t="s">
        <v>664</v>
      </c>
      <c r="L2" s="194" t="s">
        <v>657</v>
      </c>
      <c r="M2" s="194" t="s">
        <v>602</v>
      </c>
    </row>
    <row r="3" spans="3:15" ht="16.5" thickTop="1" x14ac:dyDescent="0.25">
      <c r="C3" s="6">
        <v>1</v>
      </c>
      <c r="D3" s="41" t="s">
        <v>111</v>
      </c>
      <c r="E3" s="184">
        <f>Príjmy!H442</f>
        <v>34567428</v>
      </c>
      <c r="F3" s="184">
        <f>Príjmy!I442</f>
        <v>57362</v>
      </c>
      <c r="G3" s="184">
        <f>E3+F3</f>
        <v>34624790</v>
      </c>
      <c r="H3" s="186">
        <f>Príjmy!H436</f>
        <v>650000</v>
      </c>
      <c r="I3" s="186">
        <f>Príjmy!I443</f>
        <v>0</v>
      </c>
      <c r="J3" s="186">
        <f>H3+I3</f>
        <v>650000</v>
      </c>
      <c r="K3" s="189">
        <f>H3+E3</f>
        <v>35217428</v>
      </c>
      <c r="L3" s="189">
        <f t="shared" ref="L3:M3" si="0">I3+F3</f>
        <v>57362</v>
      </c>
      <c r="M3" s="189">
        <f t="shared" si="0"/>
        <v>35274790</v>
      </c>
    </row>
    <row r="4" spans="3:15" ht="15.75" x14ac:dyDescent="0.25">
      <c r="C4" s="6">
        <v>2</v>
      </c>
      <c r="D4" s="41" t="s">
        <v>114</v>
      </c>
      <c r="E4" s="184">
        <f>SUM(E5:E16)</f>
        <v>31704218</v>
      </c>
      <c r="F4" s="184">
        <f t="shared" ref="F4:G4" si="1">SUM(F5:F16)</f>
        <v>36362</v>
      </c>
      <c r="G4" s="184">
        <f t="shared" si="1"/>
        <v>31740580</v>
      </c>
      <c r="H4" s="186">
        <f>SUM(H5:H16)</f>
        <v>6269667</v>
      </c>
      <c r="I4" s="186">
        <f>SUM(I5:I16)</f>
        <v>21000</v>
      </c>
      <c r="J4" s="186">
        <f t="shared" ref="J4:J18" si="2">H4+I4</f>
        <v>6290667</v>
      </c>
      <c r="K4" s="189">
        <f>E4+H4</f>
        <v>37973885</v>
      </c>
      <c r="L4" s="189">
        <f t="shared" ref="L4:M4" si="3">F4+I4</f>
        <v>57362</v>
      </c>
      <c r="M4" s="189">
        <f t="shared" si="3"/>
        <v>38031247</v>
      </c>
    </row>
    <row r="5" spans="3:15" ht="14.25" x14ac:dyDescent="0.2">
      <c r="C5" s="8">
        <v>3</v>
      </c>
      <c r="D5" s="40" t="s">
        <v>298</v>
      </c>
      <c r="E5" s="185">
        <f>Výdavky!I7</f>
        <v>517583</v>
      </c>
      <c r="F5" s="185">
        <f>Výdavky!J7</f>
        <v>0</v>
      </c>
      <c r="G5" s="185">
        <f>Výdavky!K7</f>
        <v>517583</v>
      </c>
      <c r="H5" s="187">
        <f>Výdavky!M7</f>
        <v>495970</v>
      </c>
      <c r="I5" s="187">
        <f>Výdavky!N7</f>
        <v>0</v>
      </c>
      <c r="J5" s="187">
        <f t="shared" si="2"/>
        <v>495970</v>
      </c>
      <c r="K5" s="190">
        <f t="shared" ref="K5:K16" si="4">H5+E5</f>
        <v>1013553</v>
      </c>
      <c r="L5" s="190">
        <f t="shared" ref="L5:L16" si="5">I5+F5</f>
        <v>0</v>
      </c>
      <c r="M5" s="190">
        <f t="shared" ref="M5:M16" si="6">J5+G5</f>
        <v>1013553</v>
      </c>
    </row>
    <row r="6" spans="3:15" ht="14.25" x14ac:dyDescent="0.2">
      <c r="C6" s="8">
        <v>4</v>
      </c>
      <c r="D6" s="40" t="s">
        <v>299</v>
      </c>
      <c r="E6" s="185">
        <f>Výdavky!I86</f>
        <v>92018</v>
      </c>
      <c r="F6" s="185">
        <f>Výdavky!J86</f>
        <v>0</v>
      </c>
      <c r="G6" s="185">
        <f>Výdavky!K86</f>
        <v>92018</v>
      </c>
      <c r="H6" s="187">
        <f>Výdavky!M86</f>
        <v>0</v>
      </c>
      <c r="I6" s="187">
        <f>Výdavky!N86</f>
        <v>0</v>
      </c>
      <c r="J6" s="187">
        <f t="shared" si="2"/>
        <v>0</v>
      </c>
      <c r="K6" s="190">
        <f t="shared" si="4"/>
        <v>92018</v>
      </c>
      <c r="L6" s="190">
        <f t="shared" si="5"/>
        <v>0</v>
      </c>
      <c r="M6" s="190">
        <f t="shared" si="6"/>
        <v>92018</v>
      </c>
    </row>
    <row r="7" spans="3:15" ht="14.25" x14ac:dyDescent="0.2">
      <c r="C7" s="8">
        <v>5</v>
      </c>
      <c r="D7" s="40" t="s">
        <v>300</v>
      </c>
      <c r="E7" s="185">
        <f>Výdavky!I126</f>
        <v>3822825</v>
      </c>
      <c r="F7" s="185">
        <f>Výdavky!J126</f>
        <v>0</v>
      </c>
      <c r="G7" s="185">
        <f>Výdavky!K126</f>
        <v>3822825</v>
      </c>
      <c r="H7" s="187">
        <f>Výdavky!M126</f>
        <v>525030</v>
      </c>
      <c r="I7" s="187">
        <f>Výdavky!N126</f>
        <v>0</v>
      </c>
      <c r="J7" s="187">
        <f t="shared" si="2"/>
        <v>525030</v>
      </c>
      <c r="K7" s="190">
        <f t="shared" si="4"/>
        <v>4347855</v>
      </c>
      <c r="L7" s="190">
        <f t="shared" si="5"/>
        <v>0</v>
      </c>
      <c r="M7" s="190">
        <f t="shared" si="6"/>
        <v>4347855</v>
      </c>
    </row>
    <row r="8" spans="3:15" ht="14.25" x14ac:dyDescent="0.2">
      <c r="C8" s="8">
        <v>6</v>
      </c>
      <c r="D8" s="40" t="s">
        <v>302</v>
      </c>
      <c r="E8" s="185">
        <f>Výdavky!I245</f>
        <v>518178</v>
      </c>
      <c r="F8" s="185">
        <f>Výdavky!J245</f>
        <v>0</v>
      </c>
      <c r="G8" s="185">
        <f>Výdavky!K245</f>
        <v>518178</v>
      </c>
      <c r="H8" s="187">
        <f>Výdavky!M245</f>
        <v>38212</v>
      </c>
      <c r="I8" s="187">
        <f>Výdavky!N245</f>
        <v>0</v>
      </c>
      <c r="J8" s="187">
        <f t="shared" si="2"/>
        <v>38212</v>
      </c>
      <c r="K8" s="190">
        <f t="shared" si="4"/>
        <v>556390</v>
      </c>
      <c r="L8" s="190">
        <f t="shared" si="5"/>
        <v>0</v>
      </c>
      <c r="M8" s="190">
        <f t="shared" si="6"/>
        <v>556390</v>
      </c>
      <c r="O8" s="21"/>
    </row>
    <row r="9" spans="3:15" ht="14.25" x14ac:dyDescent="0.2">
      <c r="C9" s="8">
        <v>7</v>
      </c>
      <c r="D9" s="40" t="s">
        <v>304</v>
      </c>
      <c r="E9" s="185">
        <f>Výdavky!I364</f>
        <v>1543800</v>
      </c>
      <c r="F9" s="185">
        <f>Výdavky!J364</f>
        <v>0</v>
      </c>
      <c r="G9" s="185">
        <f>Výdavky!K364</f>
        <v>1543800</v>
      </c>
      <c r="H9" s="187">
        <f>Výdavky!M364</f>
        <v>172377</v>
      </c>
      <c r="I9" s="187">
        <f>Výdavky!N364</f>
        <v>0</v>
      </c>
      <c r="J9" s="187">
        <f t="shared" si="2"/>
        <v>172377</v>
      </c>
      <c r="K9" s="190">
        <f t="shared" si="4"/>
        <v>1716177</v>
      </c>
      <c r="L9" s="190">
        <f t="shared" si="5"/>
        <v>0</v>
      </c>
      <c r="M9" s="190">
        <f t="shared" si="6"/>
        <v>1716177</v>
      </c>
      <c r="O9" s="21"/>
    </row>
    <row r="10" spans="3:15" ht="14.25" x14ac:dyDescent="0.2">
      <c r="C10" s="8">
        <v>8</v>
      </c>
      <c r="D10" s="40" t="s">
        <v>306</v>
      </c>
      <c r="E10" s="185">
        <f>Výdavky!I484</f>
        <v>3190641</v>
      </c>
      <c r="F10" s="185">
        <f>Výdavky!J484</f>
        <v>0</v>
      </c>
      <c r="G10" s="185">
        <f>Výdavky!K484</f>
        <v>3190641</v>
      </c>
      <c r="H10" s="187">
        <f>Výdavky!M484</f>
        <v>2994987</v>
      </c>
      <c r="I10" s="187">
        <f>Výdavky!N484</f>
        <v>4750</v>
      </c>
      <c r="J10" s="187">
        <f t="shared" si="2"/>
        <v>2999737</v>
      </c>
      <c r="K10" s="190">
        <f t="shared" si="4"/>
        <v>6185628</v>
      </c>
      <c r="L10" s="190">
        <f t="shared" si="5"/>
        <v>4750</v>
      </c>
      <c r="M10" s="190">
        <f t="shared" si="6"/>
        <v>6190378</v>
      </c>
    </row>
    <row r="11" spans="3:15" ht="14.25" x14ac:dyDescent="0.2">
      <c r="C11" s="8">
        <v>9</v>
      </c>
      <c r="D11" s="40" t="s">
        <v>308</v>
      </c>
      <c r="E11" s="185">
        <f>Výdavky!I649</f>
        <v>13718453</v>
      </c>
      <c r="F11" s="185">
        <f>Výdavky!J649</f>
        <v>57362</v>
      </c>
      <c r="G11" s="185">
        <f>Výdavky!K649</f>
        <v>13775815</v>
      </c>
      <c r="H11" s="187">
        <f>Výdavky!M649</f>
        <v>850756</v>
      </c>
      <c r="I11" s="187">
        <f>Výdavky!N649</f>
        <v>-10050</v>
      </c>
      <c r="J11" s="187">
        <f t="shared" si="2"/>
        <v>840706</v>
      </c>
      <c r="K11" s="190">
        <f t="shared" si="4"/>
        <v>14569209</v>
      </c>
      <c r="L11" s="190">
        <f t="shared" si="5"/>
        <v>47312</v>
      </c>
      <c r="M11" s="190">
        <f t="shared" si="6"/>
        <v>14616521</v>
      </c>
    </row>
    <row r="12" spans="3:15" ht="14.25" x14ac:dyDescent="0.2">
      <c r="C12" s="8">
        <v>10</v>
      </c>
      <c r="D12" s="40" t="s">
        <v>359</v>
      </c>
      <c r="E12" s="185">
        <f>Výdavky!I1513</f>
        <v>1591434</v>
      </c>
      <c r="F12" s="185">
        <f>Výdavky!J1513</f>
        <v>0</v>
      </c>
      <c r="G12" s="185">
        <f>Výdavky!K1513</f>
        <v>1591434</v>
      </c>
      <c r="H12" s="187">
        <f>Výdavky!M1513</f>
        <v>1050855</v>
      </c>
      <c r="I12" s="187">
        <f>Výdavky!N1513</f>
        <v>0</v>
      </c>
      <c r="J12" s="187">
        <f t="shared" si="2"/>
        <v>1050855</v>
      </c>
      <c r="K12" s="190">
        <f t="shared" si="4"/>
        <v>2642289</v>
      </c>
      <c r="L12" s="190">
        <f t="shared" si="5"/>
        <v>0</v>
      </c>
      <c r="M12" s="190">
        <f t="shared" si="6"/>
        <v>2642289</v>
      </c>
    </row>
    <row r="13" spans="3:15" ht="14.25" x14ac:dyDescent="0.2">
      <c r="C13" s="8">
        <v>11</v>
      </c>
      <c r="D13" s="40" t="s">
        <v>311</v>
      </c>
      <c r="E13" s="185">
        <f>Výdavky!I1629</f>
        <v>353950</v>
      </c>
      <c r="F13" s="185">
        <f>Výdavky!J1629</f>
        <v>-1000</v>
      </c>
      <c r="G13" s="185">
        <f>Výdavky!K1629</f>
        <v>352950</v>
      </c>
      <c r="H13" s="187">
        <f>Výdavky!M1629</f>
        <v>18320</v>
      </c>
      <c r="I13" s="187">
        <f>Výdavky!N1629</f>
        <v>5300</v>
      </c>
      <c r="J13" s="187">
        <f t="shared" si="2"/>
        <v>23620</v>
      </c>
      <c r="K13" s="190">
        <f t="shared" si="4"/>
        <v>372270</v>
      </c>
      <c r="L13" s="190">
        <f t="shared" si="5"/>
        <v>4300</v>
      </c>
      <c r="M13" s="190">
        <f t="shared" si="6"/>
        <v>376570</v>
      </c>
    </row>
    <row r="14" spans="3:15" ht="14.25" x14ac:dyDescent="0.2">
      <c r="C14" s="8">
        <v>12</v>
      </c>
      <c r="D14" s="40" t="s">
        <v>313</v>
      </c>
      <c r="E14" s="185">
        <f>Výdavky!I1687</f>
        <v>3654700</v>
      </c>
      <c r="F14" s="185">
        <f>Výdavky!J1687</f>
        <v>0</v>
      </c>
      <c r="G14" s="185">
        <f>Výdavky!K1687</f>
        <v>3654700</v>
      </c>
      <c r="H14" s="187">
        <f>Výdavky!M1687</f>
        <v>119160</v>
      </c>
      <c r="I14" s="187">
        <f>Výdavky!N1687</f>
        <v>0</v>
      </c>
      <c r="J14" s="187">
        <f t="shared" si="2"/>
        <v>119160</v>
      </c>
      <c r="K14" s="190">
        <f t="shared" si="4"/>
        <v>3773860</v>
      </c>
      <c r="L14" s="190">
        <f t="shared" si="5"/>
        <v>0</v>
      </c>
      <c r="M14" s="190">
        <f t="shared" si="6"/>
        <v>3773860</v>
      </c>
    </row>
    <row r="15" spans="3:15" ht="14.25" x14ac:dyDescent="0.2">
      <c r="C15" s="8">
        <v>13</v>
      </c>
      <c r="D15" s="40" t="s">
        <v>315</v>
      </c>
      <c r="E15" s="185">
        <f>Výdavky!I1805</f>
        <v>2541936</v>
      </c>
      <c r="F15" s="185">
        <f>Výdavky!J1805</f>
        <v>-20000</v>
      </c>
      <c r="G15" s="185">
        <f>Výdavky!K1805</f>
        <v>2521936</v>
      </c>
      <c r="H15" s="187">
        <f>Výdavky!M1805</f>
        <v>4000</v>
      </c>
      <c r="I15" s="187">
        <f>Výdavky!N1805</f>
        <v>21000</v>
      </c>
      <c r="J15" s="187">
        <f t="shared" si="2"/>
        <v>25000</v>
      </c>
      <c r="K15" s="190">
        <f t="shared" si="4"/>
        <v>2545936</v>
      </c>
      <c r="L15" s="190">
        <f t="shared" si="5"/>
        <v>1000</v>
      </c>
      <c r="M15" s="190">
        <f t="shared" si="6"/>
        <v>2546936</v>
      </c>
    </row>
    <row r="16" spans="3:15" ht="14.25" x14ac:dyDescent="0.2">
      <c r="C16" s="8">
        <v>14</v>
      </c>
      <c r="D16" s="40" t="s">
        <v>317</v>
      </c>
      <c r="E16" s="185">
        <f>Výdavky!I1983</f>
        <v>158700</v>
      </c>
      <c r="F16" s="185">
        <f>Výdavky!J1983</f>
        <v>0</v>
      </c>
      <c r="G16" s="185">
        <f>Výdavky!K1983</f>
        <v>158700</v>
      </c>
      <c r="H16" s="187">
        <f>Výdavky!M1983</f>
        <v>0</v>
      </c>
      <c r="I16" s="187">
        <f>Výdavky!N1983</f>
        <v>0</v>
      </c>
      <c r="J16" s="187">
        <f t="shared" si="2"/>
        <v>0</v>
      </c>
      <c r="K16" s="190">
        <f t="shared" si="4"/>
        <v>158700</v>
      </c>
      <c r="L16" s="190">
        <f t="shared" si="5"/>
        <v>0</v>
      </c>
      <c r="M16" s="190">
        <f t="shared" si="6"/>
        <v>158700</v>
      </c>
    </row>
    <row r="17" spans="3:15" ht="15.75" x14ac:dyDescent="0.25">
      <c r="C17" s="6">
        <v>15</v>
      </c>
      <c r="D17" s="41" t="s">
        <v>325</v>
      </c>
      <c r="E17" s="184">
        <f>E3-E4</f>
        <v>2863210</v>
      </c>
      <c r="F17" s="184">
        <f t="shared" ref="F17:G17" si="7">F3-F4</f>
        <v>21000</v>
      </c>
      <c r="G17" s="184">
        <f t="shared" si="7"/>
        <v>2884210</v>
      </c>
      <c r="H17" s="186"/>
      <c r="I17" s="186"/>
      <c r="J17" s="186"/>
      <c r="K17" s="189"/>
      <c r="L17" s="189"/>
      <c r="M17" s="189"/>
      <c r="O17" s="21"/>
    </row>
    <row r="18" spans="3:15" ht="15.75" x14ac:dyDescent="0.25">
      <c r="C18" s="6">
        <v>16</v>
      </c>
      <c r="D18" s="41" t="s">
        <v>335</v>
      </c>
      <c r="E18" s="184"/>
      <c r="F18" s="184"/>
      <c r="G18" s="184"/>
      <c r="H18" s="186">
        <f>H3-H4</f>
        <v>-5619667</v>
      </c>
      <c r="I18" s="186">
        <f>I3-I4</f>
        <v>-21000</v>
      </c>
      <c r="J18" s="186">
        <f t="shared" si="2"/>
        <v>-5640667</v>
      </c>
      <c r="K18" s="189"/>
      <c r="L18" s="189"/>
      <c r="M18" s="189"/>
    </row>
    <row r="19" spans="3:15" ht="15.75" x14ac:dyDescent="0.25">
      <c r="C19" s="6">
        <v>17</v>
      </c>
      <c r="D19" s="41" t="s">
        <v>336</v>
      </c>
      <c r="E19" s="184"/>
      <c r="F19" s="184"/>
      <c r="G19" s="184"/>
      <c r="H19" s="186"/>
      <c r="I19" s="188"/>
      <c r="J19" s="188"/>
      <c r="K19" s="191">
        <f>K3-K4</f>
        <v>-2756457</v>
      </c>
      <c r="L19" s="191">
        <f t="shared" ref="L19:M19" si="8">L3-L4</f>
        <v>0</v>
      </c>
      <c r="M19" s="191">
        <f t="shared" si="8"/>
        <v>-2756457</v>
      </c>
    </row>
    <row r="21" spans="3:15" ht="15" x14ac:dyDescent="0.2">
      <c r="C21" s="258" t="s">
        <v>112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O21" s="21"/>
    </row>
    <row r="22" spans="3:15" ht="15.75" x14ac:dyDescent="0.25">
      <c r="C22" s="97">
        <v>1</v>
      </c>
      <c r="D22" s="254" t="s">
        <v>326</v>
      </c>
      <c r="E22" s="255"/>
      <c r="F22" s="255"/>
      <c r="G22" s="255"/>
      <c r="H22" s="255"/>
      <c r="I22" s="166"/>
      <c r="J22" s="166"/>
      <c r="K22" s="42">
        <f>SUM(K23:K28)</f>
        <v>5764632</v>
      </c>
      <c r="L22" s="42">
        <f t="shared" ref="L22:M22" si="9">SUM(L23:L28)</f>
        <v>0</v>
      </c>
      <c r="M22" s="42">
        <f t="shared" si="9"/>
        <v>5764632</v>
      </c>
    </row>
    <row r="23" spans="3:15" x14ac:dyDescent="0.2">
      <c r="C23" s="97">
        <f>C22+1</f>
        <v>2</v>
      </c>
      <c r="D23" s="249" t="s">
        <v>464</v>
      </c>
      <c r="E23" s="250"/>
      <c r="F23" s="250"/>
      <c r="G23" s="250"/>
      <c r="H23" s="250"/>
      <c r="I23" s="165"/>
      <c r="J23" s="165"/>
      <c r="K23" s="43">
        <f>900000+1343226</f>
        <v>2243226</v>
      </c>
      <c r="L23" s="43"/>
      <c r="M23" s="43">
        <f>K23+L23</f>
        <v>2243226</v>
      </c>
    </row>
    <row r="24" spans="3:15" x14ac:dyDescent="0.2">
      <c r="C24" s="97">
        <f>C23+1</f>
        <v>3</v>
      </c>
      <c r="D24" s="249" t="s">
        <v>465</v>
      </c>
      <c r="E24" s="250"/>
      <c r="F24" s="250"/>
      <c r="G24" s="250"/>
      <c r="H24" s="250"/>
      <c r="I24" s="165"/>
      <c r="J24" s="165"/>
      <c r="K24" s="43">
        <f>540255+500000</f>
        <v>1040255</v>
      </c>
      <c r="L24" s="43"/>
      <c r="M24" s="43">
        <f t="shared" ref="M24:M28" si="10">K24+L24</f>
        <v>1040255</v>
      </c>
    </row>
    <row r="25" spans="3:15" x14ac:dyDescent="0.2">
      <c r="C25" s="97">
        <f t="shared" ref="C25:C32" si="11">C24+1</f>
        <v>4</v>
      </c>
      <c r="D25" s="158" t="s">
        <v>632</v>
      </c>
      <c r="E25" s="159"/>
      <c r="F25" s="165"/>
      <c r="G25" s="165"/>
      <c r="H25" s="159"/>
      <c r="I25" s="165"/>
      <c r="J25" s="165"/>
      <c r="K25" s="43">
        <v>237217</v>
      </c>
      <c r="L25" s="43"/>
      <c r="M25" s="43">
        <f t="shared" si="10"/>
        <v>237217</v>
      </c>
    </row>
    <row r="26" spans="3:15" x14ac:dyDescent="0.2">
      <c r="C26" s="97">
        <f t="shared" si="11"/>
        <v>5</v>
      </c>
      <c r="D26" s="94" t="s">
        <v>466</v>
      </c>
      <c r="E26" s="95"/>
      <c r="F26" s="165"/>
      <c r="G26" s="165"/>
      <c r="H26" s="95"/>
      <c r="I26" s="165"/>
      <c r="J26" s="165"/>
      <c r="K26" s="43">
        <f>971500+7000</f>
        <v>978500</v>
      </c>
      <c r="L26" s="43"/>
      <c r="M26" s="43">
        <f t="shared" si="10"/>
        <v>978500</v>
      </c>
    </row>
    <row r="27" spans="3:15" x14ac:dyDescent="0.2">
      <c r="C27" s="97">
        <f t="shared" si="11"/>
        <v>6</v>
      </c>
      <c r="D27" s="249" t="s">
        <v>467</v>
      </c>
      <c r="E27" s="250"/>
      <c r="F27" s="250"/>
      <c r="G27" s="250"/>
      <c r="H27" s="250"/>
      <c r="I27" s="165"/>
      <c r="J27" s="165"/>
      <c r="K27" s="43">
        <f>1500000-500000</f>
        <v>1000000</v>
      </c>
      <c r="L27" s="43"/>
      <c r="M27" s="43">
        <f t="shared" si="10"/>
        <v>1000000</v>
      </c>
    </row>
    <row r="28" spans="3:15" x14ac:dyDescent="0.2">
      <c r="C28" s="97">
        <f t="shared" si="11"/>
        <v>7</v>
      </c>
      <c r="D28" s="158" t="s">
        <v>633</v>
      </c>
      <c r="E28" s="159"/>
      <c r="F28" s="165"/>
      <c r="G28" s="165"/>
      <c r="H28" s="159"/>
      <c r="I28" s="165"/>
      <c r="J28" s="165"/>
      <c r="K28" s="43">
        <f>215428+50006</f>
        <v>265434</v>
      </c>
      <c r="L28" s="43"/>
      <c r="M28" s="43">
        <f t="shared" si="10"/>
        <v>265434</v>
      </c>
    </row>
    <row r="29" spans="3:15" ht="15.75" x14ac:dyDescent="0.25">
      <c r="C29" s="97">
        <f t="shared" si="11"/>
        <v>8</v>
      </c>
      <c r="D29" s="254" t="s">
        <v>327</v>
      </c>
      <c r="E29" s="255"/>
      <c r="F29" s="255"/>
      <c r="G29" s="255"/>
      <c r="H29" s="255"/>
      <c r="I29" s="166"/>
      <c r="J29" s="166"/>
      <c r="K29" s="42">
        <f>SUM(K30:K34)</f>
        <v>3008175</v>
      </c>
      <c r="L29" s="42">
        <f t="shared" ref="L29:M29" si="12">SUM(L30:L34)</f>
        <v>0</v>
      </c>
      <c r="M29" s="42">
        <f t="shared" si="12"/>
        <v>3008175</v>
      </c>
    </row>
    <row r="30" spans="3:15" x14ac:dyDescent="0.2">
      <c r="C30" s="97">
        <f t="shared" si="11"/>
        <v>9</v>
      </c>
      <c r="D30" s="249" t="s">
        <v>468</v>
      </c>
      <c r="E30" s="250"/>
      <c r="F30" s="250"/>
      <c r="G30" s="250"/>
      <c r="H30" s="250"/>
      <c r="I30" s="165"/>
      <c r="J30" s="165"/>
      <c r="K30" s="43">
        <f>1456675+180000</f>
        <v>1636675</v>
      </c>
      <c r="L30" s="43"/>
      <c r="M30" s="43">
        <f>K30+L30</f>
        <v>1636675</v>
      </c>
    </row>
    <row r="31" spans="3:15" x14ac:dyDescent="0.2">
      <c r="C31" s="97">
        <f t="shared" si="11"/>
        <v>10</v>
      </c>
      <c r="D31" s="249" t="s">
        <v>469</v>
      </c>
      <c r="E31" s="250"/>
      <c r="F31" s="250"/>
      <c r="G31" s="250"/>
      <c r="H31" s="250"/>
      <c r="I31" s="165"/>
      <c r="J31" s="165"/>
      <c r="K31" s="43">
        <v>1162800</v>
      </c>
      <c r="L31" s="43"/>
      <c r="M31" s="43">
        <f t="shared" ref="M31:M34" si="13">K31+L31</f>
        <v>1162800</v>
      </c>
    </row>
    <row r="32" spans="3:15" x14ac:dyDescent="0.2">
      <c r="C32" s="97">
        <f t="shared" si="11"/>
        <v>11</v>
      </c>
      <c r="D32" s="249" t="s">
        <v>470</v>
      </c>
      <c r="E32" s="250"/>
      <c r="F32" s="250"/>
      <c r="G32" s="250"/>
      <c r="H32" s="250"/>
      <c r="I32" s="165"/>
      <c r="J32" s="165"/>
      <c r="K32" s="43">
        <v>58700</v>
      </c>
      <c r="L32" s="43"/>
      <c r="M32" s="43">
        <f t="shared" si="13"/>
        <v>58700</v>
      </c>
    </row>
    <row r="33" spans="3:13" x14ac:dyDescent="0.2">
      <c r="C33" s="97">
        <f t="shared" ref="C33:C35" si="14">C32+1</f>
        <v>12</v>
      </c>
      <c r="D33" s="249" t="s">
        <v>470</v>
      </c>
      <c r="E33" s="250"/>
      <c r="F33" s="250"/>
      <c r="G33" s="250"/>
      <c r="H33" s="250"/>
      <c r="I33" s="165"/>
      <c r="J33" s="165"/>
      <c r="K33" s="43">
        <v>126000</v>
      </c>
      <c r="L33" s="43"/>
      <c r="M33" s="43">
        <f t="shared" si="13"/>
        <v>126000</v>
      </c>
    </row>
    <row r="34" spans="3:13" ht="13.5" thickBot="1" x14ac:dyDescent="0.25">
      <c r="C34" s="97">
        <f t="shared" si="14"/>
        <v>13</v>
      </c>
      <c r="D34" s="249" t="s">
        <v>471</v>
      </c>
      <c r="E34" s="250"/>
      <c r="F34" s="250"/>
      <c r="G34" s="250"/>
      <c r="H34" s="250"/>
      <c r="I34" s="165"/>
      <c r="J34" s="165"/>
      <c r="K34" s="43">
        <v>24000</v>
      </c>
      <c r="L34" s="43"/>
      <c r="M34" s="43">
        <f t="shared" si="13"/>
        <v>24000</v>
      </c>
    </row>
    <row r="35" spans="3:13" ht="16.5" thickTop="1" x14ac:dyDescent="0.25">
      <c r="C35" s="97">
        <f t="shared" si="14"/>
        <v>14</v>
      </c>
      <c r="D35" s="256" t="s">
        <v>328</v>
      </c>
      <c r="E35" s="257"/>
      <c r="F35" s="257"/>
      <c r="G35" s="257"/>
      <c r="H35" s="257"/>
      <c r="I35" s="167"/>
      <c r="J35" s="167"/>
      <c r="K35" s="77">
        <f>K19+K22-K29</f>
        <v>0</v>
      </c>
      <c r="L35" s="77">
        <f t="shared" ref="L35:M35" si="15">L19+L22-L29</f>
        <v>0</v>
      </c>
      <c r="M35" s="77">
        <f t="shared" si="15"/>
        <v>0</v>
      </c>
    </row>
    <row r="36" spans="3:13" x14ac:dyDescent="0.2">
      <c r="C36" s="96"/>
    </row>
    <row r="38" spans="3:13" ht="12.75" customHeight="1" x14ac:dyDescent="0.2">
      <c r="C38" s="253" t="s">
        <v>337</v>
      </c>
      <c r="D38" s="253"/>
      <c r="E38" s="253"/>
      <c r="F38" s="253"/>
      <c r="G38" s="253"/>
      <c r="H38" s="253"/>
      <c r="I38" s="253"/>
      <c r="J38" s="253"/>
      <c r="K38" s="253"/>
    </row>
    <row r="39" spans="3:13" ht="12.75" customHeight="1" x14ac:dyDescent="0.2">
      <c r="C39" s="248" t="s">
        <v>338</v>
      </c>
      <c r="D39" s="248"/>
      <c r="E39" s="248"/>
      <c r="F39" s="248"/>
      <c r="G39" s="248"/>
      <c r="H39" s="248"/>
      <c r="I39" s="248"/>
      <c r="J39" s="248"/>
      <c r="K39" s="248"/>
    </row>
    <row r="40" spans="3:13" x14ac:dyDescent="0.2">
      <c r="C40" s="248"/>
      <c r="D40" s="248"/>
      <c r="E40" s="248"/>
      <c r="F40" s="248"/>
      <c r="G40" s="248"/>
      <c r="H40" s="248"/>
      <c r="I40" s="248"/>
      <c r="J40" s="248"/>
      <c r="K40" s="248"/>
    </row>
  </sheetData>
  <mergeCells count="15">
    <mergeCell ref="C39:K40"/>
    <mergeCell ref="D30:H30"/>
    <mergeCell ref="C2:D2"/>
    <mergeCell ref="D24:H24"/>
    <mergeCell ref="D32:H32"/>
    <mergeCell ref="C38:K38"/>
    <mergeCell ref="D22:H22"/>
    <mergeCell ref="D29:H29"/>
    <mergeCell ref="D23:H23"/>
    <mergeCell ref="D27:H27"/>
    <mergeCell ref="D31:H31"/>
    <mergeCell ref="D35:H35"/>
    <mergeCell ref="D34:H34"/>
    <mergeCell ref="D33:H33"/>
    <mergeCell ref="C21:M21"/>
  </mergeCells>
  <phoneticPr fontId="1" type="noConversion"/>
  <pageMargins left="0.15748031496062992" right="0.15748031496062992" top="0.98425196850393704" bottom="0.98425196850393704" header="0.51181102362204722" footer="0.51181102362204722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2016-05-30T07:17:05Z</cp:lastPrinted>
  <dcterms:created xsi:type="dcterms:W3CDTF">2014-05-27T11:25:41Z</dcterms:created>
  <dcterms:modified xsi:type="dcterms:W3CDTF">2016-05-30T07:42:23Z</dcterms:modified>
</cp:coreProperties>
</file>