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4\Záverečný účet 2014\"/>
    </mc:Choice>
  </mc:AlternateContent>
  <bookViews>
    <workbookView xWindow="240" yWindow="30" windowWidth="11355" windowHeight="6660" tabRatio="958"/>
  </bookViews>
  <sheets>
    <sheet name="Súvahy" sheetId="3" r:id="rId1"/>
    <sheet name="MHSL" sheetId="11" r:id="rId2"/>
    <sheet name="SSMT" sheetId="10" r:id="rId3"/>
    <sheet name="ŠZMT" sheetId="12" r:id="rId4"/>
    <sheet name="Materské školy" sheetId="2" r:id="rId5"/>
    <sheet name="Základné školy" sheetId="1" r:id="rId6"/>
    <sheet name="bežné dotácie" sheetId="27" r:id="rId7"/>
    <sheet name="kapitálové dotácie" sheetId="28" r:id="rId8"/>
    <sheet name="Dotácie šport" sheetId="13" r:id="rId9"/>
    <sheet name="dotácie šport 1" sheetId="37" r:id="rId10"/>
    <sheet name="Dotácie kultúra" sheetId="4" r:id="rId11"/>
    <sheet name="Dotácie soc." sheetId="7" r:id="rId12"/>
    <sheet name="dotácia školstvo" sheetId="36" r:id="rId13"/>
    <sheet name="pohľadávky" sheetId="26" r:id="rId14"/>
    <sheet name="prehľad úverov" sheetId="29" r:id="rId15"/>
    <sheet name="dlhová služba mesta" sheetId="30" r:id="rId16"/>
    <sheet name="BV-funkčná kl." sheetId="18" r:id="rId17"/>
    <sheet name="KV-funkčná kl." sheetId="21" r:id="rId18"/>
    <sheet name="výdavky ek.kl." sheetId="22" r:id="rId19"/>
    <sheet name="FO podľa RK" sheetId="32" r:id="rId20"/>
    <sheet name="počet zamest.ZŠ" sheetId="40" r:id="rId21"/>
  </sheets>
  <definedNames>
    <definedName name="_xlnm.Print_Area" localSheetId="6">'bežné dotácie'!$B$2:$F$42</definedName>
    <definedName name="_xlnm.Print_Area" localSheetId="16">'BV-funkčná kl.'!$B$2:$G$53</definedName>
    <definedName name="_xlnm.Print_Area" localSheetId="15">'dlhová služba mesta'!$B$2:$J$45</definedName>
    <definedName name="_xlnm.Print_Area" localSheetId="12">'dotácia školstvo'!$B$3:$E$18</definedName>
    <definedName name="_xlnm.Print_Area" localSheetId="10">'Dotácie kultúra'!$B$2:$E$79</definedName>
    <definedName name="_xlnm.Print_Area" localSheetId="11">'Dotácie soc.'!$B$2:$E$22</definedName>
    <definedName name="_xlnm.Print_Area" localSheetId="8">'Dotácie šport'!$B$3:$D$34</definedName>
    <definedName name="_xlnm.Print_Area" localSheetId="9">'dotácie šport 1'!$B$3:$E$29</definedName>
    <definedName name="_xlnm.Print_Area" localSheetId="19">'FO podľa RK'!$B$2:$F$14</definedName>
    <definedName name="_xlnm.Print_Area" localSheetId="7">'kapitálové dotácie'!$B$1:$E$10</definedName>
    <definedName name="_xlnm.Print_Area" localSheetId="17">'KV-funkčná kl.'!$B$2:$G$32</definedName>
    <definedName name="_xlnm.Print_Area" localSheetId="4">'Materské školy'!$A$2:$H$83</definedName>
    <definedName name="_xlnm.Print_Area" localSheetId="1">MHSL!$B$1:$H$70</definedName>
    <definedName name="_xlnm.Print_Area" localSheetId="20">'počet zamest.ZŠ'!$B$2:$L$20</definedName>
    <definedName name="_xlnm.Print_Area" localSheetId="13">pohľadávky!$B$1:$E$25</definedName>
    <definedName name="_xlnm.Print_Area" localSheetId="14">'prehľad úverov'!$B$1:$K$71</definedName>
    <definedName name="_xlnm.Print_Area" localSheetId="2">SSMT!$B$2:$J$43</definedName>
    <definedName name="_xlnm.Print_Area" localSheetId="0">Súvahy!$B$2:$F$421</definedName>
    <definedName name="_xlnm.Print_Area" localSheetId="3">ŠZMT!$B$1:$I$31</definedName>
    <definedName name="_xlnm.Print_Area" localSheetId="18">'výdavky ek.kl.'!$B$3:$G$31</definedName>
    <definedName name="_xlnm.Print_Area" localSheetId="5">'Základné školy'!$B$3:$G$331</definedName>
  </definedNames>
  <calcPr calcId="152511"/>
</workbook>
</file>

<file path=xl/calcChain.xml><?xml version="1.0" encoding="utf-8"?>
<calcChain xmlns="http://schemas.openxmlformats.org/spreadsheetml/2006/main">
  <c r="E240" i="1" l="1"/>
  <c r="E238" i="1"/>
  <c r="E236" i="1"/>
  <c r="D60" i="11" l="1"/>
  <c r="E60" i="11"/>
  <c r="F60" i="11"/>
  <c r="G60" i="11"/>
  <c r="C60" i="11"/>
  <c r="H33" i="11"/>
  <c r="D33" i="11"/>
  <c r="E33" i="11"/>
  <c r="F33" i="11"/>
  <c r="G33" i="11"/>
  <c r="C33" i="11"/>
  <c r="H17" i="11"/>
  <c r="D17" i="11"/>
  <c r="E17" i="11"/>
  <c r="F17" i="11"/>
  <c r="G17" i="11"/>
  <c r="C17" i="11"/>
  <c r="G7" i="21"/>
  <c r="F7" i="21"/>
  <c r="E7" i="21"/>
  <c r="G23" i="22"/>
  <c r="F23" i="22"/>
  <c r="E23" i="22"/>
  <c r="F37" i="27" l="1"/>
  <c r="F33" i="27"/>
  <c r="F6" i="27" l="1"/>
  <c r="F16" i="27"/>
  <c r="F17" i="27"/>
  <c r="F31" i="27"/>
  <c r="F32" i="27"/>
  <c r="F30" i="27"/>
  <c r="F15" i="27"/>
  <c r="E24" i="27" l="1"/>
  <c r="F24" i="27" s="1"/>
  <c r="E10" i="27"/>
  <c r="F10" i="27" s="1"/>
  <c r="H70" i="29"/>
  <c r="I70" i="29" s="1"/>
  <c r="K70" i="29" s="1"/>
  <c r="I68" i="29"/>
  <c r="K68" i="29" s="1"/>
  <c r="K66" i="29"/>
  <c r="H64" i="29"/>
  <c r="I64" i="29" s="1"/>
  <c r="K64" i="29" s="1"/>
  <c r="H62" i="29"/>
  <c r="I62" i="29" s="1"/>
  <c r="K62" i="29" s="1"/>
  <c r="H60" i="29"/>
  <c r="I60" i="29" s="1"/>
  <c r="K60" i="29" s="1"/>
  <c r="H58" i="29"/>
  <c r="I58" i="29" s="1"/>
  <c r="K58" i="29" s="1"/>
  <c r="H56" i="29"/>
  <c r="I56" i="29" s="1"/>
  <c r="K56" i="29" s="1"/>
  <c r="H54" i="29"/>
  <c r="I54" i="29" s="1"/>
  <c r="K54" i="29" s="1"/>
  <c r="H52" i="29"/>
  <c r="I52" i="29" s="1"/>
  <c r="K52" i="29" s="1"/>
  <c r="H50" i="29"/>
  <c r="I50" i="29" s="1"/>
  <c r="K50" i="29" s="1"/>
  <c r="H48" i="29"/>
  <c r="I48" i="29" s="1"/>
  <c r="K48" i="29" s="1"/>
  <c r="H46" i="29"/>
  <c r="I46" i="29" s="1"/>
  <c r="K46" i="29" s="1"/>
  <c r="H44" i="29"/>
  <c r="I44" i="29" s="1"/>
  <c r="K44" i="29" s="1"/>
  <c r="H42" i="29"/>
  <c r="I42" i="29" s="1"/>
  <c r="K42" i="29" s="1"/>
  <c r="H40" i="29"/>
  <c r="I40" i="29" s="1"/>
  <c r="K40" i="29" s="1"/>
  <c r="H38" i="29"/>
  <c r="I38" i="29" s="1"/>
  <c r="K38" i="29" s="1"/>
  <c r="K32" i="29"/>
  <c r="K30" i="29"/>
  <c r="H28" i="29"/>
  <c r="I28" i="29" s="1"/>
  <c r="K28" i="29" s="1"/>
  <c r="H26" i="29"/>
  <c r="I26" i="29" s="1"/>
  <c r="K26" i="29" s="1"/>
  <c r="H24" i="29"/>
  <c r="I24" i="29" s="1"/>
  <c r="K24" i="29" s="1"/>
  <c r="H22" i="29"/>
  <c r="I22" i="29" s="1"/>
  <c r="K22" i="29" s="1"/>
  <c r="H20" i="29"/>
  <c r="I20" i="29" s="1"/>
  <c r="K20" i="29" s="1"/>
  <c r="H18" i="29"/>
  <c r="I18" i="29" s="1"/>
  <c r="K18" i="29" s="1"/>
  <c r="H15" i="29"/>
  <c r="I15" i="29" s="1"/>
  <c r="K15" i="29" s="1"/>
  <c r="H12" i="29"/>
  <c r="I12" i="29" s="1"/>
  <c r="E12" i="29"/>
  <c r="F11" i="29"/>
  <c r="I9" i="29"/>
  <c r="E9" i="29"/>
  <c r="G8" i="29"/>
  <c r="F8" i="29"/>
  <c r="H6" i="29"/>
  <c r="I6" i="29" s="1"/>
  <c r="K6" i="29" s="1"/>
  <c r="L10" i="40"/>
  <c r="L11" i="40"/>
  <c r="L12" i="40"/>
  <c r="L13" i="40"/>
  <c r="L14" i="40"/>
  <c r="L15" i="40"/>
  <c r="L16" i="40"/>
  <c r="L17" i="40"/>
  <c r="L18" i="40"/>
  <c r="L19" i="40"/>
  <c r="L9" i="40"/>
  <c r="K10" i="40"/>
  <c r="K11" i="40"/>
  <c r="K12" i="40"/>
  <c r="K13" i="40"/>
  <c r="K14" i="40"/>
  <c r="K15" i="40"/>
  <c r="K16" i="40"/>
  <c r="K17" i="40"/>
  <c r="K18" i="40"/>
  <c r="K19" i="40"/>
  <c r="K9" i="40"/>
  <c r="J20" i="40"/>
  <c r="I20" i="40"/>
  <c r="H20" i="40"/>
  <c r="G20" i="40"/>
  <c r="L20" i="40" l="1"/>
  <c r="K9" i="29"/>
  <c r="K12" i="29"/>
  <c r="K20" i="40"/>
  <c r="F20" i="40" l="1"/>
  <c r="E20" i="40"/>
  <c r="D20" i="40"/>
  <c r="C20" i="40"/>
  <c r="J18" i="30" l="1"/>
  <c r="J16" i="30"/>
  <c r="J13" i="30"/>
  <c r="C11" i="30"/>
  <c r="D11" i="30"/>
  <c r="C12" i="30"/>
  <c r="D12" i="30"/>
  <c r="C13" i="30"/>
  <c r="D13" i="30"/>
  <c r="E13" i="30"/>
  <c r="F13" i="30"/>
  <c r="G13" i="30"/>
  <c r="C14" i="30"/>
  <c r="D16" i="30" s="1"/>
  <c r="D14" i="30"/>
  <c r="E16" i="30" s="1"/>
  <c r="F16" i="30"/>
  <c r="G16" i="30"/>
  <c r="D18" i="30"/>
  <c r="E18" i="30"/>
  <c r="F18" i="30"/>
  <c r="G18" i="30"/>
  <c r="E22" i="37" l="1"/>
  <c r="E79" i="4" l="1"/>
  <c r="E22" i="7" l="1"/>
  <c r="G45" i="18" l="1"/>
  <c r="F29" i="21"/>
  <c r="E6" i="3"/>
  <c r="G36" i="18" l="1"/>
  <c r="F45" i="18"/>
  <c r="F36" i="18"/>
  <c r="G29" i="21"/>
  <c r="E29" i="21"/>
  <c r="F10" i="21"/>
  <c r="G10" i="21"/>
  <c r="E10" i="21"/>
  <c r="E45" i="18"/>
  <c r="E36" i="18" l="1"/>
  <c r="C217" i="1"/>
  <c r="G24" i="22" l="1"/>
  <c r="E82" i="2" l="1"/>
  <c r="D82" i="2"/>
  <c r="C82" i="2"/>
  <c r="B82" i="2"/>
  <c r="F82" i="2" s="1"/>
  <c r="E81" i="2"/>
  <c r="D81" i="2"/>
  <c r="C81" i="2"/>
  <c r="B81" i="2"/>
  <c r="F81" i="2" s="1"/>
  <c r="E80" i="2"/>
  <c r="D80" i="2"/>
  <c r="C80" i="2"/>
  <c r="B80" i="2"/>
  <c r="F80" i="2" s="1"/>
  <c r="E79" i="2"/>
  <c r="D79" i="2"/>
  <c r="C79" i="2"/>
  <c r="B79" i="2"/>
  <c r="F79" i="2" s="1"/>
  <c r="E78" i="2"/>
  <c r="D78" i="2"/>
  <c r="C78" i="2"/>
  <c r="B78" i="2"/>
  <c r="F78" i="2" s="1"/>
  <c r="E77" i="2"/>
  <c r="D77" i="2"/>
  <c r="C77" i="2"/>
  <c r="B77" i="2"/>
  <c r="F77" i="2" s="1"/>
  <c r="E76" i="2"/>
  <c r="D76" i="2"/>
  <c r="C76" i="2"/>
  <c r="B76" i="2"/>
  <c r="F76" i="2" s="1"/>
  <c r="E75" i="2"/>
  <c r="D75" i="2"/>
  <c r="C75" i="2"/>
  <c r="B75" i="2"/>
  <c r="F75" i="2" s="1"/>
  <c r="E74" i="2"/>
  <c r="D74" i="2"/>
  <c r="C74" i="2"/>
  <c r="B74" i="2"/>
  <c r="F74" i="2" s="1"/>
  <c r="E73" i="2"/>
  <c r="D73" i="2"/>
  <c r="C73" i="2"/>
  <c r="B73" i="2"/>
  <c r="F73" i="2" s="1"/>
  <c r="E72" i="2"/>
  <c r="D72" i="2"/>
  <c r="C72" i="2"/>
  <c r="B72" i="2"/>
  <c r="F72" i="2" s="1"/>
  <c r="E71" i="2"/>
  <c r="D71" i="2"/>
  <c r="C71" i="2"/>
  <c r="B71" i="2"/>
  <c r="F71" i="2" s="1"/>
  <c r="E70" i="2"/>
  <c r="D70" i="2"/>
  <c r="C70" i="2"/>
  <c r="B70" i="2"/>
  <c r="F70" i="2" s="1"/>
  <c r="E69" i="2"/>
  <c r="D69" i="2"/>
  <c r="C69" i="2"/>
  <c r="B69" i="2"/>
  <c r="F69" i="2" s="1"/>
  <c r="E68" i="2"/>
  <c r="D68" i="2"/>
  <c r="C68" i="2"/>
  <c r="B68" i="2"/>
  <c r="F68" i="2" s="1"/>
  <c r="E67" i="2"/>
  <c r="E83" i="2" s="1"/>
  <c r="D67" i="2"/>
  <c r="D83" i="2" s="1"/>
  <c r="C67" i="2"/>
  <c r="C83" i="2" s="1"/>
  <c r="B67" i="2"/>
  <c r="F67" i="2" s="1"/>
  <c r="F83" i="2" s="1"/>
  <c r="F52" i="2"/>
  <c r="E52" i="2"/>
  <c r="D52" i="2"/>
  <c r="C52" i="2"/>
  <c r="B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26" i="2"/>
  <c r="F26" i="2"/>
  <c r="E26" i="2"/>
  <c r="D26" i="2"/>
  <c r="C26" i="2"/>
  <c r="B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C216" i="1"/>
  <c r="C251" i="1" s="1"/>
  <c r="D250" i="1"/>
  <c r="E250" i="1"/>
  <c r="F250" i="1"/>
  <c r="C250" i="1"/>
  <c r="E241" i="1"/>
  <c r="E237" i="1"/>
  <c r="E239" i="1"/>
  <c r="E242" i="1"/>
  <c r="C221" i="1"/>
  <c r="C219" i="1"/>
  <c r="C213" i="1"/>
  <c r="C222" i="1"/>
  <c r="C220" i="1"/>
  <c r="C255" i="1" s="1"/>
  <c r="C218" i="1"/>
  <c r="E208" i="1"/>
  <c r="E209" i="1" s="1"/>
  <c r="C212" i="1"/>
  <c r="E243" i="1" l="1"/>
  <c r="H26" i="2"/>
  <c r="G52" i="2"/>
  <c r="B83" i="2"/>
  <c r="D154" i="1"/>
  <c r="E154" i="1"/>
  <c r="E161" i="1" s="1"/>
  <c r="F154" i="1"/>
  <c r="C154" i="1"/>
  <c r="G155" i="1"/>
  <c r="D127" i="1"/>
  <c r="E127" i="1"/>
  <c r="F127" i="1"/>
  <c r="C127" i="1"/>
  <c r="G128" i="1"/>
  <c r="G132" i="1"/>
  <c r="E18" i="36"/>
  <c r="E36" i="37"/>
  <c r="D34" i="13"/>
  <c r="E9" i="28" l="1"/>
  <c r="F5" i="27"/>
  <c r="F18" i="27"/>
  <c r="F42" i="27" l="1"/>
  <c r="I30" i="12"/>
  <c r="H58" i="11"/>
  <c r="H70" i="11"/>
  <c r="H67" i="11"/>
  <c r="H61" i="11"/>
  <c r="H62" i="11"/>
  <c r="H63" i="11"/>
  <c r="H64" i="11"/>
  <c r="H65" i="11"/>
  <c r="H66" i="11"/>
  <c r="H59" i="11"/>
  <c r="C42" i="11"/>
  <c r="D42" i="11"/>
  <c r="E42" i="11"/>
  <c r="F42" i="11"/>
  <c r="G42" i="11"/>
  <c r="H42" i="11"/>
  <c r="C69" i="11"/>
  <c r="D69" i="11"/>
  <c r="E69" i="11"/>
  <c r="F69" i="11"/>
  <c r="G69" i="11"/>
  <c r="F24" i="3"/>
  <c r="F23" i="3"/>
  <c r="F22" i="3"/>
  <c r="F21" i="3"/>
  <c r="F19" i="3"/>
  <c r="F18" i="3"/>
  <c r="F17" i="3"/>
  <c r="F16" i="3"/>
  <c r="E14" i="3"/>
  <c r="E13" i="3"/>
  <c r="E12" i="3"/>
  <c r="E11" i="3"/>
  <c r="E10" i="3"/>
  <c r="E9" i="3"/>
  <c r="E8" i="3"/>
  <c r="E7" i="3"/>
  <c r="H60" i="11" l="1"/>
  <c r="H69" i="11" s="1"/>
  <c r="H71" i="11" s="1"/>
  <c r="D14" i="3"/>
  <c r="D13" i="3"/>
  <c r="D12" i="3"/>
  <c r="D10" i="3"/>
  <c r="D9" i="3"/>
  <c r="D8" i="3"/>
  <c r="D7" i="3"/>
  <c r="D6" i="3"/>
  <c r="F259" i="3"/>
  <c r="F20" i="3" s="1"/>
  <c r="D63" i="3"/>
  <c r="D11" i="3" s="1"/>
  <c r="F447" i="3"/>
  <c r="E437" i="3"/>
  <c r="D437" i="3"/>
  <c r="F436" i="3"/>
  <c r="F435" i="3"/>
  <c r="F434" i="3"/>
  <c r="F433" i="3"/>
  <c r="F432" i="3"/>
  <c r="F431" i="3"/>
  <c r="F430" i="3"/>
  <c r="F429" i="3"/>
  <c r="F428" i="3"/>
  <c r="E18" i="27"/>
  <c r="C323" i="1"/>
  <c r="C330" i="1" s="1"/>
  <c r="I13" i="30"/>
  <c r="D255" i="1"/>
  <c r="E255" i="1"/>
  <c r="F255" i="1"/>
  <c r="D253" i="1"/>
  <c r="E253" i="1"/>
  <c r="F253" i="1"/>
  <c r="C253" i="1"/>
  <c r="D101" i="1"/>
  <c r="D108" i="1" s="1"/>
  <c r="E101" i="1"/>
  <c r="E108" i="1" s="1"/>
  <c r="F101" i="1"/>
  <c r="F108" i="1" s="1"/>
  <c r="C101" i="1"/>
  <c r="C108" i="1" s="1"/>
  <c r="E235" i="1"/>
  <c r="E234" i="1"/>
  <c r="D186" i="1"/>
  <c r="D193" i="1" s="1"/>
  <c r="E186" i="1"/>
  <c r="E193" i="1" s="1"/>
  <c r="F186" i="1"/>
  <c r="F193" i="1" s="1"/>
  <c r="C186" i="1"/>
  <c r="F161" i="1"/>
  <c r="C161" i="1"/>
  <c r="D135" i="1"/>
  <c r="E135" i="1"/>
  <c r="D73" i="1"/>
  <c r="D81" i="1" s="1"/>
  <c r="E73" i="1"/>
  <c r="E81" i="1" s="1"/>
  <c r="F73" i="1"/>
  <c r="F81" i="1" s="1"/>
  <c r="C73" i="1"/>
  <c r="C81" i="1" s="1"/>
  <c r="D41" i="1"/>
  <c r="D48" i="1" s="1"/>
  <c r="E41" i="1"/>
  <c r="E48" i="1" s="1"/>
  <c r="F41" i="1"/>
  <c r="F48" i="1" s="1"/>
  <c r="C41" i="1"/>
  <c r="G18" i="1"/>
  <c r="D16" i="1"/>
  <c r="D24" i="1" s="1"/>
  <c r="E16" i="1"/>
  <c r="E24" i="1" s="1"/>
  <c r="F16" i="1"/>
  <c r="F24" i="1" s="1"/>
  <c r="C16" i="1"/>
  <c r="C24" i="1" s="1"/>
  <c r="I16" i="30"/>
  <c r="I18" i="30"/>
  <c r="E7" i="32"/>
  <c r="F7" i="32"/>
  <c r="D7" i="32"/>
  <c r="E21" i="26"/>
  <c r="E22" i="26"/>
  <c r="E23" i="26"/>
  <c r="F16" i="21"/>
  <c r="G16" i="21"/>
  <c r="E16" i="21"/>
  <c r="E318" i="1"/>
  <c r="D252" i="1"/>
  <c r="E181" i="1"/>
  <c r="E149" i="1"/>
  <c r="E96" i="1"/>
  <c r="E13" i="12"/>
  <c r="D35" i="10"/>
  <c r="D43" i="10" s="1"/>
  <c r="E35" i="10"/>
  <c r="E43" i="10" s="1"/>
  <c r="F35" i="10"/>
  <c r="F43" i="10" s="1"/>
  <c r="G35" i="10"/>
  <c r="G43" i="10" s="1"/>
  <c r="H35" i="10"/>
  <c r="H43" i="10" s="1"/>
  <c r="I35" i="10"/>
  <c r="I43" i="10" s="1"/>
  <c r="C35" i="10"/>
  <c r="C43" i="10" s="1"/>
  <c r="J36" i="10"/>
  <c r="E4" i="11"/>
  <c r="C299" i="1"/>
  <c r="C307" i="1" s="1"/>
  <c r="E294" i="1"/>
  <c r="F257" i="1"/>
  <c r="E257" i="1"/>
  <c r="D257" i="1"/>
  <c r="C257" i="1"/>
  <c r="F256" i="1"/>
  <c r="E256" i="1"/>
  <c r="D256" i="1"/>
  <c r="F254" i="1"/>
  <c r="E254" i="1"/>
  <c r="D254" i="1"/>
  <c r="F252" i="1"/>
  <c r="E252" i="1"/>
  <c r="F251" i="1"/>
  <c r="E251" i="1"/>
  <c r="D251" i="1"/>
  <c r="F248" i="1"/>
  <c r="E248" i="1"/>
  <c r="D248" i="1"/>
  <c r="F247" i="1"/>
  <c r="E247" i="1"/>
  <c r="D247" i="1"/>
  <c r="C247" i="1"/>
  <c r="G222" i="1"/>
  <c r="G221" i="1"/>
  <c r="C256" i="1"/>
  <c r="G220" i="1"/>
  <c r="C254" i="1"/>
  <c r="G218" i="1"/>
  <c r="C252" i="1"/>
  <c r="G216" i="1"/>
  <c r="F214" i="1"/>
  <c r="F223" i="1" s="1"/>
  <c r="E214" i="1"/>
  <c r="E223" i="1" s="1"/>
  <c r="D214" i="1"/>
  <c r="D223" i="1" s="1"/>
  <c r="G212" i="1"/>
  <c r="G192" i="1"/>
  <c r="G191" i="1"/>
  <c r="G190" i="1"/>
  <c r="G189" i="1"/>
  <c r="G188" i="1"/>
  <c r="G187" i="1"/>
  <c r="G185" i="1"/>
  <c r="G184" i="1"/>
  <c r="G160" i="1"/>
  <c r="G159" i="1"/>
  <c r="G158" i="1"/>
  <c r="G157" i="1"/>
  <c r="G156" i="1"/>
  <c r="D161" i="1"/>
  <c r="G153" i="1"/>
  <c r="G152" i="1"/>
  <c r="F135" i="1"/>
  <c r="G134" i="1"/>
  <c r="G133" i="1"/>
  <c r="G131" i="1"/>
  <c r="G130" i="1"/>
  <c r="G129" i="1"/>
  <c r="G126" i="1"/>
  <c r="G125" i="1"/>
  <c r="E122" i="1"/>
  <c r="G107" i="1"/>
  <c r="G106" i="1"/>
  <c r="G105" i="1"/>
  <c r="G104" i="1"/>
  <c r="G103" i="1"/>
  <c r="G102" i="1"/>
  <c r="G100" i="1"/>
  <c r="G99" i="1"/>
  <c r="G80" i="1"/>
  <c r="G79" i="1"/>
  <c r="G78" i="1"/>
  <c r="G77" i="1"/>
  <c r="G76" i="1"/>
  <c r="G75" i="1"/>
  <c r="G74" i="1"/>
  <c r="G72" i="1"/>
  <c r="G71" i="1"/>
  <c r="E68" i="1"/>
  <c r="G47" i="1"/>
  <c r="G46" i="1"/>
  <c r="G45" i="1"/>
  <c r="G44" i="1"/>
  <c r="G43" i="1"/>
  <c r="G42" i="1"/>
  <c r="G40" i="1"/>
  <c r="G39" i="1"/>
  <c r="E36" i="1"/>
  <c r="G23" i="1"/>
  <c r="G22" i="1"/>
  <c r="G21" i="1"/>
  <c r="G20" i="1"/>
  <c r="G19" i="1"/>
  <c r="G17" i="1"/>
  <c r="G15" i="1"/>
  <c r="G14" i="1"/>
  <c r="E11" i="1"/>
  <c r="G24" i="21"/>
  <c r="F24" i="21"/>
  <c r="E24" i="21"/>
  <c r="G14" i="21"/>
  <c r="F14" i="21"/>
  <c r="E14" i="21"/>
  <c r="G219" i="1"/>
  <c r="E12" i="32"/>
  <c r="E5" i="27"/>
  <c r="F12" i="32"/>
  <c r="D12" i="32"/>
  <c r="H18" i="30"/>
  <c r="H16" i="30"/>
  <c r="H13" i="30"/>
  <c r="E13" i="26"/>
  <c r="D25" i="26"/>
  <c r="C25" i="26"/>
  <c r="E24" i="26"/>
  <c r="E20" i="26"/>
  <c r="E19" i="26"/>
  <c r="E18" i="26"/>
  <c r="E17" i="26"/>
  <c r="E16" i="26"/>
  <c r="E15" i="26"/>
  <c r="E14" i="26"/>
  <c r="E12" i="26"/>
  <c r="E11" i="26"/>
  <c r="E10" i="26"/>
  <c r="E9" i="26"/>
  <c r="E8" i="26"/>
  <c r="E7" i="26"/>
  <c r="H26" i="11"/>
  <c r="G26" i="11"/>
  <c r="F26" i="11"/>
  <c r="E11" i="10"/>
  <c r="E20" i="10"/>
  <c r="E6" i="10"/>
  <c r="D21" i="12"/>
  <c r="D31" i="12" s="1"/>
  <c r="E21" i="12"/>
  <c r="E31" i="12" s="1"/>
  <c r="F21" i="12"/>
  <c r="F31" i="12" s="1"/>
  <c r="G21" i="12"/>
  <c r="G31" i="12" s="1"/>
  <c r="H21" i="12"/>
  <c r="H31" i="12" s="1"/>
  <c r="C21" i="12"/>
  <c r="C31" i="12" s="1"/>
  <c r="F7" i="18"/>
  <c r="F13" i="18"/>
  <c r="F15" i="18"/>
  <c r="F18" i="18"/>
  <c r="F23" i="18"/>
  <c r="F26" i="18"/>
  <c r="F31" i="18"/>
  <c r="G31" i="18"/>
  <c r="G26" i="18"/>
  <c r="G18" i="18"/>
  <c r="G7" i="18"/>
  <c r="G15" i="18"/>
  <c r="G23" i="18"/>
  <c r="G13" i="18"/>
  <c r="G19" i="21"/>
  <c r="F19" i="21"/>
  <c r="E19" i="21"/>
  <c r="G8" i="21"/>
  <c r="F8" i="21"/>
  <c r="E8" i="21"/>
  <c r="E31" i="18"/>
  <c r="E26" i="18"/>
  <c r="E23" i="18"/>
  <c r="E18" i="18"/>
  <c r="E15" i="18"/>
  <c r="E13" i="18"/>
  <c r="E7" i="18"/>
  <c r="J42" i="10"/>
  <c r="J41" i="10"/>
  <c r="J40" i="10"/>
  <c r="J39" i="10"/>
  <c r="J38" i="10"/>
  <c r="J37" i="10"/>
  <c r="J34" i="10"/>
  <c r="J33" i="10"/>
  <c r="E25" i="10"/>
  <c r="E22" i="10"/>
  <c r="E18" i="10"/>
  <c r="E16" i="10"/>
  <c r="I29" i="12"/>
  <c r="I23" i="12"/>
  <c r="I24" i="12"/>
  <c r="I25" i="12"/>
  <c r="I26" i="12"/>
  <c r="I27" i="12"/>
  <c r="I28" i="12"/>
  <c r="I22" i="12"/>
  <c r="I20" i="12"/>
  <c r="I19" i="12"/>
  <c r="E26" i="11"/>
  <c r="D26" i="11"/>
  <c r="C26" i="11"/>
  <c r="F64" i="3"/>
  <c r="F59" i="3"/>
  <c r="F60" i="3"/>
  <c r="F61" i="3"/>
  <c r="F62" i="3"/>
  <c r="F65" i="3"/>
  <c r="F66" i="3"/>
  <c r="F58" i="3"/>
  <c r="F403" i="3"/>
  <c r="F404" i="3"/>
  <c r="F405" i="3"/>
  <c r="F406" i="3"/>
  <c r="F407" i="3"/>
  <c r="F408" i="3"/>
  <c r="F409" i="3"/>
  <c r="F410" i="3"/>
  <c r="F402" i="3"/>
  <c r="F378" i="3"/>
  <c r="F379" i="3"/>
  <c r="F380" i="3"/>
  <c r="F381" i="3"/>
  <c r="F382" i="3"/>
  <c r="F383" i="3"/>
  <c r="F384" i="3"/>
  <c r="F385" i="3"/>
  <c r="F377" i="3"/>
  <c r="F350" i="3"/>
  <c r="F351" i="3"/>
  <c r="F352" i="3"/>
  <c r="F353" i="3"/>
  <c r="F354" i="3"/>
  <c r="F355" i="3"/>
  <c r="F356" i="3"/>
  <c r="F357" i="3"/>
  <c r="F349" i="3"/>
  <c r="F325" i="3"/>
  <c r="F326" i="3"/>
  <c r="F327" i="3"/>
  <c r="F328" i="3"/>
  <c r="F329" i="3"/>
  <c r="F330" i="3"/>
  <c r="F331" i="3"/>
  <c r="F332" i="3"/>
  <c r="F324" i="3"/>
  <c r="F297" i="3"/>
  <c r="F298" i="3"/>
  <c r="F299" i="3"/>
  <c r="F300" i="3"/>
  <c r="F301" i="3"/>
  <c r="F302" i="3"/>
  <c r="F303" i="3"/>
  <c r="F304" i="3"/>
  <c r="F296" i="3"/>
  <c r="F272" i="3"/>
  <c r="F273" i="3"/>
  <c r="F274" i="3"/>
  <c r="F275" i="3"/>
  <c r="F276" i="3"/>
  <c r="F277" i="3"/>
  <c r="F278" i="3"/>
  <c r="F279" i="3"/>
  <c r="F271" i="3"/>
  <c r="F246" i="3"/>
  <c r="F247" i="3"/>
  <c r="F248" i="3"/>
  <c r="F249" i="3"/>
  <c r="F250" i="3"/>
  <c r="F251" i="3"/>
  <c r="F252" i="3"/>
  <c r="F253" i="3"/>
  <c r="F245" i="3"/>
  <c r="F226" i="3"/>
  <c r="F220" i="3"/>
  <c r="F221" i="3"/>
  <c r="F222" i="3"/>
  <c r="F223" i="3"/>
  <c r="F224" i="3"/>
  <c r="F225" i="3"/>
  <c r="F227" i="3"/>
  <c r="F219" i="3"/>
  <c r="F191" i="3"/>
  <c r="F192" i="3"/>
  <c r="F193" i="3"/>
  <c r="F194" i="3"/>
  <c r="F196" i="3"/>
  <c r="F197" i="3"/>
  <c r="F198" i="3"/>
  <c r="F190" i="3"/>
  <c r="F165" i="3"/>
  <c r="F166" i="3"/>
  <c r="F167" i="3"/>
  <c r="F168" i="3"/>
  <c r="F169" i="3"/>
  <c r="F170" i="3"/>
  <c r="F171" i="3"/>
  <c r="F172" i="3"/>
  <c r="F164" i="3"/>
  <c r="F144" i="3"/>
  <c r="F137" i="3"/>
  <c r="F138" i="3"/>
  <c r="F139" i="3"/>
  <c r="F140" i="3"/>
  <c r="F141" i="3"/>
  <c r="F142" i="3"/>
  <c r="F143" i="3"/>
  <c r="F136" i="3"/>
  <c r="F112" i="3"/>
  <c r="F113" i="3"/>
  <c r="F114" i="3"/>
  <c r="F115" i="3"/>
  <c r="F116" i="3"/>
  <c r="F117" i="3"/>
  <c r="F118" i="3"/>
  <c r="F119" i="3"/>
  <c r="F111" i="3"/>
  <c r="F84" i="3"/>
  <c r="F85" i="3"/>
  <c r="F86" i="3"/>
  <c r="F87" i="3"/>
  <c r="F88" i="3"/>
  <c r="F89" i="3"/>
  <c r="F90" i="3"/>
  <c r="F91" i="3"/>
  <c r="F83" i="3"/>
  <c r="F421" i="3"/>
  <c r="E411" i="3"/>
  <c r="D411" i="3"/>
  <c r="F396" i="3"/>
  <c r="E386" i="3"/>
  <c r="D386" i="3"/>
  <c r="F368" i="3"/>
  <c r="E358" i="3"/>
  <c r="D358" i="3"/>
  <c r="F343" i="3"/>
  <c r="E333" i="3"/>
  <c r="D333" i="3"/>
  <c r="F315" i="3"/>
  <c r="E305" i="3"/>
  <c r="D305" i="3"/>
  <c r="F290" i="3"/>
  <c r="E280" i="3"/>
  <c r="D280" i="3"/>
  <c r="F264" i="3"/>
  <c r="E254" i="3"/>
  <c r="D254" i="3"/>
  <c r="F238" i="3"/>
  <c r="E228" i="3"/>
  <c r="D228" i="3"/>
  <c r="F209" i="3"/>
  <c r="E199" i="3"/>
  <c r="D199" i="3"/>
  <c r="F183" i="3"/>
  <c r="E173" i="3"/>
  <c r="D173" i="3"/>
  <c r="F155" i="3"/>
  <c r="E145" i="3"/>
  <c r="D145" i="3"/>
  <c r="F130" i="3"/>
  <c r="E120" i="3"/>
  <c r="D120" i="3"/>
  <c r="F102" i="3"/>
  <c r="E92" i="3"/>
  <c r="D92" i="3"/>
  <c r="F77" i="3"/>
  <c r="E67" i="3"/>
  <c r="F195" i="3"/>
  <c r="C248" i="1"/>
  <c r="G215" i="1"/>
  <c r="G213" i="1"/>
  <c r="G217" i="1"/>
  <c r="C214" i="1"/>
  <c r="C223" i="1" s="1"/>
  <c r="D67" i="3" l="1"/>
  <c r="F63" i="3"/>
  <c r="E6" i="18"/>
  <c r="E42" i="27"/>
  <c r="E25" i="26"/>
  <c r="G6" i="18"/>
  <c r="F6" i="18"/>
  <c r="F24" i="22"/>
  <c r="E24" i="22"/>
  <c r="G12" i="22"/>
  <c r="G9" i="22" s="1"/>
  <c r="F12" i="22"/>
  <c r="F9" i="22" s="1"/>
  <c r="E12" i="22"/>
  <c r="E9" i="22" s="1"/>
  <c r="E244" i="1"/>
  <c r="G253" i="1"/>
  <c r="G161" i="1"/>
  <c r="G214" i="1"/>
  <c r="G186" i="1"/>
  <c r="G223" i="1"/>
  <c r="G108" i="1"/>
  <c r="G101" i="1"/>
  <c r="G73" i="1"/>
  <c r="G41" i="1"/>
  <c r="C48" i="1"/>
  <c r="G48" i="1" s="1"/>
  <c r="G16" i="1"/>
  <c r="I21" i="12"/>
  <c r="G255" i="1"/>
  <c r="C193" i="1"/>
  <c r="G193" i="1" s="1"/>
  <c r="G154" i="1"/>
  <c r="C249" i="1"/>
  <c r="C258" i="1" s="1"/>
  <c r="G256" i="1"/>
  <c r="G81" i="1"/>
  <c r="G251" i="1"/>
  <c r="G254" i="1"/>
  <c r="G248" i="1"/>
  <c r="G257" i="1"/>
  <c r="D249" i="1"/>
  <c r="D258" i="1" s="1"/>
  <c r="G252" i="1"/>
  <c r="E249" i="1"/>
  <c r="E258" i="1" s="1"/>
  <c r="G250" i="1"/>
  <c r="F249" i="1"/>
  <c r="F258" i="1" s="1"/>
  <c r="G247" i="1"/>
  <c r="G24" i="1"/>
  <c r="I31" i="12"/>
  <c r="J35" i="10"/>
  <c r="J43" i="10"/>
  <c r="E5" i="10"/>
  <c r="F145" i="3"/>
  <c r="F437" i="3"/>
  <c r="F411" i="3"/>
  <c r="F386" i="3"/>
  <c r="F358" i="3"/>
  <c r="F10" i="3"/>
  <c r="F333" i="3"/>
  <c r="F305" i="3"/>
  <c r="F280" i="3"/>
  <c r="F7" i="3"/>
  <c r="F254" i="3"/>
  <c r="F228" i="3"/>
  <c r="F120" i="3"/>
  <c r="F199" i="3"/>
  <c r="F6" i="3"/>
  <c r="F173" i="3"/>
  <c r="F92" i="3"/>
  <c r="F12" i="3"/>
  <c r="F67" i="3"/>
  <c r="F9" i="3"/>
  <c r="F25" i="3"/>
  <c r="F13" i="3"/>
  <c r="E15" i="3"/>
  <c r="F14" i="3"/>
  <c r="F8" i="3"/>
  <c r="F11" i="3"/>
  <c r="D15" i="3"/>
  <c r="G249" i="1" l="1"/>
  <c r="G258" i="1"/>
  <c r="F15" i="3"/>
  <c r="G127" i="1"/>
  <c r="C135" i="1"/>
  <c r="G135" i="1" s="1"/>
</calcChain>
</file>

<file path=xl/sharedStrings.xml><?xml version="1.0" encoding="utf-8"?>
<sst xmlns="http://schemas.openxmlformats.org/spreadsheetml/2006/main" count="2117" uniqueCount="872">
  <si>
    <t>Detské jasle</t>
  </si>
  <si>
    <t>223 002: za jasle</t>
  </si>
  <si>
    <t>223 001: ZOS 24 hod.starostlivosť</t>
  </si>
  <si>
    <t>223 001: celoročný pobyt</t>
  </si>
  <si>
    <t>Opatrovateľská služba</t>
  </si>
  <si>
    <t>223 001: opatrovateľská služba - staroba,invalitida,rozvoz stravy</t>
  </si>
  <si>
    <t>Prepravná služba</t>
  </si>
  <si>
    <t>223 001: ubytovanie a zaopatrenie</t>
  </si>
  <si>
    <t>223 001: stravovanie</t>
  </si>
  <si>
    <t>242: úroky</t>
  </si>
  <si>
    <t>292 017: vratky</t>
  </si>
  <si>
    <t>311: dary</t>
  </si>
  <si>
    <t>292 012: dobropisy</t>
  </si>
  <si>
    <t>Základná škola Novomeského</t>
  </si>
  <si>
    <t>Príjmy</t>
  </si>
  <si>
    <t>Výdavky</t>
  </si>
  <si>
    <t>09.5.0.1. Zariadenia pre záujmové vzdelávanie</t>
  </si>
  <si>
    <t>09.6.0.1. Školské stravovanie</t>
  </si>
  <si>
    <t>610: Mzdy, platy, a OOV</t>
  </si>
  <si>
    <t>630: Tovary a služby</t>
  </si>
  <si>
    <t>631: Cestovné náhrady</t>
  </si>
  <si>
    <t>633: Materiál</t>
  </si>
  <si>
    <t>634: Dopravné</t>
  </si>
  <si>
    <t>636: Nájomné</t>
  </si>
  <si>
    <t>637: Služby</t>
  </si>
  <si>
    <t>640: Transfery</t>
  </si>
  <si>
    <t>Spolu</t>
  </si>
  <si>
    <t>635: Rutinná a štand.údržba</t>
  </si>
  <si>
    <t>620: Poistné a prísp.do poisť.</t>
  </si>
  <si>
    <t>632: Energie, voda, komun.</t>
  </si>
  <si>
    <t>212 003: Z prenajatých budov, priestorov a objektov</t>
  </si>
  <si>
    <t>223 001: Za predaj výrobkov, tovarov a služieb</t>
  </si>
  <si>
    <t>223 002: Za jasle, materské školy a školské kluby detí</t>
  </si>
  <si>
    <t>223 003: Za stravné</t>
  </si>
  <si>
    <t>242: Z vkladov</t>
  </si>
  <si>
    <t>292 017: Vratky</t>
  </si>
  <si>
    <t>MŠ Niva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</si>
  <si>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</si>
  <si>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</si>
  <si>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</si>
  <si>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</si>
  <si>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</si>
  <si>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</si>
  <si>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</si>
  <si>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</si>
  <si>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</si>
  <si>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</si>
  <si>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</si>
  <si>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Šafárikova</t>
  </si>
  <si>
    <t>MŠ J.Halašu</t>
  </si>
  <si>
    <t>MŠ Stromova</t>
  </si>
  <si>
    <t>MŠ Opatovská</t>
  </si>
  <si>
    <t>MŠ Kubranská</t>
  </si>
  <si>
    <t>MŠ Medňanského</t>
  </si>
  <si>
    <t>MŠ Pri Parku</t>
  </si>
  <si>
    <t>MŠ 28. októbra</t>
  </si>
  <si>
    <t>MŠ Na dolinách</t>
  </si>
  <si>
    <t>S P O L U:</t>
  </si>
  <si>
    <t>09.6.0.1 Školské stravovanie v predškolských zariadeniach a základných školách</t>
  </si>
  <si>
    <t>Základná škola Kubranská</t>
  </si>
  <si>
    <t>Základná škola Na dolinách</t>
  </si>
  <si>
    <t>Základná škola Bezruča</t>
  </si>
  <si>
    <t>Základná škola Hodžova</t>
  </si>
  <si>
    <t>Základná škola Východná</t>
  </si>
  <si>
    <t>Základná škola Dlhé Hony</t>
  </si>
  <si>
    <t>Základná škola Veľkomoravská</t>
  </si>
  <si>
    <t>292 012: Z dobropisov</t>
  </si>
  <si>
    <t>v EUR</t>
  </si>
  <si>
    <t>Ukazovateľ</t>
  </si>
  <si>
    <t>brutto</t>
  </si>
  <si>
    <t>korekcia</t>
  </si>
  <si>
    <t>netto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</si>
  <si>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</si>
  <si>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</si>
  <si>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</si>
  <si>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</si>
  <si>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</si>
  <si>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</si>
  <si>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</si>
  <si>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</si>
  <si>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</si>
  <si>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</si>
  <si>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</si>
  <si>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</si>
  <si>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</si>
  <si>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</si>
  <si>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</si>
  <si>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</si>
  <si>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9.</t>
  </si>
  <si>
    <t>Príjmy budúcich období</t>
  </si>
  <si>
    <t>A K T Í V A  celkom</t>
  </si>
  <si>
    <t>10.</t>
  </si>
  <si>
    <t>Oceňovacie rozdiely</t>
  </si>
  <si>
    <t>11.</t>
  </si>
  <si>
    <t>12.</t>
  </si>
  <si>
    <t>Rezervy</t>
  </si>
  <si>
    <t>13.</t>
  </si>
  <si>
    <t>14.</t>
  </si>
  <si>
    <t>Dlhodobé záväzky</t>
  </si>
  <si>
    <t>15.</t>
  </si>
  <si>
    <t>Krátkodobé záväzky</t>
  </si>
  <si>
    <t>16.</t>
  </si>
  <si>
    <t>Výdavky budúcich období</t>
  </si>
  <si>
    <t>17.</t>
  </si>
  <si>
    <t>Výnosy budúcich období</t>
  </si>
  <si>
    <t>18.</t>
  </si>
  <si>
    <t>Bankové úvery a ostatné prijaté výpomoci</t>
  </si>
  <si>
    <t>P A S Í V A   celkom</t>
  </si>
  <si>
    <t xml:space="preserve">Súvaha Mesta Trenčín </t>
  </si>
  <si>
    <t>Aktíva celkom</t>
  </si>
  <si>
    <t>Pasíva celkom</t>
  </si>
  <si>
    <t>Súvaha Sociálnych služieb mesta Trenčín m.r.o.</t>
  </si>
  <si>
    <t>Súvaha Mestského hospodárstva a správy lesov m.r.o.</t>
  </si>
  <si>
    <t>Súvaha Školských zariadení mesta Trenčín m.r.o.</t>
  </si>
  <si>
    <t xml:space="preserve">Súvaha ZŠ Hodžova </t>
  </si>
  <si>
    <t>Súvaha ZŠ Veľkomoravská</t>
  </si>
  <si>
    <t>Súvaha ZŠ Kubranská cesta</t>
  </si>
  <si>
    <t>Súvaha ZŠ Na dolinách</t>
  </si>
  <si>
    <t>Súvaha ZŠ Dlhé Hony</t>
  </si>
  <si>
    <t>Súvaha ZŠ P.Bezruča</t>
  </si>
  <si>
    <t>Súvaha ZŠ Východná</t>
  </si>
  <si>
    <t>Súvaha ZŠ Novomeského</t>
  </si>
  <si>
    <t>Súvaha Centra voľného času</t>
  </si>
  <si>
    <t>Súvaha Základnej umeleckej školy</t>
  </si>
  <si>
    <t>za mesto</t>
  </si>
  <si>
    <t>za RO mesta</t>
  </si>
  <si>
    <t>spolu</t>
  </si>
  <si>
    <t>Aktíva + pasíva</t>
  </si>
  <si>
    <t>Neobežný majetok</t>
  </si>
  <si>
    <t>Neobežný majetok znížený o oprávky</t>
  </si>
  <si>
    <t>Obežný majetok</t>
  </si>
  <si>
    <t>Obežný majetok znížený o opravné položky</t>
  </si>
  <si>
    <t>Vlastné imanie</t>
  </si>
  <si>
    <t>Pohľadávky netto</t>
  </si>
  <si>
    <t>Záväzky dlhodobé+krátkodobé</t>
  </si>
  <si>
    <t>Bežné výdavky spolu</t>
  </si>
  <si>
    <t>Dopravné</t>
  </si>
  <si>
    <t>Rutinná a štandardná údržba</t>
  </si>
  <si>
    <t>Služby</t>
  </si>
  <si>
    <t>SPOLU</t>
  </si>
  <si>
    <t>09.1.1.1</t>
  </si>
  <si>
    <t>10.2.0.1</t>
  </si>
  <si>
    <t>10.7.0</t>
  </si>
  <si>
    <t>09.1.2.1</t>
  </si>
  <si>
    <t>09.5.0.1</t>
  </si>
  <si>
    <t>09.6.0.1</t>
  </si>
  <si>
    <t>09.8.0</t>
  </si>
  <si>
    <t>P.č.</t>
  </si>
  <si>
    <t>Príjemca dotácie</t>
  </si>
  <si>
    <t>Účel dotácie</t>
  </si>
  <si>
    <t>Výška dotácie</t>
  </si>
  <si>
    <t>210: Príjmy z podnikania a vlastníctva majetku</t>
  </si>
  <si>
    <t>222: Pokuty, penále a iné sankcie</t>
  </si>
  <si>
    <t>Bežné príjmy</t>
  </si>
  <si>
    <t>Program 8 Šport Podprogram 3.3 Zimný štadión</t>
  </si>
  <si>
    <t>Program 8 Šport Podprogram 3.4 Krytá plaváreň</t>
  </si>
  <si>
    <t>Program 8 Šport Podprogram 3.4 Letná plaváreň</t>
  </si>
  <si>
    <t>Program 9 Kultúra Podprogram 2 Podpora kult.stredísk</t>
  </si>
  <si>
    <t>06.6.0</t>
  </si>
  <si>
    <t>06.2.0</t>
  </si>
  <si>
    <t>06.4.0</t>
  </si>
  <si>
    <t>Program 3 Interné služby Podprogram 4 Prevádzka a údržba budov</t>
  </si>
  <si>
    <t>Program 4   Služby občanom Podprogram 4 Verejné toalety</t>
  </si>
  <si>
    <t>Program 4  Služby občanom Podprogram 5 Prevádzka mestských trhovísk</t>
  </si>
  <si>
    <t>Program 4  Služby občanom Podprogram 7  Miestne média</t>
  </si>
  <si>
    <t>Program 5 Bezpečnosť Podprogram 2 Verejné osvetlenie</t>
  </si>
  <si>
    <t>08.1.0</t>
  </si>
  <si>
    <t>08.2.0.9</t>
  </si>
  <si>
    <t>04.2.2</t>
  </si>
  <si>
    <t>Bežné výdavky</t>
  </si>
  <si>
    <t>Základná umelecká škola Karola Pádivého</t>
  </si>
  <si>
    <t>Centrum voľného času</t>
  </si>
  <si>
    <t>223 002: poplatky rodičov za letné tábory</t>
  </si>
  <si>
    <t>212 003: Príjmy z prenajatých budov, priestorov a objektov</t>
  </si>
  <si>
    <t>223 002: Poplatky za jasle, MŠ a školské kluby detí</t>
  </si>
  <si>
    <t>223 003: Poplatky a platby za stravné</t>
  </si>
  <si>
    <t>242: Úroky z tuzemských vkladov</t>
  </si>
  <si>
    <t>292 019: Z refundácie</t>
  </si>
  <si>
    <t>Program 7 Podprogram 1 Materské školy</t>
  </si>
  <si>
    <t>Program 7 Podprogram 2 Základné školy</t>
  </si>
  <si>
    <t>Program 7 Podprogram 3 Voľno časové vzdelávanie</t>
  </si>
  <si>
    <t>Program 7 Podprogram 5 Politika vzdelávania</t>
  </si>
  <si>
    <t>Hmotná núdza</t>
  </si>
  <si>
    <t xml:space="preserve">Spolu </t>
  </si>
  <si>
    <t>Program 11 Podprogram 1 Detské jasle</t>
  </si>
  <si>
    <t>Program 11 Podprogram 5 Zariadenie pre seniorov</t>
  </si>
  <si>
    <t>Program 11 Podprogram 7 Terénna OS</t>
  </si>
  <si>
    <t>Program 11 Podprogram 10 Prepravná služba</t>
  </si>
  <si>
    <t>Program 11 Podprogram 4 Krízové centrum</t>
  </si>
  <si>
    <t>Program 11 Podprogram 11 manažment</t>
  </si>
  <si>
    <t>Program 11 Podprogr. 6 ZOS</t>
  </si>
  <si>
    <r>
      <t xml:space="preserve">Výsledok hospodárenia </t>
    </r>
    <r>
      <rPr>
        <sz val="9"/>
        <rFont val="Calibri"/>
        <family val="2"/>
        <charset val="238"/>
      </rPr>
      <t>(výnosy - náklady)</t>
    </r>
  </si>
  <si>
    <t>Školské zariadenia mesta Trenčín m.r.o.</t>
  </si>
  <si>
    <t>Program 7 Podprogram 4 Školské jedálne</t>
  </si>
  <si>
    <t>Funkčná klasifikácia</t>
  </si>
  <si>
    <t>Zariadenie opatrovateľskej služby</t>
  </si>
  <si>
    <t>223 001: denný a týždenný pobyt</t>
  </si>
  <si>
    <t>223 003: za stravné detské jasle</t>
  </si>
  <si>
    <t>223 003: za stravné materská škola</t>
  </si>
  <si>
    <t>Sociálne služby mesta Trenčín m.r.o.</t>
  </si>
  <si>
    <t>Príjmy spolu:</t>
  </si>
  <si>
    <t>223001 - prepravná služba</t>
  </si>
  <si>
    <t>Zariadenie pre seniorov</t>
  </si>
  <si>
    <t>Ostatné príjmy</t>
  </si>
  <si>
    <t>Kapitálové výdavky spolu</t>
  </si>
  <si>
    <t>Program 10 Živ.pr. Podprogram 1 Verejná zeleň - Soblahov</t>
  </si>
  <si>
    <t>Program 10 Živ.pr. Podprogram 5 Fontány</t>
  </si>
  <si>
    <t>Program 11 Soc.sl. Podprogram 10 Podpora seniorov</t>
  </si>
  <si>
    <t>Program 10 Živ.pr. Podprogram 6 Podporná činnosť</t>
  </si>
  <si>
    <t>Mestské hospodárstvo a správa lesov m.r.o.</t>
  </si>
  <si>
    <t>09.1.2.1.     Základné vzdelanie</t>
  </si>
  <si>
    <t>09.1.2.1.    Základné vzdelanie</t>
  </si>
  <si>
    <t>09.5.0.1. Zar.pre záujmové vzdelávanie</t>
  </si>
  <si>
    <t>09.1.2.1.   Základné vzdelanie</t>
  </si>
  <si>
    <t>09.5.0.1. Zar. pre záujmové vzdelávanie</t>
  </si>
  <si>
    <t>10.7.0. Soc.pomoc obč.núdzi</t>
  </si>
  <si>
    <t>311: Granty</t>
  </si>
  <si>
    <t>Základné školy spolu</t>
  </si>
  <si>
    <t>Schválený rozpočet</t>
  </si>
  <si>
    <t xml:space="preserve">Upravený rozpočet </t>
  </si>
  <si>
    <t>Plnenie</t>
  </si>
  <si>
    <t>01</t>
  </si>
  <si>
    <t>Všeobecné verejné služby</t>
  </si>
  <si>
    <t>01.1.1.6.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</si>
  <si>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</si>
  <si>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</si>
  <si>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</si>
  <si>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</si>
  <si>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</si>
  <si>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</si>
  <si>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</si>
  <si>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</si>
  <si>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</si>
  <si>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</si>
  <si>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</si>
  <si>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</si>
  <si>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</si>
  <si>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</si>
  <si>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</si>
  <si>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</si>
  <si>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</si>
  <si>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</si>
  <si>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</si>
  <si>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</si>
  <si>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</si>
  <si>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</si>
  <si>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</si>
  <si>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</si>
  <si>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</si>
  <si>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</si>
  <si>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</si>
  <si>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</si>
  <si>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</si>
  <si>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</si>
  <si>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</si>
  <si>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</si>
  <si>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</si>
  <si>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</si>
  <si>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</si>
  <si>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</si>
  <si>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</si>
  <si>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</si>
  <si>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</si>
  <si>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</si>
  <si>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</si>
  <si>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</si>
  <si>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</si>
  <si>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</si>
  <si>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</si>
  <si>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</si>
  <si>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</si>
  <si>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</si>
  <si>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08.2.0.6.</t>
  </si>
  <si>
    <t>Múzeá a galérie</t>
  </si>
  <si>
    <t>Ostatné kultúrne služby</t>
  </si>
  <si>
    <t>08.3.0.</t>
  </si>
  <si>
    <t>TV vysielanie, hlásnik</t>
  </si>
  <si>
    <t>08.4.0.</t>
  </si>
  <si>
    <t>Obradné siene + nábož.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</si>
  <si>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</si>
  <si>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</si>
  <si>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</si>
  <si>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</si>
  <si>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</si>
  <si>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</si>
  <si>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09.1.2.2.</t>
  </si>
  <si>
    <t>Základné vzdelanie so špeciál.starostl.</t>
  </si>
  <si>
    <t>09.5.0.</t>
  </si>
  <si>
    <t>Vzdelávanie nedef.podľa úrovne</t>
  </si>
  <si>
    <t>Zariadenia pre záujmové vzdelávanie</t>
  </si>
  <si>
    <t>09.5.0.2.</t>
  </si>
  <si>
    <t>Centrá voľného času</t>
  </si>
  <si>
    <t>09.6.0.1.</t>
  </si>
  <si>
    <t>Školské stravovanie</t>
  </si>
  <si>
    <t>Sociálne zabezpečenie</t>
  </si>
  <si>
    <t>Zariadenia sociálnych služieb</t>
  </si>
  <si>
    <t>10.2.0.2.</t>
  </si>
  <si>
    <t>Ďalšie sociálne služby - staroba</t>
  </si>
  <si>
    <t>10.4.0.5</t>
  </si>
  <si>
    <t>Ďalšie dávky soc. pomoci– rod. a deti</t>
  </si>
  <si>
    <t>10.7.0.</t>
  </si>
  <si>
    <t>Soc.pomoc občanom v hm.a soc.núdzi</t>
  </si>
  <si>
    <t>10.7.0.1</t>
  </si>
  <si>
    <t>Pomoc občanom v hmotnej núdzi</t>
  </si>
  <si>
    <t>10.7.0.2.</t>
  </si>
  <si>
    <t>ZSS - pomoc občanom v hm.a soc.núdzi</t>
  </si>
  <si>
    <t>10.9.0.</t>
  </si>
  <si>
    <t>Soc.zabezpečenie inde neklas.</t>
  </si>
  <si>
    <t>Kapitálové výdavky</t>
  </si>
  <si>
    <t>Mzdy, platy, služobné príjmy  a ostatné osobné vyrovnania</t>
  </si>
  <si>
    <t xml:space="preserve">Poistné a príspevok do poisťovní </t>
  </si>
  <si>
    <t>Tovary a služby</t>
  </si>
  <si>
    <t>Bežné transfery</t>
  </si>
  <si>
    <t>Obstarávanie kapitálových aktív</t>
  </si>
  <si>
    <t>Cestovné náhrady</t>
  </si>
  <si>
    <t>Energie, voda a komunikácie</t>
  </si>
  <si>
    <t>Materiál</t>
  </si>
  <si>
    <t>Nájomné za nájom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</si>
  <si>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</si>
  <si>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</si>
  <si>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</si>
  <si>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</si>
  <si>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</si>
  <si>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</si>
  <si>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ZUŠ</t>
  </si>
  <si>
    <t>CVČ</t>
  </si>
  <si>
    <t>10.1.2.3</t>
  </si>
  <si>
    <t>Ďalšie sociálne služby -inval.a ŤZP</t>
  </si>
  <si>
    <t>223 003: za stravné zamestnanci</t>
  </si>
  <si>
    <t>212 003: z prenajatých budov, priestorov</t>
  </si>
  <si>
    <t>Krízové centrum</t>
  </si>
  <si>
    <t>223001 - krízové centrum</t>
  </si>
  <si>
    <t>príj.cudz.str.</t>
  </si>
  <si>
    <t>Ostatné kapitálové výdavky</t>
  </si>
  <si>
    <t xml:space="preserve">Program 10 Živ.pr. Podprogram 1 Verejná zeleň </t>
  </si>
  <si>
    <t>Program 10 Živ.pr. Podprogram 1 Verejná zeleň - Brezina</t>
  </si>
  <si>
    <t>Poskytovateľ dotácie</t>
  </si>
  <si>
    <t>Druh dotácie</t>
  </si>
  <si>
    <t>Výška dotácie v EUR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</si>
  <si>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</si>
  <si>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</si>
  <si>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</si>
  <si>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</si>
  <si>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</si>
  <si>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</si>
  <si>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</si>
  <si>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</si>
  <si>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Miestny poplatok za KO a DSO</t>
  </si>
  <si>
    <t>Nájomné zmluvy</t>
  </si>
  <si>
    <t>Z predaja a nájmu bytov a nebyt. priestorov</t>
  </si>
  <si>
    <t>Pokuty</t>
  </si>
  <si>
    <t>Z protialkoholickej záchytnej izby</t>
  </si>
  <si>
    <t>Za znečisťovanie ovzdušia</t>
  </si>
  <si>
    <t xml:space="preserve">Z lotérií a iných podobných hier </t>
  </si>
  <si>
    <t>Ostatné pohľadávky</t>
  </si>
  <si>
    <t>Daň za ubytovanie</t>
  </si>
  <si>
    <t>Dotácie na školstvo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</si>
  <si>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</si>
  <si>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</si>
  <si>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</si>
  <si>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</si>
  <si>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</t>
  </si>
  <si>
    <t>Dotácia za mimoriadne výsledky žiakov</t>
  </si>
  <si>
    <t>Finančné prostriedky na výchovu a vzdelávanie pre materské školy</t>
  </si>
  <si>
    <t>Prenesený výkon štátnej správy - školský úrad</t>
  </si>
  <si>
    <t>Úrad práce, sociálnych vecí a rodiny SR</t>
  </si>
  <si>
    <t>Dotácia na školské potreby pre deti v hmotnej núdzi</t>
  </si>
  <si>
    <t>Dotácia na stravu pre deti v hmotnej núdzi</t>
  </si>
  <si>
    <t>Ostatné dotácie</t>
  </si>
  <si>
    <t>Dotácia na zabezpečenie starostlivosti o vojnové hroby</t>
  </si>
  <si>
    <t>Ministerstvo dopravy, výstavby a regionálneho rozvoja SR</t>
  </si>
  <si>
    <t>Prenesený výkon štátnej správy ŠFRB</t>
  </si>
  <si>
    <t>Ministerstvo vnútra SR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</si>
  <si>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</si>
  <si>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</si>
  <si>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</si>
  <si>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Ministerstvo kultúry SR</t>
  </si>
  <si>
    <t>Dotácia  Farebná veža</t>
  </si>
  <si>
    <t>Prenesený výkon štátnej správy na úseku vedenia matriky</t>
  </si>
  <si>
    <t>Prenesený výkon štátnej správy na ús.hlás.pobytu obč.a reg.obyv.SR</t>
  </si>
  <si>
    <t>Prídavky na deti</t>
  </si>
  <si>
    <t xml:space="preserve">Zmluva č. </t>
  </si>
  <si>
    <t>Splátky</t>
  </si>
  <si>
    <t>zo dňa</t>
  </si>
  <si>
    <t>počet obyvateľov k 31.12.</t>
  </si>
  <si>
    <t>Dlhová služba v tis. €</t>
  </si>
  <si>
    <t>Splátky úverov a úrokov v tis. €</t>
  </si>
  <si>
    <t>dlhová služba na 1 obyvateľa v €</t>
  </si>
  <si>
    <t>Bežné príjmy v tis. €</t>
  </si>
  <si>
    <t>Podiel dlhu na bežných príjmoch</t>
  </si>
  <si>
    <t>predchádzajúceho roka *</t>
  </si>
  <si>
    <t xml:space="preserve">Podiel splátok úverov a úrokov na  </t>
  </si>
  <si>
    <t>bežných príjmoch predch.roka **</t>
  </si>
  <si>
    <t xml:space="preserve"> V súlade s § 17, ods. 6 zákona č.583/2004 Z.z. o rozpočtových pravidlách územnej samosprávy a o zmene a doplnení </t>
  </si>
  <si>
    <t>niektorých zákonov v znení neskorších predpisov obec môže na plnenie svojich úloh prijať návratné zdroje financovania</t>
  </si>
  <si>
    <t>len ak:</t>
  </si>
  <si>
    <t xml:space="preserve"> - *   celková suma dlhu ku koncu rozpočtového roka neprekročí 60% skutočných bežných príjmov predchádzajúceho </t>
  </si>
  <si>
    <t xml:space="preserve">        rozpočtového roka a</t>
  </si>
  <si>
    <t xml:space="preserve"> - ** suma ročných splátok návratných zdrojov financovania vrátane úhrady výnosov neprekročí 25% skutočných bežných </t>
  </si>
  <si>
    <t xml:space="preserve">       príjmov predchádzajúceho rozpočtového roka</t>
  </si>
  <si>
    <t>Príjmové operácie spolu</t>
  </si>
  <si>
    <t>Odplata za postúpené pohľadávky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</si>
  <si>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</si>
  <si>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</si>
  <si>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</si>
  <si>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Zostatok prostriedkov z predchádzajúcich rokov - nevyčerpané dotácie z roku 2011</t>
  </si>
  <si>
    <t>Bankové úvery dlhodobé</t>
  </si>
  <si>
    <t>Použitie rezervného fondu</t>
  </si>
  <si>
    <t>Príloha č.1</t>
  </si>
  <si>
    <t>Príloha č.2</t>
  </si>
  <si>
    <t>Príloha č.3</t>
  </si>
  <si>
    <t>Príloha č.4</t>
  </si>
  <si>
    <t>Príloha č.5</t>
  </si>
  <si>
    <t>Príloha č.7</t>
  </si>
  <si>
    <t>Príloha č.8</t>
  </si>
  <si>
    <t>Príloha č.12</t>
  </si>
  <si>
    <t>Príloha č.15</t>
  </si>
  <si>
    <t>Príloha č.16</t>
  </si>
  <si>
    <t>Príloha č.17</t>
  </si>
  <si>
    <t>Program 8 Šport Podprogram 4 Mobiliár mesta a detské ihriská</t>
  </si>
  <si>
    <t xml:space="preserve">Bežné výdavky </t>
  </si>
  <si>
    <t>631: Cestovné</t>
  </si>
  <si>
    <t>311: Tuzemské bežné granty</t>
  </si>
  <si>
    <t>292 027: Iné</t>
  </si>
  <si>
    <t>312 001: Tuzemské bežné transfery</t>
  </si>
  <si>
    <t xml:space="preserve">Dotácia na príspevok  na žiakov  zo SZP </t>
  </si>
  <si>
    <t>Stretnutie jubilantov, výročná ročenka</t>
  </si>
  <si>
    <t>pokrytie nákladov spojených so záujmovou, kultúrnou a sociálnou činnosťou klubu v roku 2012</t>
  </si>
  <si>
    <t>Marek Pavlíček - PAVLO</t>
  </si>
  <si>
    <t>TJ Kubran</t>
  </si>
  <si>
    <t>Jednota SOKOL</t>
  </si>
  <si>
    <t>FK SOS TTS</t>
  </si>
  <si>
    <t>Karate klub Ekonóm</t>
  </si>
  <si>
    <t>Verejná knižnica Michala Rešetku</t>
  </si>
  <si>
    <t>k 31.12.2013</t>
  </si>
  <si>
    <t>Trenčianska nadácia</t>
  </si>
  <si>
    <t>10</t>
  </si>
  <si>
    <t>Neuhradené faktúry</t>
  </si>
  <si>
    <t>Daň  z príjmov</t>
  </si>
  <si>
    <t>Podnikanie - KIC</t>
  </si>
  <si>
    <t>.</t>
  </si>
  <si>
    <t>,</t>
  </si>
  <si>
    <t xml:space="preserve">Slovenský zväz protifašistických bojovníkov </t>
  </si>
  <si>
    <t xml:space="preserve">Združenie kresťanských seniorov </t>
  </si>
  <si>
    <t xml:space="preserve">Svojpomocný klub stomikov </t>
  </si>
  <si>
    <t xml:space="preserve">Slovenský zväz telesne posthnutých </t>
  </si>
  <si>
    <t xml:space="preserve">Refugium n.o. TN </t>
  </si>
  <si>
    <t>Organizácia postih. chronic. chorobami</t>
  </si>
  <si>
    <t>Klub aktivít školy pri ZŠ Východná</t>
  </si>
  <si>
    <t>Okresný úrad Trenčín</t>
  </si>
  <si>
    <t>312 007: Cudzí stravníci</t>
  </si>
  <si>
    <t>312 011: Tuzemské transfery</t>
  </si>
  <si>
    <t>Školské stravovanie v predškolských zariadeniach a základných školách</t>
  </si>
  <si>
    <t xml:space="preserve">Jednota dôchodcov Slovenska č. 1 </t>
  </si>
  <si>
    <t xml:space="preserve">Jednota dôchodcov Slovenska č. 2 </t>
  </si>
  <si>
    <t xml:space="preserve">Jednota dôchodcov Slovenska č. 5 </t>
  </si>
  <si>
    <t xml:space="preserve">Jednota dôchodcov Slovenska č. 6 </t>
  </si>
  <si>
    <t xml:space="preserve">Jednota dôchodcov Slovenska č. 19 </t>
  </si>
  <si>
    <t xml:space="preserve">Jednota dôchodcov Slovenska č. 27 </t>
  </si>
  <si>
    <t xml:space="preserve">Jednota dôchodcov Slovenska č. 30 </t>
  </si>
  <si>
    <t>Jednota dôchodcov Slovenska č. 2</t>
  </si>
  <si>
    <t>Kultúrna, spoločenská, turistická činnosť, kurzy zručnosti</t>
  </si>
  <si>
    <t>Sociálne poradenstvo a prevencia zdravotne postihnutých</t>
  </si>
  <si>
    <t>Rekondičný pobyt členov ILCO klubu Trenčín</t>
  </si>
  <si>
    <t>Zvyšovanie kvality života seniorov v DSS, ZpS a pacientov v Hospici Milosrdných sestier v Trenčíne.</t>
  </si>
  <si>
    <t>Príloha č. 14</t>
  </si>
  <si>
    <t>Príloha č.18</t>
  </si>
  <si>
    <t>Súvaha Mesta Trenčín vrátane mestských rozpočtových organizácií mesta    k 31.12.2014</t>
  </si>
  <si>
    <t>Stav k 31.12.2014</t>
  </si>
  <si>
    <t>Súvaha MŠ Šafárikova</t>
  </si>
  <si>
    <t>Program 6 Šport Podprogram 2. Cestná doprava</t>
  </si>
  <si>
    <t>Výdavky spolu</t>
  </si>
  <si>
    <t>292 019: príjmy z refundácie</t>
  </si>
  <si>
    <t>292 006: Z náhrad poistného plnenia</t>
  </si>
  <si>
    <t>713: Nákup preliezačiek</t>
  </si>
  <si>
    <t>Dotácia na riešenie havarijnej situácie-  strecha ZŠ Kubranská</t>
  </si>
  <si>
    <t>MDVaRR SR</t>
  </si>
  <si>
    <t>MPSVaRR SR</t>
  </si>
  <si>
    <t>Dotácia na financovanie soc.služby v zariadení  sociálnych služieb</t>
  </si>
  <si>
    <t>Dotácia  voľby  prezidenta  I. a II.kolo  r.2014</t>
  </si>
  <si>
    <t>Dotácia  voľby do europarlamentu</t>
  </si>
  <si>
    <t>VPP</t>
  </si>
  <si>
    <t>Nadácia Ekopolis</t>
  </si>
  <si>
    <t>Projekt Trenčín si Ty</t>
  </si>
  <si>
    <t>Slovenské lektrárne</t>
  </si>
  <si>
    <t>Dar na príbeh o vodníkovi</t>
  </si>
  <si>
    <t>Dar na MDD</t>
  </si>
  <si>
    <t>Dar na Farmárske jarmoky</t>
  </si>
  <si>
    <t>Prijaté bežné dotácie v roku 2014</t>
  </si>
  <si>
    <t>MPSVaR SR</t>
  </si>
  <si>
    <t>Dotácia za účelom rozvoja sociálnej oblasti</t>
  </si>
  <si>
    <t>Úrad vlády</t>
  </si>
  <si>
    <t>Dotácia na kúpu  el.inv.vozíka pre  M.Gombárovú</t>
  </si>
  <si>
    <t>Dotácia na kúpu el. stimulátora  pre A.Paulovú</t>
  </si>
  <si>
    <t>Použitie dotácie k 31.12.2014</t>
  </si>
  <si>
    <t>Prijaté kapitálové dotácie v roku 2014</t>
  </si>
  <si>
    <t>Dotácie v  oblasti školstva  v roku 2014</t>
  </si>
  <si>
    <t>Dotácie v sociálnej oblasti v roku 2014</t>
  </si>
  <si>
    <t>242: Úroky</t>
  </si>
  <si>
    <t>292012: Príjem z dobropisov</t>
  </si>
  <si>
    <t>Vysokohorský klub VKT Trenčín</t>
  </si>
  <si>
    <t>Hádzanársky klub štart TN</t>
  </si>
  <si>
    <t>Klub Laugaricio TN</t>
  </si>
  <si>
    <t>Vzpieračský klub KOFI TN</t>
  </si>
  <si>
    <t>Badmintonovi klub MI TN</t>
  </si>
  <si>
    <t>Jednota SOKOL, TN</t>
  </si>
  <si>
    <t>AS Trenčín a.s.</t>
  </si>
  <si>
    <t>HK Dukla Trenčín, n.o.</t>
  </si>
  <si>
    <t>Lyžiarsky klub TTS Trenčín</t>
  </si>
  <si>
    <t>TJ Družstevník Opatová</t>
  </si>
  <si>
    <t>Tenisové Centrum Mládeže Trenčín</t>
  </si>
  <si>
    <t>Trenčiansky kolkársky klub TN</t>
  </si>
  <si>
    <t>TJ Slávia Športové gymnázium TN</t>
  </si>
  <si>
    <t>Športový klub Real team Trenčín</t>
  </si>
  <si>
    <t>Občianske združenie Honkadori Aikido Dojo Tn</t>
  </si>
  <si>
    <t>Miestny klub Slovenského Orla, TN</t>
  </si>
  <si>
    <t>TJ CEVA Trenčín</t>
  </si>
  <si>
    <t>ŠK 1. FBC Trenčín</t>
  </si>
  <si>
    <t>T.J.Kubran</t>
  </si>
  <si>
    <t>Klub slov. turistov - reginálna rada TN</t>
  </si>
  <si>
    <t>Športový klub nepočujúcich TN</t>
  </si>
  <si>
    <t>Občianske združenie Dračia légia  TN</t>
  </si>
  <si>
    <t>Kanoistický klub TTS Trenčín</t>
  </si>
  <si>
    <t>Dotácie v oblasti športu a mládeže v roku 2014</t>
  </si>
  <si>
    <t>Medzinárodné turnaje v hádzanej prípraviek, mladších a starších žiačok a dorasteniek, žien.</t>
  </si>
  <si>
    <t>Sokolský diaľkársky míting</t>
  </si>
  <si>
    <t>Najrýchlejší chlapec a dievča Mesta Trenčín - II. Ročník</t>
  </si>
  <si>
    <t>Špeciálny základná škola V.Predmerského v TN</t>
  </si>
  <si>
    <t>Letná atletická paralympiáda</t>
  </si>
  <si>
    <t>HK Dukla Trenčín</t>
  </si>
  <si>
    <t>Medzinárodný turnaj 5. ročník, memoriál J. Hantáka 2014</t>
  </si>
  <si>
    <t>Občianske združenie Šport center, TN</t>
  </si>
  <si>
    <t>Príspevok na "Futbalový zápas v rámci vyvrcholenia leta na Zámostí</t>
  </si>
  <si>
    <t>Hádzanársky klub ŠTART Trenčín</t>
  </si>
  <si>
    <t>Memoriál Ernesta Brosku</t>
  </si>
  <si>
    <t>II. Detského športová olympiáda</t>
  </si>
  <si>
    <t>TJ Slávia Športové gymnázium TN-cyklistický oddiel</t>
  </si>
  <si>
    <t>Svetový pohár v Poľsku a v Česku v roku 2014</t>
  </si>
  <si>
    <t>TJ Slávia Športové gymnázium TN-kanoistický  oddiel</t>
  </si>
  <si>
    <t>Medzinárodná regata v Poľsku a v Česku 2014</t>
  </si>
  <si>
    <t>Materské centrum Srdiečko</t>
  </si>
  <si>
    <t>Cvičenie detí v sprievode rodičov - malí a veľkí cvičia spolu.</t>
  </si>
  <si>
    <t>Cvičenie detičiek a rodičov na fitloptách.</t>
  </si>
  <si>
    <t>Športový klub Dračia légia 2012 TN</t>
  </si>
  <si>
    <t>Majstrovstvá sveta klubových posádok Dračích lodí 2014 v Taliansku Ravenne.</t>
  </si>
  <si>
    <t>ŠK 1, FBC, Trenčín</t>
  </si>
  <si>
    <t>Trenčania do Európy 2014</t>
  </si>
  <si>
    <t>Mgr. Martin Vlnka</t>
  </si>
  <si>
    <t>Trenčiansky amatérsky triatlon</t>
  </si>
  <si>
    <t>SP turnaj veteránov s medzinárodnou účasťou</t>
  </si>
  <si>
    <t>Galéria Miloša Bazovského</t>
  </si>
  <si>
    <t>Dotačné kolo v oblasti práce s mládežou v r. 2014</t>
  </si>
  <si>
    <t>Susan Slovakia, s.r.o.</t>
  </si>
  <si>
    <t>Stredoveká kuchyňa na Trenčianskeom hrade</t>
  </si>
  <si>
    <t>Autis</t>
  </si>
  <si>
    <t>Hipoterapia u detí v trenč. Kraji</t>
  </si>
  <si>
    <t>Silnejší slabším, o.z. Trenčín</t>
  </si>
  <si>
    <t>pojekt "Šikovníček"</t>
  </si>
  <si>
    <t>TRAKT o.z.</t>
  </si>
  <si>
    <t>Happy audio</t>
  </si>
  <si>
    <t>Dobrovoľníci pre všetkých</t>
  </si>
  <si>
    <t>Kultúrne centrum Kubrá, o.z.</t>
  </si>
  <si>
    <t>Detská reštaurácia</t>
  </si>
  <si>
    <t>o.z. Južania - RC Južanček</t>
  </si>
  <si>
    <t>Projekt " Passion TN"</t>
  </si>
  <si>
    <t>Kultúrne centrum Aktivity o.z.</t>
  </si>
  <si>
    <t>prázdninová škola zručnosti</t>
  </si>
  <si>
    <t>3run Slovakia, o.z.</t>
  </si>
  <si>
    <t>projekt "Dobrovoľníci,základný pilier vystavby 1. verejného šport.areálu.</t>
  </si>
  <si>
    <t>Folklórny súbor nadšenci</t>
  </si>
  <si>
    <t>Čarovná truhlica</t>
  </si>
  <si>
    <t>O.z. Komenský</t>
  </si>
  <si>
    <t>Letná outdoorová trieda</t>
  </si>
  <si>
    <t>O.z. pri MŠ Švermova</t>
  </si>
  <si>
    <t>Šport je zábavou</t>
  </si>
  <si>
    <t>MŠ Opatová 39, Trenčín</t>
  </si>
  <si>
    <t>Revitalizácia detského ihriska - projekt</t>
  </si>
  <si>
    <t>Čítajme všetci - čítanie je super</t>
  </si>
  <si>
    <t>Kultúrne centrum Aktivity, o.z.</t>
  </si>
  <si>
    <t>Jarné tradície v Ukrajine a na Slovensku</t>
  </si>
  <si>
    <t>Vedecký deň</t>
  </si>
  <si>
    <t>O.z. rodičov pri MŠ Stromová</t>
  </si>
  <si>
    <t>Múdrosť v knuhe ukrytá</t>
  </si>
  <si>
    <t>Rada rodičov pri 7. ZŠ</t>
  </si>
  <si>
    <t>O mame</t>
  </si>
  <si>
    <t>Rodičovské združenie pri MŠ Soblahovská, TN</t>
  </si>
  <si>
    <t>Pozor deti, auto letí</t>
  </si>
  <si>
    <t>636: Nájom</t>
  </si>
  <si>
    <t>223 003:</t>
  </si>
  <si>
    <t>341: Prostriedky z EU:</t>
  </si>
  <si>
    <t>Spolu výdavky materských škôl (predškolská výchova + stravovanie)</t>
  </si>
  <si>
    <t>Dotácie v  oblasti kultúry  v roku 2014</t>
  </si>
  <si>
    <t>Pohľadávky Mesta Trenčín k 31.12.2014</t>
  </si>
  <si>
    <t>k 31.12.2014</t>
  </si>
  <si>
    <t>Bežné a kapitálové výdavky podľa ekonomickej  klasifikácie k 31.12.2014</t>
  </si>
  <si>
    <t>Bežné výdavky podľa funkčnej klasifikácie k 31.12.2014</t>
  </si>
  <si>
    <t>09.6.0.</t>
  </si>
  <si>
    <t>10.2.0.2</t>
  </si>
  <si>
    <t>Ďalšie soc.služby - staroba</t>
  </si>
  <si>
    <t>10.7.0.4.</t>
  </si>
  <si>
    <t>Príspevky neštátnym subjektom</t>
  </si>
  <si>
    <t>Finančné operácie podľa ekonomickej  klasifikácie k 31.12.2014</t>
  </si>
  <si>
    <t>Poskytovateľ</t>
  </si>
  <si>
    <t xml:space="preserve">Výška </t>
  </si>
  <si>
    <t xml:space="preserve">1.splátka </t>
  </si>
  <si>
    <t>Splátky od 1.1.2014 do 31.12.2014</t>
  </si>
  <si>
    <t>Splátky spolu od 1.splátky</t>
  </si>
  <si>
    <t xml:space="preserve">Splatnosť </t>
  </si>
  <si>
    <t xml:space="preserve">Zostatok </t>
  </si>
  <si>
    <t xml:space="preserve"> k 31.12.2014 v EUR</t>
  </si>
  <si>
    <t>ČSOB a.s./Siemens</t>
  </si>
  <si>
    <t>vstupuje do dlhovej služby</t>
  </si>
  <si>
    <t>15.1.2009</t>
  </si>
  <si>
    <t>vždy 15.v mesiaci</t>
  </si>
  <si>
    <t>18.12.2007</t>
  </si>
  <si>
    <t>mesačne 33 428,69 €</t>
  </si>
  <si>
    <t>mesačne 8 022,89 €</t>
  </si>
  <si>
    <t>27.5.2008</t>
  </si>
  <si>
    <t>mesačne 23 347,29 €</t>
  </si>
  <si>
    <t>mesačne 5 603,25 €</t>
  </si>
  <si>
    <t>22.8.2008</t>
  </si>
  <si>
    <t>mesačne 1 284,41 €</t>
  </si>
  <si>
    <t>mesačne 5 351,72 €</t>
  </si>
  <si>
    <t>15.1.2007</t>
  </si>
  <si>
    <t>12/2006</t>
  </si>
  <si>
    <t>mesačne 13 830,80 €</t>
  </si>
  <si>
    <t>mesačne 2 766,16 €</t>
  </si>
  <si>
    <t>mesačne 2 720,51 €</t>
  </si>
  <si>
    <t>mesačne 544,10 €</t>
  </si>
  <si>
    <t>ČSOB a.s./Dohoda o reštr.-rôzni dod.</t>
  </si>
  <si>
    <t>1.10.2011</t>
  </si>
  <si>
    <t>vždy 1.v mesiaci</t>
  </si>
  <si>
    <t>28.9.2011</t>
  </si>
  <si>
    <t>mesačne 25 423,94 €</t>
  </si>
  <si>
    <t>ČSOB a.s./Dohoda o reštr.-ERES</t>
  </si>
  <si>
    <t>29.2.2012</t>
  </si>
  <si>
    <t>vždy posl. v mesiaci</t>
  </si>
  <si>
    <t>24.2.2012</t>
  </si>
  <si>
    <t>mesačne 14 305,56 €</t>
  </si>
  <si>
    <t>SLSP a.s./Dohoda o reštr. - ERES</t>
  </si>
  <si>
    <t>dodatok 1,2,3</t>
  </si>
  <si>
    <t>31.1.2011</t>
  </si>
  <si>
    <t>19.8.2010</t>
  </si>
  <si>
    <t>mesačne 4 889,76 €</t>
  </si>
  <si>
    <t>SLSP a.s./Dohoda o reštr. - VOD-EKO</t>
  </si>
  <si>
    <t>7.7.2010</t>
  </si>
  <si>
    <t>mesačne 10 499,09 €</t>
  </si>
  <si>
    <t>dodatok 1,2</t>
  </si>
  <si>
    <t>31.8.2011</t>
  </si>
  <si>
    <t>6.7.2011</t>
  </si>
  <si>
    <t>v roku 2014: 0</t>
  </si>
  <si>
    <t>Galéria Bazovského</t>
  </si>
  <si>
    <t>nevstupuje do dlhovej služby</t>
  </si>
  <si>
    <t>2000</t>
  </si>
  <si>
    <t>raz ročne - zápočet</t>
  </si>
  <si>
    <t>1995</t>
  </si>
  <si>
    <t>Považská odpadová spoločnosť - MP</t>
  </si>
  <si>
    <t>1.1.2007</t>
  </si>
  <si>
    <t>polročne 32 530 €</t>
  </si>
  <si>
    <t>Splácanie úrokov</t>
  </si>
  <si>
    <t>Dotácie v oblasti športu a mládeže na činnosť v roku 2014</t>
  </si>
  <si>
    <t>Akadémia tretieho veku</t>
  </si>
  <si>
    <t>Turizmus ťažko telesne postihnutých</t>
  </si>
  <si>
    <t>granty</t>
  </si>
  <si>
    <t xml:space="preserve">AUTIS, o. z. </t>
  </si>
  <si>
    <t xml:space="preserve">SUSAN SLOVAKIA, s. r. o. </t>
  </si>
  <si>
    <t>Galéria M. A. Bazovského</t>
  </si>
  <si>
    <t>MC Srdiečko</t>
  </si>
  <si>
    <t>KC Kubrá</t>
  </si>
  <si>
    <t>KC Aktivity</t>
  </si>
  <si>
    <t>Verejná knižnica M. Rešetku</t>
  </si>
  <si>
    <t>Folklórny súbor Družba</t>
  </si>
  <si>
    <t>Združenie rodičov pri SUŠ Trenčín</t>
  </si>
  <si>
    <t>Považská sokolská župa M. R. Štefánika</t>
  </si>
  <si>
    <t>Kultúrne centrum Sihoť</t>
  </si>
  <si>
    <t xml:space="preserve">Trenčiansky spevácky zbor, o. z. </t>
  </si>
  <si>
    <t>Centrum sociálnych služieb DEMY</t>
  </si>
  <si>
    <t>Tanečný klub DUKLA Trenčín pri SUŠ</t>
  </si>
  <si>
    <t xml:space="preserve">Trenčianske folklórne združenie STODOLA, o. z. </t>
  </si>
  <si>
    <t>Mestské divadlo Trenčín</t>
  </si>
  <si>
    <t>Trenčianske gymnázium Ľ. Štúra</t>
  </si>
  <si>
    <t>Cirkevný zbor Evanjelickej cirkvi</t>
  </si>
  <si>
    <t>Komorný orchester Mesta Trenčín</t>
  </si>
  <si>
    <t xml:space="preserve">Tanečná skupina GOONIES, o. z. </t>
  </si>
  <si>
    <t>Seniorklub DRUŽBA</t>
  </si>
  <si>
    <t>ZUZANA SOUKUPOVÁ</t>
  </si>
  <si>
    <t>Šport center</t>
  </si>
  <si>
    <t>Občianske združenie Country tanečný klub Maryland</t>
  </si>
  <si>
    <t>Tanečný klub AURA DANCE</t>
  </si>
  <si>
    <t xml:space="preserve">Micro Invent s. r. o. </t>
  </si>
  <si>
    <t>Detský folklórny súbor Radosť v Trenčíne</t>
  </si>
  <si>
    <t>Detský folklórny súbor Kornička</t>
  </si>
  <si>
    <t>Divadlo Normálka</t>
  </si>
  <si>
    <t xml:space="preserve">Veselé Zlatovce, o. z. </t>
  </si>
  <si>
    <t>Veselé Zámostie</t>
  </si>
  <si>
    <t>Klub priateľov vážnej hudby</t>
  </si>
  <si>
    <t>Občianske združenie Hudobnej aktivity</t>
  </si>
  <si>
    <t>Trenčianske osvetové stredisko</t>
  </si>
  <si>
    <t>Trenčan, FS Gymnázia Ľ. Štúra</t>
  </si>
  <si>
    <t xml:space="preserve">LampART o. z. </t>
  </si>
  <si>
    <t>KOLOMAŽ, združenie pre súčasné umenie</t>
  </si>
  <si>
    <t xml:space="preserve">OZ Džamál </t>
  </si>
  <si>
    <t xml:space="preserve">gallery qex, s. r. o. </t>
  </si>
  <si>
    <t>Trenčianska jazzová spoločnosť</t>
  </si>
  <si>
    <t xml:space="preserve"> Dotácia na 28.ročník mestského festivalu Pri Trenčianskej bráne</t>
  </si>
  <si>
    <t>Dotácia na 7.medzinár.literárno - výtvarné sympózium ORA ET ARS Skalka 2014</t>
  </si>
  <si>
    <t>Tatra Banka a.s., odšt.závod Raiffeisen banka</t>
  </si>
  <si>
    <t>Union poisťovňa a.s.</t>
  </si>
  <si>
    <t>Arteterapia a muzikoterapia u detí s dets. autizmom</t>
  </si>
  <si>
    <t>Koncerty 2014</t>
  </si>
  <si>
    <t>Bella a cappella</t>
  </si>
  <si>
    <t>Anton Štubňa - fotografické metafory</t>
  </si>
  <si>
    <t>Ateliér Majstra Galerka 2014</t>
  </si>
  <si>
    <t>Míľa pre mamu</t>
  </si>
  <si>
    <t>9. Trenčianske vodnícke stretnutie</t>
  </si>
  <si>
    <t>Príspevok na činnosť FS Kubra</t>
  </si>
  <si>
    <t>Oslava Dňa matiek, oslava MDD</t>
  </si>
  <si>
    <t>Tkanie na krosnách</t>
  </si>
  <si>
    <t>Tvorivé dielne pre deti od 5 - 12 rokov</t>
  </si>
  <si>
    <t>Zachovanie tradícií v Kubre</t>
  </si>
  <si>
    <t>10. rokov KC Aktivity, o.z.</t>
  </si>
  <si>
    <t>Knižnica pod holým nebom</t>
  </si>
  <si>
    <t>Noc literatúry v Trenčíne</t>
  </si>
  <si>
    <t>Slovobranie - Zborník liter. prác členov LK Omega</t>
  </si>
  <si>
    <t>Úhrada nákladov na činnosť súboru v roku 2014</t>
  </si>
  <si>
    <t>60. rokov tanca, hudby a spevu FS Družba</t>
  </si>
  <si>
    <t>Detský denný letný fotograficko - výtvarný tábor</t>
  </si>
  <si>
    <t>VII. Stretnutie sokolov z moravsko-slov. pomedzia</t>
  </si>
  <si>
    <t>Renesančné Vianoce</t>
  </si>
  <si>
    <t>Kretívna dielňa - Tvorivý svet</t>
  </si>
  <si>
    <t>Ad Fontes Musicae - K prameňom hudby XIV. Ročník</t>
  </si>
  <si>
    <t>Fistulatoris Consort - detský súbor starej hudby</t>
  </si>
  <si>
    <t>Zachovanie  a rozvoj zborového spevu</t>
  </si>
  <si>
    <t>FARBIČKY - ČARBIČKY</t>
  </si>
  <si>
    <t>Tanečná súťaž o Pohár primátora mesta Trenčín</t>
  </si>
  <si>
    <t>Vlastivedná publikácia KUBRICA</t>
  </si>
  <si>
    <t>Hojné požehnanie Vám nesieme...</t>
  </si>
  <si>
    <t>Miro Gavran: Bábka</t>
  </si>
  <si>
    <t>Stála poloprofesionálna scéna</t>
  </si>
  <si>
    <t>Žabiatko - predstavenie pre najmenších</t>
  </si>
  <si>
    <t>Andulky v klietke</t>
  </si>
  <si>
    <t>Gympelrock</t>
  </si>
  <si>
    <t>Činnosť spevokolu ZVON  v r. 2014</t>
  </si>
  <si>
    <t>Činnosť KOMT  v r. 2014</t>
  </si>
  <si>
    <t>Spoloč.koncerty L´Unie Mus.de Cran-Gevrier a KOMT</t>
  </si>
  <si>
    <t>Tanečná rozprávka Vianoc 2014</t>
  </si>
  <si>
    <t>Činnosť tanečnej skupiny</t>
  </si>
  <si>
    <t>Činnosť FS Seniorklub Družba</t>
  </si>
  <si>
    <t>Ide pieseň dokola  - XV. Výročie Seniorklub DRUŽBA</t>
  </si>
  <si>
    <t>Campanillas - činnosť TS latinskoamerických tancov</t>
  </si>
  <si>
    <t>Oživenie kultúry a spoloč. života na Zámostí</t>
  </si>
  <si>
    <t>Country tanečný súbor Maryland</t>
  </si>
  <si>
    <t>X - Mas dance show</t>
  </si>
  <si>
    <t>Činnosť Aura Dance klub</t>
  </si>
  <si>
    <t>Hudba v obrazoch - výstavy výtvarného umenia</t>
  </si>
  <si>
    <t>Slávnostný program pri prílež. 40. výr. vzniku DFS</t>
  </si>
  <si>
    <t>Činnosť DFS Radosť v roku 2014</t>
  </si>
  <si>
    <t>Zabezpečenie činnosti DFS Kornička v roku 2014</t>
  </si>
  <si>
    <t>Divadelné predstavenie - Veselý príbeh</t>
  </si>
  <si>
    <t>Činnosť divadelného súboru</t>
  </si>
  <si>
    <t>Zachovávanie kultúr.tradícií a zvyklostí v MČ Zlatovce</t>
  </si>
  <si>
    <t>Kultúrne spestrenie v Záblatí</t>
  </si>
  <si>
    <t>Jarné kvety, jesenné plody - dvojfestival THJ a THJ</t>
  </si>
  <si>
    <t>Advent.festival speváckych zborov Daj Boh šťastia...</t>
  </si>
  <si>
    <t>Výtvarné spektrum 2014</t>
  </si>
  <si>
    <t>19. VÝTVARNÝ SALÓN Trenčianskeho kraja</t>
  </si>
  <si>
    <t>Nádej - autorská výstava Jany Vozárikovej</t>
  </si>
  <si>
    <t>ORA ET ARS VIATOR - Skalka, výstava diel</t>
  </si>
  <si>
    <t>Činnosť FS Trenčan</t>
  </si>
  <si>
    <t>65. výročie FS Trenčan</t>
  </si>
  <si>
    <t>Alternatívne Vianoce 2014</t>
  </si>
  <si>
    <t>Pavol Seriš - Divadlo jedného herca</t>
  </si>
  <si>
    <t>Detský divadelný klub 2014</t>
  </si>
  <si>
    <t>Činnosť orient.TS Džamál, Džamál junior a Habibti</t>
  </si>
  <si>
    <t>Laugarício Orient Festival 2014</t>
  </si>
  <si>
    <t>galéria</t>
  </si>
  <si>
    <t>VIANOCE POD HRADOM - Koledy v modrom</t>
  </si>
  <si>
    <t>Bluesnenie XV.</t>
  </si>
  <si>
    <t>20. rokov JAZZU POD HRADOM - výstava fotografií</t>
  </si>
  <si>
    <t>Dobrý bazár 2014</t>
  </si>
  <si>
    <t>Synot Gastro</t>
  </si>
  <si>
    <t>Dotácia na hradné bralo</t>
  </si>
  <si>
    <t xml:space="preserve">Dotácia komunálne voľby </t>
  </si>
  <si>
    <t>ZŠ Bezruča</t>
  </si>
  <si>
    <t>ZŠ Dlhé Hony</t>
  </si>
  <si>
    <t>ZŠ Hodžova</t>
  </si>
  <si>
    <t>ZŠ Kubranská</t>
  </si>
  <si>
    <t>ZŠ Na Dolinách</t>
  </si>
  <si>
    <t>ZŠ Novomeského</t>
  </si>
  <si>
    <t>ZŠ Potočná</t>
  </si>
  <si>
    <t>ZŠ Veľkomoravská</t>
  </si>
  <si>
    <t>ZŠ Východná</t>
  </si>
  <si>
    <t>Počet pedagogických zamestnancov</t>
  </si>
  <si>
    <t>fyzický stav</t>
  </si>
  <si>
    <t>úväzok zamestnanca</t>
  </si>
  <si>
    <t>Vychovávatelia</t>
  </si>
  <si>
    <t>Počet nepedagogických zamestnancov ŠKD</t>
  </si>
  <si>
    <t>Počet nepedagogických zamestnancov - školská jedáleň</t>
  </si>
  <si>
    <t>Spolu fyzický stav</t>
  </si>
  <si>
    <t>Spolu úväzok zamestnanca</t>
  </si>
  <si>
    <t>Prehľad dlhu v zmysle § 17, ods. 6,7 zákona č. 583/2004 o rozpočtových pravidlách územnej samosprávy v znení neskorších predpisov k 31.12.2014</t>
  </si>
  <si>
    <t>Úvery</t>
  </si>
  <si>
    <t>Poskytovateľ úveru</t>
  </si>
  <si>
    <t>Výška poskytnutého úveru</t>
  </si>
  <si>
    <t>1.splátka úveru</t>
  </si>
  <si>
    <t>Splátky spolu od 1.splátky úveru</t>
  </si>
  <si>
    <t>Splatnosť úveru</t>
  </si>
  <si>
    <t xml:space="preserve">Zostatok úveru </t>
  </si>
  <si>
    <t>Štátny fond rozvoja bývania</t>
  </si>
  <si>
    <t>úver nevstupuje do dlhovej služby</t>
  </si>
  <si>
    <t>309/308/2002</t>
  </si>
  <si>
    <t>mesačne vrátane úroku</t>
  </si>
  <si>
    <t>Slovenská sporiteľňa a.s.</t>
  </si>
  <si>
    <t>úver vstupuje do dlhovej služby</t>
  </si>
  <si>
    <t>425/AUOC/08</t>
  </si>
  <si>
    <t>31.1.2010</t>
  </si>
  <si>
    <r>
      <t xml:space="preserve">mesačne: 44 584 </t>
    </r>
    <r>
      <rPr>
        <b/>
        <sz val="10"/>
        <rFont val="Calibri"/>
        <family val="2"/>
        <charset val="238"/>
      </rPr>
      <t>€</t>
    </r>
  </si>
  <si>
    <t>splátky v roku 2014: 0</t>
  </si>
  <si>
    <t>dodatok č.1,2,3,4,5,6</t>
  </si>
  <si>
    <r>
      <t xml:space="preserve">posledná: 56 196,04 </t>
    </r>
    <r>
      <rPr>
        <sz val="10"/>
        <rFont val="Calibri"/>
        <family val="2"/>
        <charset val="238"/>
      </rPr>
      <t>€</t>
    </r>
  </si>
  <si>
    <t>105/AUOC/13</t>
  </si>
  <si>
    <t>31.1.2014</t>
  </si>
  <si>
    <t>mesačne: 10 530 €</t>
  </si>
  <si>
    <t>dodatok č.1,2</t>
  </si>
  <si>
    <t>posledná: 10 110 €</t>
  </si>
  <si>
    <t>Československá obchodná banka a.s.</t>
  </si>
  <si>
    <t>7135/12/80226</t>
  </si>
  <si>
    <t>mesačne 54 578 ,84 €</t>
  </si>
  <si>
    <t>posledná 29.5.2015: 2 401 468,80 €</t>
  </si>
  <si>
    <t xml:space="preserve">Tatrabanka a.s. </t>
  </si>
  <si>
    <t>2321/2005/EIB, dod.1</t>
  </si>
  <si>
    <r>
      <t>3-mesačne: 6 300.00</t>
    </r>
    <r>
      <rPr>
        <b/>
        <sz val="11"/>
        <color indexed="8"/>
        <rFont val="Calibri"/>
        <family val="2"/>
        <charset val="238"/>
      </rPr>
      <t>€</t>
    </r>
  </si>
  <si>
    <t>posledná: 6 880.00€</t>
  </si>
  <si>
    <t>2320/2005/EIB, dod.1</t>
  </si>
  <si>
    <r>
      <t>3-mesačne: 8 740.00</t>
    </r>
    <r>
      <rPr>
        <b/>
        <sz val="11"/>
        <color indexed="8"/>
        <rFont val="Calibri"/>
        <family val="2"/>
        <charset val="238"/>
      </rPr>
      <t>€</t>
    </r>
  </si>
  <si>
    <t>posledná: 8 752.00 €</t>
  </si>
  <si>
    <t>2323/2005/EIB, dod.1</t>
  </si>
  <si>
    <r>
      <t>3-mesačne: 8 870.00</t>
    </r>
    <r>
      <rPr>
        <b/>
        <sz val="11"/>
        <color indexed="8"/>
        <rFont val="Calibri"/>
        <family val="2"/>
        <charset val="238"/>
      </rPr>
      <t>€</t>
    </r>
  </si>
  <si>
    <t>posledná: 8 877.00 €</t>
  </si>
  <si>
    <t>2322/2005/EIB, dod.1</t>
  </si>
  <si>
    <r>
      <t>3-mesačne: 42 540</t>
    </r>
    <r>
      <rPr>
        <b/>
        <sz val="11"/>
        <color indexed="8"/>
        <rFont val="Calibri"/>
        <family val="2"/>
        <charset val="238"/>
      </rPr>
      <t>€</t>
    </r>
  </si>
  <si>
    <t>posledná: 42 618.00 €</t>
  </si>
  <si>
    <t>S02806/2012</t>
  </si>
  <si>
    <t>mesačne: 22 200 €</t>
  </si>
  <si>
    <t>posledná: 23 000 €</t>
  </si>
  <si>
    <t>S00912/2013</t>
  </si>
  <si>
    <t>mesačne: 12 500 €</t>
  </si>
  <si>
    <t>posledná: 12 500 €</t>
  </si>
  <si>
    <t>S01545/2014</t>
  </si>
  <si>
    <t>31.1.2015</t>
  </si>
  <si>
    <t>mesačne: 10 837 €</t>
  </si>
  <si>
    <t>posledná: 10 784 €</t>
  </si>
  <si>
    <t>0840/14/80226</t>
  </si>
  <si>
    <t>mesačné: 5.681,33 €</t>
  </si>
  <si>
    <t>posledná: 5.681,73 €</t>
  </si>
  <si>
    <t>Splátkové</t>
  </si>
  <si>
    <t xml:space="preserve">WSM Bohemia </t>
  </si>
  <si>
    <t>Nadácia SPP</t>
  </si>
  <si>
    <t>Vráťme život do centra Trenčína</t>
  </si>
  <si>
    <t>Čaro Vianoc</t>
  </si>
  <si>
    <t>Príloha č.6</t>
  </si>
  <si>
    <t>Príloha č.10</t>
  </si>
  <si>
    <t>Príloha č.11</t>
  </si>
  <si>
    <t>Príloha č.13</t>
  </si>
  <si>
    <t>Obradné siene + náboženstvo</t>
  </si>
  <si>
    <t>Kapitálové výdavky podľa funkčnej klasifikácie k 31.12.2014</t>
  </si>
  <si>
    <t>Príloha č.19</t>
  </si>
  <si>
    <t>Príloha č.9</t>
  </si>
  <si>
    <t>Počet zamestnancov základných škôl  v roku 2014</t>
  </si>
  <si>
    <t xml:space="preserve">  Vývoj dlhovej služby Mesta Trenčín v rokoch  2007-2014 vo väzbe  na zákon č.583/2004 Z.z. o rozpočtových pravidlách územnej samosprávy  a o zmene a doplnení niektorých zákonov v znení neskorších predpisov 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</si>
  <si>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</si>
  <si>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Rôzni poskytovatelia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</si>
</sst>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&quot;Sk&quot;"/>
    <numFmt numFmtId="166" formatCode="#,##0.00\ [$€-1];\-#,##0.00\ [$€-1]"/>
  </numFmts>
  <fonts count="8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i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9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4"/>
      <color indexed="60"/>
      <name val="Calibri"/>
      <family val="2"/>
      <charset val="238"/>
    </font>
    <font>
      <b/>
      <sz val="16"/>
      <color indexed="60"/>
      <name val="Calibri"/>
      <family val="2"/>
      <charset val="238"/>
    </font>
    <font>
      <b/>
      <sz val="16"/>
      <color indexed="6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sz val="24"/>
      <name val="Times New Roman"/>
      <family val="1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3"/>
      <color rgb="FFC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indexed="16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C00000"/>
      <name val="Arial"/>
      <family val="2"/>
      <charset val="238"/>
    </font>
    <font>
      <sz val="8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/>
    <xf numFmtId="3" fontId="0" fillId="2" borderId="1" xfId="0" applyNumberFormat="1" applyFill="1" applyBorder="1"/>
    <xf numFmtId="3" fontId="0" fillId="0" borderId="1" xfId="0" applyNumberFormat="1" applyFill="1" applyBorder="1"/>
    <xf numFmtId="0" fontId="11" fillId="0" borderId="0" xfId="0" applyFont="1"/>
    <xf numFmtId="3" fontId="1" fillId="2" borderId="1" xfId="0" applyNumberFormat="1" applyFont="1" applyFill="1" applyBorder="1"/>
    <xf numFmtId="0" fontId="0" fillId="0" borderId="0" xfId="0" applyFill="1" applyBorder="1"/>
    <xf numFmtId="3" fontId="5" fillId="0" borderId="7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5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right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6" fillId="4" borderId="0" xfId="0" applyFont="1" applyFill="1"/>
    <xf numFmtId="0" fontId="20" fillId="0" borderId="5" xfId="0" applyFont="1" applyBorder="1" applyAlignment="1">
      <alignment horizontal="center"/>
    </xf>
    <xf numFmtId="0" fontId="17" fillId="0" borderId="9" xfId="0" applyFont="1" applyBorder="1"/>
    <xf numFmtId="3" fontId="17" fillId="0" borderId="4" xfId="0" applyNumberFormat="1" applyFont="1" applyBorder="1"/>
    <xf numFmtId="3" fontId="17" fillId="0" borderId="8" xfId="0" applyNumberFormat="1" applyFont="1" applyBorder="1"/>
    <xf numFmtId="3" fontId="16" fillId="4" borderId="0" xfId="0" applyNumberFormat="1" applyFont="1" applyFill="1"/>
    <xf numFmtId="0" fontId="17" fillId="0" borderId="10" xfId="0" applyFont="1" applyBorder="1"/>
    <xf numFmtId="0" fontId="20" fillId="0" borderId="6" xfId="0" applyFont="1" applyBorder="1" applyAlignment="1">
      <alignment horizontal="center"/>
    </xf>
    <xf numFmtId="0" fontId="17" fillId="0" borderId="11" xfId="0" applyFont="1" applyBorder="1"/>
    <xf numFmtId="0" fontId="21" fillId="5" borderId="12" xfId="0" applyFont="1" applyFill="1" applyBorder="1" applyAlignment="1">
      <alignment horizontal="center"/>
    </xf>
    <xf numFmtId="0" fontId="22" fillId="5" borderId="13" xfId="0" applyFont="1" applyFill="1" applyBorder="1"/>
    <xf numFmtId="3" fontId="22" fillId="5" borderId="14" xfId="0" applyNumberFormat="1" applyFont="1" applyFill="1" applyBorder="1"/>
    <xf numFmtId="3" fontId="22" fillId="5" borderId="15" xfId="0" applyNumberFormat="1" applyFont="1" applyFill="1" applyBorder="1"/>
    <xf numFmtId="3" fontId="22" fillId="5" borderId="16" xfId="0" applyNumberFormat="1" applyFont="1" applyFill="1" applyBorder="1"/>
    <xf numFmtId="0" fontId="20" fillId="0" borderId="17" xfId="0" applyFont="1" applyBorder="1" applyAlignment="1">
      <alignment horizontal="center"/>
    </xf>
    <xf numFmtId="0" fontId="17" fillId="0" borderId="18" xfId="0" applyFont="1" applyBorder="1"/>
    <xf numFmtId="3" fontId="17" fillId="0" borderId="19" xfId="0" applyNumberFormat="1" applyFont="1" applyBorder="1"/>
    <xf numFmtId="3" fontId="17" fillId="0" borderId="20" xfId="0" applyNumberFormat="1" applyFont="1" applyBorder="1"/>
    <xf numFmtId="3" fontId="17" fillId="0" borderId="21" xfId="0" applyNumberFormat="1" applyFont="1" applyBorder="1" applyAlignment="1">
      <alignment horizontal="right"/>
    </xf>
    <xf numFmtId="0" fontId="17" fillId="0" borderId="6" xfId="0" applyFont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10" xfId="0" applyFont="1" applyFill="1" applyBorder="1"/>
    <xf numFmtId="3" fontId="17" fillId="0" borderId="4" xfId="0" applyNumberFormat="1" applyFont="1" applyBorder="1" applyAlignment="1"/>
    <xf numFmtId="3" fontId="17" fillId="0" borderId="1" xfId="0" applyNumberFormat="1" applyFont="1" applyBorder="1" applyAlignment="1"/>
    <xf numFmtId="0" fontId="17" fillId="0" borderId="9" xfId="0" applyFont="1" applyFill="1" applyBorder="1"/>
    <xf numFmtId="3" fontId="17" fillId="0" borderId="1" xfId="0" applyNumberFormat="1" applyFont="1" applyBorder="1"/>
    <xf numFmtId="3" fontId="17" fillId="0" borderId="23" xfId="0" applyNumberFormat="1" applyFont="1" applyBorder="1"/>
    <xf numFmtId="3" fontId="17" fillId="0" borderId="22" xfId="0" applyNumberFormat="1" applyFont="1" applyBorder="1"/>
    <xf numFmtId="3" fontId="23" fillId="5" borderId="14" xfId="0" applyNumberFormat="1" applyFont="1" applyFill="1" applyBorder="1"/>
    <xf numFmtId="3" fontId="23" fillId="5" borderId="15" xfId="0" applyNumberFormat="1" applyFont="1" applyFill="1" applyBorder="1"/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/>
    <xf numFmtId="3" fontId="17" fillId="0" borderId="24" xfId="0" applyNumberFormat="1" applyFont="1" applyBorder="1"/>
    <xf numFmtId="3" fontId="17" fillId="0" borderId="25" xfId="0" applyNumberFormat="1" applyFont="1" applyBorder="1"/>
    <xf numFmtId="0" fontId="25" fillId="5" borderId="13" xfId="0" applyFont="1" applyFill="1" applyBorder="1"/>
    <xf numFmtId="3" fontId="17" fillId="0" borderId="19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3" fontId="17" fillId="0" borderId="26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23" fillId="5" borderId="14" xfId="0" applyNumberFormat="1" applyFont="1" applyFill="1" applyBorder="1" applyAlignment="1">
      <alignment horizontal="right"/>
    </xf>
    <xf numFmtId="3" fontId="23" fillId="5" borderId="15" xfId="0" applyNumberFormat="1" applyFont="1" applyFill="1" applyBorder="1" applyAlignment="1">
      <alignment horizontal="right"/>
    </xf>
    <xf numFmtId="3" fontId="22" fillId="5" borderId="16" xfId="0" applyNumberFormat="1" applyFont="1" applyFill="1" applyBorder="1" applyAlignment="1">
      <alignment horizontal="right"/>
    </xf>
    <xf numFmtId="3" fontId="17" fillId="0" borderId="27" xfId="0" applyNumberFormat="1" applyFont="1" applyBorder="1"/>
    <xf numFmtId="3" fontId="17" fillId="0" borderId="26" xfId="0" applyNumberFormat="1" applyFont="1" applyBorder="1" applyAlignment="1">
      <alignment vertical="center"/>
    </xf>
    <xf numFmtId="3" fontId="17" fillId="0" borderId="8" xfId="0" applyNumberFormat="1" applyFont="1" applyBorder="1" applyAlignment="1"/>
    <xf numFmtId="3" fontId="17" fillId="0" borderId="26" xfId="0" applyNumberFormat="1" applyFont="1" applyBorder="1"/>
    <xf numFmtId="3" fontId="17" fillId="0" borderId="28" xfId="0" applyNumberFormat="1" applyFont="1" applyBorder="1"/>
    <xf numFmtId="3" fontId="17" fillId="0" borderId="26" xfId="0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3" fontId="30" fillId="2" borderId="1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/>
    </xf>
    <xf numFmtId="0" fontId="2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3" fontId="0" fillId="0" borderId="8" xfId="0" applyNumberFormat="1" applyFill="1" applyBorder="1"/>
    <xf numFmtId="3" fontId="0" fillId="2" borderId="8" xfId="0" applyNumberFormat="1" applyFill="1" applyBorder="1"/>
    <xf numFmtId="3" fontId="33" fillId="0" borderId="1" xfId="0" applyNumberFormat="1" applyFont="1" applyFill="1" applyBorder="1"/>
    <xf numFmtId="3" fontId="33" fillId="3" borderId="1" xfId="0" applyNumberFormat="1" applyFont="1" applyFill="1" applyBorder="1"/>
    <xf numFmtId="3" fontId="34" fillId="3" borderId="1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3" fontId="35" fillId="0" borderId="1" xfId="0" applyNumberFormat="1" applyFont="1" applyFill="1" applyBorder="1"/>
    <xf numFmtId="0" fontId="0" fillId="4" borderId="0" xfId="0" applyFill="1"/>
    <xf numFmtId="3" fontId="33" fillId="4" borderId="1" xfId="0" applyNumberFormat="1" applyFont="1" applyFill="1" applyBorder="1"/>
    <xf numFmtId="3" fontId="0" fillId="4" borderId="0" xfId="0" applyNumberFormat="1" applyFill="1" applyBorder="1"/>
    <xf numFmtId="3" fontId="34" fillId="4" borderId="1" xfId="0" applyNumberFormat="1" applyFont="1" applyFill="1" applyBorder="1"/>
    <xf numFmtId="3" fontId="5" fillId="3" borderId="1" xfId="0" applyNumberFormat="1" applyFont="1" applyFill="1" applyBorder="1"/>
    <xf numFmtId="0" fontId="30" fillId="0" borderId="0" xfId="0" applyFont="1"/>
    <xf numFmtId="3" fontId="30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0" fontId="8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30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/>
    <xf numFmtId="4" fontId="5" fillId="0" borderId="0" xfId="0" applyNumberFormat="1" applyFont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6" fillId="0" borderId="0" xfId="0" applyFont="1"/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/>
    <xf numFmtId="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30" fillId="0" borderId="0" xfId="0" applyNumberFormat="1" applyFont="1"/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0" fontId="0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49" fontId="18" fillId="0" borderId="33" xfId="0" applyNumberFormat="1" applyFont="1" applyBorder="1" applyAlignment="1">
      <alignment vertical="center" wrapText="1"/>
    </xf>
    <xf numFmtId="0" fontId="18" fillId="0" borderId="34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49" fontId="18" fillId="0" borderId="5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3" fontId="30" fillId="0" borderId="8" xfId="0" applyNumberFormat="1" applyFont="1" applyBorder="1"/>
    <xf numFmtId="49" fontId="18" fillId="0" borderId="5" xfId="0" applyNumberFormat="1" applyFont="1" applyBorder="1" applyAlignment="1">
      <alignment horizontal="left" vertical="top" wrapText="1"/>
    </xf>
    <xf numFmtId="49" fontId="18" fillId="0" borderId="33" xfId="0" applyNumberFormat="1" applyFont="1" applyBorder="1" applyAlignment="1">
      <alignment vertical="top" wrapText="1"/>
    </xf>
    <xf numFmtId="0" fontId="30" fillId="0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top" wrapText="1"/>
    </xf>
    <xf numFmtId="3" fontId="30" fillId="0" borderId="1" xfId="0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top" wrapText="1"/>
    </xf>
    <xf numFmtId="3" fontId="30" fillId="0" borderId="22" xfId="0" applyNumberFormat="1" applyFont="1" applyFill="1" applyBorder="1" applyAlignment="1">
      <alignment horizontal="right" vertical="center"/>
    </xf>
    <xf numFmtId="49" fontId="26" fillId="3" borderId="5" xfId="0" applyNumberFormat="1" applyFont="1" applyFill="1" applyBorder="1" applyAlignment="1">
      <alignment vertical="center" wrapText="1"/>
    </xf>
    <xf numFmtId="3" fontId="31" fillId="3" borderId="1" xfId="0" applyNumberFormat="1" applyFont="1" applyFill="1" applyBorder="1" applyAlignment="1">
      <alignment vertical="center"/>
    </xf>
    <xf numFmtId="3" fontId="31" fillId="3" borderId="8" xfId="0" applyNumberFormat="1" applyFont="1" applyFill="1" applyBorder="1" applyAlignment="1">
      <alignment vertical="center"/>
    </xf>
    <xf numFmtId="49" fontId="26" fillId="3" borderId="5" xfId="0" applyNumberFormat="1" applyFont="1" applyFill="1" applyBorder="1" applyAlignment="1">
      <alignment vertical="top" wrapText="1"/>
    </xf>
    <xf numFmtId="3" fontId="31" fillId="3" borderId="1" xfId="0" applyNumberFormat="1" applyFont="1" applyFill="1" applyBorder="1"/>
    <xf numFmtId="3" fontId="31" fillId="3" borderId="8" xfId="0" applyNumberFormat="1" applyFont="1" applyFill="1" applyBorder="1"/>
    <xf numFmtId="0" fontId="31" fillId="3" borderId="5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top" wrapText="1"/>
    </xf>
    <xf numFmtId="3" fontId="3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4" fontId="8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0" fontId="0" fillId="0" borderId="0" xfId="0" applyFill="1"/>
    <xf numFmtId="0" fontId="41" fillId="0" borderId="0" xfId="0" applyFont="1" applyBorder="1" applyAlignment="1">
      <alignment vertical="top" wrapText="1"/>
    </xf>
    <xf numFmtId="3" fontId="41" fillId="0" borderId="0" xfId="0" applyNumberFormat="1" applyFont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4" borderId="0" xfId="0" applyFont="1" applyFill="1" applyBorder="1" applyAlignment="1">
      <alignment horizontal="left"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Fill="1"/>
    <xf numFmtId="0" fontId="9" fillId="0" borderId="0" xfId="0" applyFont="1" applyFill="1" applyAlignment="1">
      <alignment horizontal="center"/>
    </xf>
    <xf numFmtId="0" fontId="42" fillId="0" borderId="0" xfId="0" applyFont="1" applyFill="1"/>
    <xf numFmtId="0" fontId="9" fillId="0" borderId="0" xfId="0" applyFont="1" applyFill="1"/>
    <xf numFmtId="0" fontId="0" fillId="0" borderId="0" xfId="0" applyAlignment="1">
      <alignment horizontal="right" textRotation="180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43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/>
    <xf numFmtId="4" fontId="4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Alignment="1">
      <alignment vertical="center"/>
    </xf>
    <xf numFmtId="0" fontId="0" fillId="0" borderId="0" xfId="0"/>
    <xf numFmtId="4" fontId="45" fillId="0" borderId="0" xfId="0" applyNumberFormat="1" applyFont="1"/>
    <xf numFmtId="0" fontId="47" fillId="10" borderId="31" xfId="0" applyFont="1" applyFill="1" applyBorder="1" applyAlignment="1">
      <alignment horizontal="center" vertical="center"/>
    </xf>
    <xf numFmtId="4" fontId="47" fillId="10" borderId="37" xfId="0" applyNumberFormat="1" applyFont="1" applyFill="1" applyBorder="1" applyAlignment="1">
      <alignment horizontal="center" vertical="center" wrapText="1"/>
    </xf>
    <xf numFmtId="4" fontId="47" fillId="10" borderId="32" xfId="0" applyNumberFormat="1" applyFont="1" applyFill="1" applyBorder="1" applyAlignment="1">
      <alignment horizontal="center" vertical="center" wrapText="1"/>
    </xf>
    <xf numFmtId="4" fontId="47" fillId="10" borderId="8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/>
    </xf>
    <xf numFmtId="4" fontId="45" fillId="0" borderId="22" xfId="0" applyNumberFormat="1" applyFont="1" applyFill="1" applyBorder="1" applyAlignment="1">
      <alignment horizontal="center"/>
    </xf>
    <xf numFmtId="164" fontId="45" fillId="0" borderId="1" xfId="0" applyNumberFormat="1" applyFont="1" applyFill="1" applyBorder="1" applyAlignment="1">
      <alignment horizontal="center"/>
    </xf>
    <xf numFmtId="4" fontId="45" fillId="0" borderId="1" xfId="0" applyNumberFormat="1" applyFont="1" applyFill="1" applyBorder="1" applyAlignment="1">
      <alignment horizontal="center"/>
    </xf>
    <xf numFmtId="0" fontId="18" fillId="0" borderId="0" xfId="0" applyFont="1"/>
    <xf numFmtId="0" fontId="49" fillId="0" borderId="0" xfId="0" applyFont="1" applyAlignment="1">
      <alignment horizontal="right" vertical="top"/>
    </xf>
    <xf numFmtId="0" fontId="12" fillId="0" borderId="5" xfId="0" applyFont="1" applyBorder="1"/>
    <xf numFmtId="3" fontId="17" fillId="0" borderId="1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0" fontId="12" fillId="0" borderId="17" xfId="0" applyFont="1" applyBorder="1"/>
    <xf numFmtId="3" fontId="17" fillId="0" borderId="35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39" xfId="0" applyNumberFormat="1" applyFont="1" applyBorder="1" applyAlignment="1">
      <alignment horizontal="right"/>
    </xf>
    <xf numFmtId="10" fontId="12" fillId="0" borderId="20" xfId="0" applyNumberFormat="1" applyFont="1" applyBorder="1" applyAlignment="1">
      <alignment horizontal="right"/>
    </xf>
    <xf numFmtId="10" fontId="12" fillId="0" borderId="35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10" fontId="12" fillId="0" borderId="44" xfId="0" applyNumberFormat="1" applyFont="1" applyBorder="1" applyAlignment="1">
      <alignment horizontal="right"/>
    </xf>
    <xf numFmtId="10" fontId="12" fillId="0" borderId="36" xfId="0" applyNumberFormat="1" applyFont="1" applyFill="1" applyBorder="1" applyAlignment="1">
      <alignment horizontal="right"/>
    </xf>
    <xf numFmtId="0" fontId="12" fillId="0" borderId="0" xfId="0" applyFont="1" applyBorder="1"/>
    <xf numFmtId="10" fontId="17" fillId="0" borderId="0" xfId="0" applyNumberFormat="1" applyFont="1" applyBorder="1" applyAlignment="1">
      <alignment horizontal="right"/>
    </xf>
    <xf numFmtId="0" fontId="9" fillId="0" borderId="0" xfId="0" applyFont="1" applyFill="1" applyBorder="1"/>
    <xf numFmtId="0" fontId="18" fillId="0" borderId="0" xfId="0" applyFont="1" applyFill="1"/>
    <xf numFmtId="0" fontId="50" fillId="0" borderId="0" xfId="0" applyFont="1" applyBorder="1"/>
    <xf numFmtId="0" fontId="12" fillId="0" borderId="0" xfId="0" applyFont="1" applyFill="1" applyBorder="1"/>
    <xf numFmtId="3" fontId="17" fillId="4" borderId="2" xfId="0" applyNumberFormat="1" applyFont="1" applyFill="1" applyBorder="1" applyAlignment="1">
      <alignment horizontal="right"/>
    </xf>
    <xf numFmtId="3" fontId="17" fillId="4" borderId="45" xfId="0" applyNumberFormat="1" applyFont="1" applyFill="1" applyBorder="1" applyAlignment="1">
      <alignment horizontal="right"/>
    </xf>
    <xf numFmtId="3" fontId="12" fillId="4" borderId="45" xfId="0" applyNumberFormat="1" applyFont="1" applyFill="1" applyBorder="1" applyAlignment="1">
      <alignment horizontal="right"/>
    </xf>
    <xf numFmtId="3" fontId="17" fillId="4" borderId="7" xfId="0" applyNumberFormat="1" applyFont="1" applyFill="1" applyBorder="1" applyAlignment="1">
      <alignment horizontal="right"/>
    </xf>
    <xf numFmtId="10" fontId="12" fillId="4" borderId="45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10" fontId="12" fillId="4" borderId="46" xfId="0" applyNumberFormat="1" applyFont="1" applyFill="1" applyBorder="1" applyAlignment="1">
      <alignment horizontal="right"/>
    </xf>
    <xf numFmtId="0" fontId="21" fillId="11" borderId="47" xfId="0" applyFont="1" applyFill="1" applyBorder="1"/>
    <xf numFmtId="0" fontId="10" fillId="11" borderId="48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0" fontId="21" fillId="12" borderId="12" xfId="0" applyFont="1" applyFill="1" applyBorder="1" applyAlignment="1">
      <alignment horizontal="center"/>
    </xf>
    <xf numFmtId="3" fontId="10" fillId="12" borderId="1" xfId="0" applyNumberFormat="1" applyFont="1" applyFill="1" applyBorder="1"/>
    <xf numFmtId="3" fontId="32" fillId="12" borderId="32" xfId="0" applyNumberFormat="1" applyFont="1" applyFill="1" applyBorder="1" applyAlignment="1">
      <alignment vertical="center"/>
    </xf>
    <xf numFmtId="0" fontId="51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vertical="center"/>
    </xf>
    <xf numFmtId="4" fontId="51" fillId="3" borderId="3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26" fillId="13" borderId="5" xfId="0" applyNumberFormat="1" applyFont="1" applyFill="1" applyBorder="1" applyAlignment="1">
      <alignment vertical="center" wrapText="1"/>
    </xf>
    <xf numFmtId="49" fontId="26" fillId="9" borderId="5" xfId="0" applyNumberFormat="1" applyFont="1" applyFill="1" applyBorder="1" applyAlignment="1">
      <alignment vertical="center" wrapText="1"/>
    </xf>
    <xf numFmtId="3" fontId="31" fillId="13" borderId="1" xfId="0" applyNumberFormat="1" applyFont="1" applyFill="1" applyBorder="1" applyAlignment="1">
      <alignment vertical="center"/>
    </xf>
    <xf numFmtId="3" fontId="31" fillId="13" borderId="8" xfId="0" applyNumberFormat="1" applyFont="1" applyFill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60" fillId="0" borderId="0" xfId="0" applyFo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0" xfId="0" applyFont="1" applyAlignment="1">
      <alignment horizontal="center" vertical="center"/>
    </xf>
    <xf numFmtId="3" fontId="5" fillId="6" borderId="1" xfId="0" applyNumberFormat="1" applyFont="1" applyFill="1" applyBorder="1"/>
    <xf numFmtId="3" fontId="8" fillId="0" borderId="1" xfId="0" applyNumberFormat="1" applyFont="1" applyFill="1" applyBorder="1"/>
    <xf numFmtId="3" fontId="5" fillId="6" borderId="1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4" fontId="8" fillId="0" borderId="0" xfId="0" applyNumberFormat="1" applyFont="1" applyBorder="1"/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center" vertical="center" wrapText="1"/>
    </xf>
    <xf numFmtId="3" fontId="8" fillId="6" borderId="1" xfId="0" applyNumberFormat="1" applyFont="1" applyFill="1" applyBorder="1"/>
    <xf numFmtId="3" fontId="8" fillId="0" borderId="7" xfId="0" applyNumberFormat="1" applyFont="1" applyFill="1" applyBorder="1"/>
    <xf numFmtId="3" fontId="8" fillId="0" borderId="0" xfId="0" applyNumberFormat="1" applyFont="1" applyFill="1" applyBorder="1"/>
    <xf numFmtId="3" fontId="59" fillId="12" borderId="34" xfId="0" applyNumberFormat="1" applyFont="1" applyFill="1" applyBorder="1" applyAlignment="1">
      <alignment vertical="center"/>
    </xf>
    <xf numFmtId="3" fontId="59" fillId="12" borderId="29" xfId="0" applyNumberFormat="1" applyFont="1" applyFill="1" applyBorder="1" applyAlignment="1">
      <alignment vertical="center"/>
    </xf>
    <xf numFmtId="0" fontId="61" fillId="12" borderId="33" xfId="0" applyFont="1" applyFill="1" applyBorder="1" applyAlignment="1">
      <alignment horizontal="left" vertical="center" wrapText="1"/>
    </xf>
    <xf numFmtId="3" fontId="29" fillId="12" borderId="1" xfId="0" applyNumberFormat="1" applyFont="1" applyFill="1" applyBorder="1"/>
    <xf numFmtId="4" fontId="0" fillId="0" borderId="0" xfId="0" applyNumberFormat="1" applyFont="1"/>
    <xf numFmtId="49" fontId="18" fillId="0" borderId="6" xfId="0" applyNumberFormat="1" applyFont="1" applyBorder="1" applyAlignment="1">
      <alignment vertical="top" wrapText="1"/>
    </xf>
    <xf numFmtId="3" fontId="17" fillId="0" borderId="6" xfId="0" applyNumberFormat="1" applyFont="1" applyBorder="1" applyAlignment="1"/>
    <xf numFmtId="3" fontId="17" fillId="0" borderId="22" xfId="0" applyNumberFormat="1" applyFont="1" applyBorder="1" applyAlignment="1"/>
    <xf numFmtId="3" fontId="17" fillId="0" borderId="23" xfId="0" applyNumberFormat="1" applyFont="1" applyBorder="1" applyAlignment="1"/>
    <xf numFmtId="0" fontId="45" fillId="0" borderId="0" xfId="0" applyFont="1"/>
    <xf numFmtId="0" fontId="46" fillId="0" borderId="0" xfId="0" applyFont="1" applyAlignment="1">
      <alignment vertical="center"/>
    </xf>
    <xf numFmtId="0" fontId="47" fillId="10" borderId="5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10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2" fillId="0" borderId="36" xfId="0" applyFont="1" applyFill="1" applyBorder="1"/>
    <xf numFmtId="4" fontId="62" fillId="0" borderId="36" xfId="0" applyNumberFormat="1" applyFont="1" applyFill="1" applyBorder="1"/>
    <xf numFmtId="0" fontId="18" fillId="9" borderId="0" xfId="0" applyFont="1" applyFill="1"/>
    <xf numFmtId="0" fontId="10" fillId="11" borderId="62" xfId="0" applyFont="1" applyFill="1" applyBorder="1" applyAlignment="1">
      <alignment horizontal="center"/>
    </xf>
    <xf numFmtId="3" fontId="17" fillId="11" borderId="9" xfId="0" applyNumberFormat="1" applyFont="1" applyFill="1" applyBorder="1" applyAlignment="1">
      <alignment horizontal="right"/>
    </xf>
    <xf numFmtId="3" fontId="17" fillId="11" borderId="18" xfId="0" applyNumberFormat="1" applyFont="1" applyFill="1" applyBorder="1" applyAlignment="1">
      <alignment horizontal="right"/>
    </xf>
    <xf numFmtId="3" fontId="12" fillId="11" borderId="18" xfId="0" applyNumberFormat="1" applyFont="1" applyFill="1" applyBorder="1" applyAlignment="1">
      <alignment horizontal="right"/>
    </xf>
    <xf numFmtId="3" fontId="17" fillId="11" borderId="63" xfId="0" applyNumberFormat="1" applyFont="1" applyFill="1" applyBorder="1" applyAlignment="1">
      <alignment horizontal="right"/>
    </xf>
    <xf numFmtId="10" fontId="12" fillId="11" borderId="18" xfId="0" applyNumberFormat="1" applyFont="1" applyFill="1" applyBorder="1" applyAlignment="1">
      <alignment horizontal="right"/>
    </xf>
    <xf numFmtId="3" fontId="12" fillId="11" borderId="63" xfId="0" applyNumberFormat="1" applyFont="1" applyFill="1" applyBorder="1" applyAlignment="1">
      <alignment horizontal="right"/>
    </xf>
    <xf numFmtId="10" fontId="12" fillId="11" borderId="64" xfId="0" applyNumberFormat="1" applyFont="1" applyFill="1" applyBorder="1" applyAlignment="1">
      <alignment horizontal="right"/>
    </xf>
    <xf numFmtId="3" fontId="17" fillId="0" borderId="65" xfId="0" applyNumberFormat="1" applyFont="1" applyFill="1" applyBorder="1" applyAlignment="1">
      <alignment horizontal="right"/>
    </xf>
    <xf numFmtId="3" fontId="17" fillId="9" borderId="1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3" fontId="17" fillId="9" borderId="20" xfId="0" applyNumberFormat="1" applyFont="1" applyFill="1" applyBorder="1" applyAlignment="1">
      <alignment horizontal="right"/>
    </xf>
    <xf numFmtId="3" fontId="12" fillId="9" borderId="20" xfId="0" applyNumberFormat="1" applyFont="1" applyFill="1" applyBorder="1" applyAlignment="1">
      <alignment horizontal="right"/>
    </xf>
    <xf numFmtId="3" fontId="17" fillId="0" borderId="39" xfId="0" applyNumberFormat="1" applyFont="1" applyFill="1" applyBorder="1" applyAlignment="1">
      <alignment horizontal="right"/>
    </xf>
    <xf numFmtId="3" fontId="17" fillId="9" borderId="39" xfId="0" applyNumberFormat="1" applyFont="1" applyFill="1" applyBorder="1" applyAlignment="1">
      <alignment horizontal="right"/>
    </xf>
    <xf numFmtId="10" fontId="12" fillId="0" borderId="20" xfId="0" applyNumberFormat="1" applyFont="1" applyFill="1" applyBorder="1" applyAlignment="1">
      <alignment horizontal="right"/>
    </xf>
    <xf numFmtId="10" fontId="12" fillId="9" borderId="20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3" fontId="12" fillId="9" borderId="39" xfId="0" applyNumberFormat="1" applyFont="1" applyFill="1" applyBorder="1" applyAlignment="1">
      <alignment horizontal="right"/>
    </xf>
    <xf numFmtId="10" fontId="12" fillId="0" borderId="44" xfId="0" applyNumberFormat="1" applyFont="1" applyFill="1" applyBorder="1" applyAlignment="1">
      <alignment horizontal="right"/>
    </xf>
    <xf numFmtId="10" fontId="12" fillId="9" borderId="44" xfId="0" applyNumberFormat="1" applyFont="1" applyFill="1" applyBorder="1" applyAlignment="1">
      <alignment horizontal="right"/>
    </xf>
    <xf numFmtId="0" fontId="8" fillId="0" borderId="2" xfId="0" applyFont="1" applyBorder="1" applyAlignment="1"/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53" fillId="3" borderId="30" xfId="0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vertical="center"/>
    </xf>
    <xf numFmtId="0" fontId="53" fillId="3" borderId="32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/>
    </xf>
    <xf numFmtId="0" fontId="55" fillId="3" borderId="12" xfId="0" applyFont="1" applyFill="1" applyBorder="1" applyAlignment="1">
      <alignment horizontal="left" vertical="center"/>
    </xf>
    <xf numFmtId="3" fontId="55" fillId="3" borderId="16" xfId="0" applyNumberFormat="1" applyFont="1" applyFill="1" applyBorder="1" applyAlignment="1">
      <alignment horizontal="right" vertical="center"/>
    </xf>
    <xf numFmtId="0" fontId="64" fillId="9" borderId="1" xfId="0" applyFont="1" applyFill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55" fillId="3" borderId="40" xfId="0" applyFont="1" applyFill="1" applyBorder="1" applyAlignment="1">
      <alignment vertical="center"/>
    </xf>
    <xf numFmtId="3" fontId="44" fillId="9" borderId="8" xfId="0" applyNumberFormat="1" applyFont="1" applyFill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justify" vertical="center"/>
    </xf>
    <xf numFmtId="0" fontId="41" fillId="0" borderId="1" xfId="0" applyFont="1" applyFill="1" applyBorder="1" applyAlignment="1">
      <alignment vertical="center"/>
    </xf>
    <xf numFmtId="0" fontId="44" fillId="4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left" vertical="center"/>
    </xf>
    <xf numFmtId="49" fontId="56" fillId="3" borderId="32" xfId="0" applyNumberFormat="1" applyFont="1" applyFill="1" applyBorder="1" applyAlignment="1">
      <alignment horizontal="center"/>
    </xf>
    <xf numFmtId="49" fontId="56" fillId="3" borderId="8" xfId="0" applyNumberFormat="1" applyFont="1" applyFill="1" applyBorder="1" applyAlignment="1">
      <alignment horizontal="center"/>
    </xf>
    <xf numFmtId="0" fontId="57" fillId="3" borderId="12" xfId="0" applyFont="1" applyFill="1" applyBorder="1" applyAlignment="1">
      <alignment horizontal="justify" vertical="center" wrapText="1"/>
    </xf>
    <xf numFmtId="4" fontId="57" fillId="3" borderId="14" xfId="0" applyNumberFormat="1" applyFont="1" applyFill="1" applyBorder="1" applyAlignment="1">
      <alignment horizontal="right" vertical="center" wrapText="1"/>
    </xf>
    <xf numFmtId="4" fontId="57" fillId="3" borderId="15" xfId="0" applyNumberFormat="1" applyFont="1" applyFill="1" applyBorder="1" applyAlignment="1">
      <alignment vertical="center"/>
    </xf>
    <xf numFmtId="4" fontId="57" fillId="3" borderId="16" xfId="0" applyNumberFormat="1" applyFont="1" applyFill="1" applyBorder="1" applyAlignment="1">
      <alignment vertical="center"/>
    </xf>
    <xf numFmtId="0" fontId="56" fillId="2" borderId="5" xfId="0" applyFont="1" applyFill="1" applyBorder="1" applyAlignment="1">
      <alignment horizontal="justify" vertical="top" wrapText="1"/>
    </xf>
    <xf numFmtId="4" fontId="41" fillId="0" borderId="4" xfId="0" applyNumberFormat="1" applyFont="1" applyFill="1" applyBorder="1" applyAlignment="1">
      <alignment horizontal="right" vertical="top" wrapText="1"/>
    </xf>
    <xf numFmtId="4" fontId="41" fillId="0" borderId="8" xfId="0" applyNumberFormat="1" applyFont="1" applyBorder="1"/>
    <xf numFmtId="0" fontId="56" fillId="2" borderId="6" xfId="0" applyFont="1" applyFill="1" applyBorder="1" applyAlignment="1">
      <alignment horizontal="justify" vertical="top" wrapText="1"/>
    </xf>
    <xf numFmtId="4" fontId="41" fillId="0" borderId="23" xfId="0" applyNumberFormat="1" applyFont="1" applyFill="1" applyBorder="1" applyAlignment="1">
      <alignment horizontal="right" vertical="top" wrapText="1"/>
    </xf>
    <xf numFmtId="4" fontId="41" fillId="0" borderId="26" xfId="0" applyNumberFormat="1" applyFont="1" applyBorder="1"/>
    <xf numFmtId="0" fontId="56" fillId="2" borderId="5" xfId="0" applyFont="1" applyFill="1" applyBorder="1" applyAlignment="1">
      <alignment horizontal="justify" vertical="center" wrapText="1"/>
    </xf>
    <xf numFmtId="4" fontId="41" fillId="0" borderId="4" xfId="0" applyNumberFormat="1" applyFont="1" applyFill="1" applyBorder="1" applyAlignment="1">
      <alignment horizontal="right" vertical="center" wrapText="1"/>
    </xf>
    <xf numFmtId="4" fontId="41" fillId="0" borderId="8" xfId="0" applyNumberFormat="1" applyFont="1" applyBorder="1" applyAlignment="1">
      <alignment vertical="center"/>
    </xf>
    <xf numFmtId="3" fontId="5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0" fontId="10" fillId="14" borderId="5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3" fontId="10" fillId="14" borderId="1" xfId="0" applyNumberFormat="1" applyFont="1" applyFill="1" applyBorder="1" applyAlignment="1">
      <alignment horizontal="right" vertical="center"/>
    </xf>
    <xf numFmtId="3" fontId="10" fillId="14" borderId="8" xfId="0" applyNumberFormat="1" applyFont="1" applyFill="1" applyBorder="1" applyAlignment="1">
      <alignment horizontal="right" vertical="center"/>
    </xf>
    <xf numFmtId="0" fontId="44" fillId="0" borderId="5" xfId="0" applyFont="1" applyFill="1" applyBorder="1" applyAlignment="1">
      <alignment horizontal="center"/>
    </xf>
    <xf numFmtId="0" fontId="44" fillId="0" borderId="1" xfId="0" applyFont="1" applyFill="1" applyBorder="1"/>
    <xf numFmtId="0" fontId="44" fillId="0" borderId="5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vertical="center"/>
    </xf>
    <xf numFmtId="0" fontId="44" fillId="0" borderId="22" xfId="0" applyFont="1" applyFill="1" applyBorder="1"/>
    <xf numFmtId="0" fontId="44" fillId="0" borderId="22" xfId="0" applyFont="1" applyFill="1" applyBorder="1" applyAlignment="1">
      <alignment vertical="center"/>
    </xf>
    <xf numFmtId="0" fontId="2" fillId="3" borderId="12" xfId="0" applyFont="1" applyFill="1" applyBorder="1"/>
    <xf numFmtId="0" fontId="2" fillId="3" borderId="15" xfId="0" applyFont="1" applyFill="1" applyBorder="1"/>
    <xf numFmtId="3" fontId="1" fillId="0" borderId="26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44" fillId="0" borderId="22" xfId="0" applyFont="1" applyFill="1" applyBorder="1" applyAlignment="1">
      <alignment vertical="center" wrapText="1"/>
    </xf>
    <xf numFmtId="4" fontId="63" fillId="13" borderId="3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63" xfId="0" applyBorder="1" applyAlignment="1">
      <alignment vertical="center"/>
    </xf>
    <xf numFmtId="0" fontId="66" fillId="0" borderId="0" xfId="0" applyFont="1" applyAlignment="1">
      <alignment vertical="center"/>
    </xf>
    <xf numFmtId="0" fontId="55" fillId="3" borderId="3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0" fillId="0" borderId="0" xfId="2" applyFont="1" applyAlignment="1">
      <alignment horizontal="right"/>
    </xf>
    <xf numFmtId="0" fontId="40" fillId="0" borderId="0" xfId="2" applyFont="1"/>
    <xf numFmtId="0" fontId="18" fillId="0" borderId="0" xfId="2" applyFont="1"/>
    <xf numFmtId="0" fontId="8" fillId="0" borderId="0" xfId="2" applyFont="1"/>
    <xf numFmtId="0" fontId="71" fillId="0" borderId="0" xfId="2" applyFont="1" applyBorder="1" applyAlignment="1">
      <alignment horizontal="center"/>
    </xf>
    <xf numFmtId="0" fontId="72" fillId="0" borderId="0" xfId="2" applyFont="1"/>
    <xf numFmtId="0" fontId="73" fillId="0" borderId="0" xfId="2" applyFont="1"/>
    <xf numFmtId="0" fontId="26" fillId="0" borderId="0" xfId="2" applyFont="1" applyBorder="1" applyAlignment="1">
      <alignment horizontal="center"/>
    </xf>
    <xf numFmtId="0" fontId="26" fillId="7" borderId="51" xfId="2" applyFont="1" applyFill="1" applyBorder="1" applyAlignment="1">
      <alignment horizontal="left"/>
    </xf>
    <xf numFmtId="3" fontId="26" fillId="7" borderId="52" xfId="2" applyNumberFormat="1" applyFont="1" applyFill="1" applyBorder="1" applyAlignment="1">
      <alignment horizontal="center"/>
    </xf>
    <xf numFmtId="3" fontId="26" fillId="8" borderId="52" xfId="2" applyNumberFormat="1" applyFont="1" applyFill="1" applyBorder="1" applyAlignment="1">
      <alignment horizontal="right"/>
    </xf>
    <xf numFmtId="3" fontId="18" fillId="0" borderId="52" xfId="2" applyNumberFormat="1" applyFont="1" applyBorder="1" applyAlignment="1">
      <alignment horizontal="right"/>
    </xf>
    <xf numFmtId="3" fontId="18" fillId="0" borderId="53" xfId="2" applyNumberFormat="1" applyFont="1" applyBorder="1" applyAlignment="1">
      <alignment horizontal="right"/>
    </xf>
    <xf numFmtId="3" fontId="26" fillId="7" borderId="54" xfId="2" applyNumberFormat="1" applyFont="1" applyFill="1" applyBorder="1" applyAlignment="1">
      <alignment horizontal="right"/>
    </xf>
    <xf numFmtId="3" fontId="26" fillId="8" borderId="56" xfId="2" applyNumberFormat="1" applyFont="1" applyFill="1" applyBorder="1" applyAlignment="1">
      <alignment horizontal="right"/>
    </xf>
    <xf numFmtId="3" fontId="26" fillId="7" borderId="84" xfId="2" applyNumberFormat="1" applyFont="1" applyFill="1" applyBorder="1" applyAlignment="1">
      <alignment horizontal="center"/>
    </xf>
    <xf numFmtId="3" fontId="26" fillId="8" borderId="1" xfId="2" applyNumberFormat="1" applyFont="1" applyFill="1" applyBorder="1" applyAlignment="1">
      <alignment horizontal="right"/>
    </xf>
    <xf numFmtId="3" fontId="26" fillId="8" borderId="85" xfId="2" applyNumberFormat="1" applyFont="1" applyFill="1" applyBorder="1" applyAlignment="1">
      <alignment horizontal="right"/>
    </xf>
    <xf numFmtId="0" fontId="26" fillId="7" borderId="55" xfId="2" applyFont="1" applyFill="1" applyBorder="1" applyAlignment="1">
      <alignment horizontal="left"/>
    </xf>
    <xf numFmtId="3" fontId="26" fillId="7" borderId="56" xfId="2" applyNumberFormat="1" applyFont="1" applyFill="1" applyBorder="1" applyAlignment="1">
      <alignment horizontal="center"/>
    </xf>
    <xf numFmtId="3" fontId="18" fillId="0" borderId="56" xfId="2" applyNumberFormat="1" applyFont="1" applyBorder="1" applyAlignment="1">
      <alignment horizontal="right"/>
    </xf>
    <xf numFmtId="3" fontId="18" fillId="0" borderId="57" xfId="2" applyNumberFormat="1" applyFont="1" applyBorder="1" applyAlignment="1">
      <alignment horizontal="right"/>
    </xf>
    <xf numFmtId="3" fontId="26" fillId="7" borderId="66" xfId="2" applyNumberFormat="1" applyFont="1" applyFill="1" applyBorder="1" applyAlignment="1">
      <alignment horizontal="right"/>
    </xf>
    <xf numFmtId="0" fontId="26" fillId="7" borderId="86" xfId="2" applyFont="1" applyFill="1" applyBorder="1" applyAlignment="1">
      <alignment horizontal="center" vertical="center"/>
    </xf>
    <xf numFmtId="3" fontId="26" fillId="7" borderId="87" xfId="2" applyNumberFormat="1" applyFont="1" applyFill="1" applyBorder="1" applyAlignment="1">
      <alignment horizontal="center" vertical="center"/>
    </xf>
    <xf numFmtId="3" fontId="26" fillId="7" borderId="87" xfId="2" applyNumberFormat="1" applyFont="1" applyFill="1" applyBorder="1" applyAlignment="1">
      <alignment horizontal="right" vertical="center"/>
    </xf>
    <xf numFmtId="3" fontId="26" fillId="7" borderId="88" xfId="2" applyNumberFormat="1" applyFont="1" applyFill="1" applyBorder="1" applyAlignment="1">
      <alignment horizontal="right" vertical="center"/>
    </xf>
    <xf numFmtId="3" fontId="26" fillId="7" borderId="89" xfId="2" applyNumberFormat="1" applyFont="1" applyFill="1" applyBorder="1" applyAlignment="1">
      <alignment horizontal="right" vertical="center"/>
    </xf>
    <xf numFmtId="3" fontId="8" fillId="0" borderId="0" xfId="2" applyNumberFormat="1" applyFont="1"/>
    <xf numFmtId="0" fontId="18" fillId="0" borderId="0" xfId="2" applyFont="1" applyAlignment="1">
      <alignment horizontal="right"/>
    </xf>
    <xf numFmtId="3" fontId="18" fillId="8" borderId="52" xfId="2" applyNumberFormat="1" applyFont="1" applyFill="1" applyBorder="1" applyAlignment="1">
      <alignment horizontal="right"/>
    </xf>
    <xf numFmtId="3" fontId="18" fillId="8" borderId="56" xfId="2" applyNumberFormat="1" applyFont="1" applyFill="1" applyBorder="1" applyAlignment="1">
      <alignment horizontal="right"/>
    </xf>
    <xf numFmtId="0" fontId="26" fillId="0" borderId="0" xfId="2" applyFont="1" applyFill="1" applyBorder="1" applyAlignment="1">
      <alignment horizontal="center" vertical="center"/>
    </xf>
    <xf numFmtId="3" fontId="26" fillId="0" borderId="0" xfId="2" applyNumberFormat="1" applyFont="1" applyFill="1" applyBorder="1" applyAlignment="1">
      <alignment horizontal="right" vertical="center"/>
    </xf>
    <xf numFmtId="0" fontId="8" fillId="0" borderId="0" xfId="2" applyFont="1" applyFill="1"/>
    <xf numFmtId="0" fontId="26" fillId="7" borderId="67" xfId="2" applyFont="1" applyFill="1" applyBorder="1" applyAlignment="1">
      <alignment horizontal="left"/>
    </xf>
    <xf numFmtId="3" fontId="18" fillId="0" borderId="68" xfId="2" applyNumberFormat="1" applyFont="1" applyBorder="1" applyAlignment="1">
      <alignment horizontal="right"/>
    </xf>
    <xf numFmtId="3" fontId="18" fillId="0" borderId="69" xfId="2" applyNumberFormat="1" applyFont="1" applyBorder="1" applyAlignment="1">
      <alignment horizontal="right"/>
    </xf>
    <xf numFmtId="3" fontId="26" fillId="7" borderId="70" xfId="2" applyNumberFormat="1" applyFont="1" applyFill="1" applyBorder="1" applyAlignment="1">
      <alignment horizontal="right"/>
    </xf>
    <xf numFmtId="0" fontId="26" fillId="7" borderId="58" xfId="2" applyFont="1" applyFill="1" applyBorder="1" applyAlignment="1">
      <alignment horizontal="center" vertical="center"/>
    </xf>
    <xf numFmtId="3" fontId="26" fillId="7" borderId="59" xfId="2" applyNumberFormat="1" applyFont="1" applyFill="1" applyBorder="1" applyAlignment="1">
      <alignment horizontal="right"/>
    </xf>
    <xf numFmtId="3" fontId="26" fillId="7" borderId="60" xfId="2" applyNumberFormat="1" applyFont="1" applyFill="1" applyBorder="1" applyAlignment="1">
      <alignment horizontal="right"/>
    </xf>
    <xf numFmtId="3" fontId="26" fillId="7" borderId="60" xfId="2" applyNumberFormat="1" applyFont="1" applyFill="1" applyBorder="1" applyAlignment="1">
      <alignment horizontal="right" vertical="center"/>
    </xf>
    <xf numFmtId="3" fontId="26" fillId="7" borderId="61" xfId="2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/>
    <xf numFmtId="4" fontId="8" fillId="0" borderId="1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0" fontId="5" fillId="0" borderId="0" xfId="0" applyFont="1"/>
    <xf numFmtId="0" fontId="8" fillId="0" borderId="1" xfId="0" applyFont="1" applyBorder="1" applyAlignment="1">
      <alignment horizontal="left" vertical="center" wrapText="1"/>
    </xf>
    <xf numFmtId="0" fontId="47" fillId="10" borderId="22" xfId="0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/>
    </xf>
    <xf numFmtId="49" fontId="45" fillId="0" borderId="1" xfId="0" applyNumberFormat="1" applyFont="1" applyFill="1" applyBorder="1" applyAlignment="1">
      <alignment horizontal="center"/>
    </xf>
    <xf numFmtId="49" fontId="45" fillId="0" borderId="82" xfId="0" applyNumberFormat="1" applyFont="1" applyFill="1" applyBorder="1" applyAlignment="1">
      <alignment horizontal="center"/>
    </xf>
    <xf numFmtId="49" fontId="45" fillId="0" borderId="91" xfId="0" applyNumberFormat="1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4" fontId="45" fillId="0" borderId="65" xfId="0" applyNumberFormat="1" applyFont="1" applyFill="1" applyBorder="1" applyAlignment="1">
      <alignment horizontal="center"/>
    </xf>
    <xf numFmtId="49" fontId="45" fillId="0" borderId="93" xfId="0" applyNumberFormat="1" applyFont="1" applyFill="1" applyBorder="1" applyAlignment="1">
      <alignment horizontal="center"/>
    </xf>
    <xf numFmtId="164" fontId="45" fillId="0" borderId="25" xfId="0" applyNumberFormat="1" applyFont="1" applyFill="1" applyBorder="1" applyAlignment="1">
      <alignment horizontal="center"/>
    </xf>
    <xf numFmtId="4" fontId="45" fillId="0" borderId="25" xfId="0" applyNumberFormat="1" applyFont="1" applyFill="1" applyBorder="1" applyAlignment="1">
      <alignment horizontal="center"/>
    </xf>
    <xf numFmtId="49" fontId="45" fillId="0" borderId="45" xfId="0" applyNumberFormat="1" applyFont="1" applyFill="1" applyBorder="1" applyAlignment="1">
      <alignment horizontal="center"/>
    </xf>
    <xf numFmtId="49" fontId="45" fillId="0" borderId="20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4" fontId="45" fillId="0" borderId="3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41" fillId="0" borderId="5" xfId="0" applyFont="1" applyBorder="1" applyAlignment="1">
      <alignment horizontal="center" vertical="center"/>
    </xf>
    <xf numFmtId="0" fontId="64" fillId="0" borderId="1" xfId="0" applyFont="1" applyBorder="1" applyAlignment="1">
      <alignment vertical="center"/>
    </xf>
    <xf numFmtId="0" fontId="74" fillId="0" borderId="0" xfId="0" applyFont="1"/>
    <xf numFmtId="0" fontId="10" fillId="4" borderId="3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41" fillId="0" borderId="1" xfId="0" applyFont="1" applyBorder="1" applyAlignment="1"/>
    <xf numFmtId="0" fontId="41" fillId="0" borderId="2" xfId="0" applyFont="1" applyBorder="1" applyAlignment="1"/>
    <xf numFmtId="0" fontId="41" fillId="0" borderId="0" xfId="0" applyFont="1"/>
    <xf numFmtId="0" fontId="41" fillId="0" borderId="2" xfId="0" applyFont="1" applyFill="1" applyBorder="1" applyAlignment="1"/>
    <xf numFmtId="0" fontId="41" fillId="0" borderId="1" xfId="0" applyFont="1" applyFill="1" applyBorder="1" applyAlignment="1"/>
    <xf numFmtId="0" fontId="3" fillId="0" borderId="0" xfId="0" applyFont="1" applyBorder="1" applyAlignment="1">
      <alignment horizontal="center" vertical="center"/>
    </xf>
    <xf numFmtId="4" fontId="0" fillId="0" borderId="0" xfId="0" applyNumberFormat="1"/>
    <xf numFmtId="0" fontId="64" fillId="0" borderId="1" xfId="0" applyFont="1" applyBorder="1"/>
    <xf numFmtId="3" fontId="30" fillId="0" borderId="8" xfId="0" applyNumberFormat="1" applyFont="1" applyFill="1" applyBorder="1" applyAlignment="1">
      <alignment horizontal="right" vertical="center"/>
    </xf>
    <xf numFmtId="3" fontId="31" fillId="3" borderId="8" xfId="0" applyNumberFormat="1" applyFont="1" applyFill="1" applyBorder="1" applyAlignment="1">
      <alignment horizontal="right" vertical="center"/>
    </xf>
    <xf numFmtId="3" fontId="30" fillId="0" borderId="26" xfId="0" applyNumberFormat="1" applyFont="1" applyFill="1" applyBorder="1" applyAlignment="1">
      <alignment horizontal="right" vertical="center"/>
    </xf>
    <xf numFmtId="3" fontId="8" fillId="9" borderId="0" xfId="0" applyNumberFormat="1" applyFont="1" applyFill="1"/>
    <xf numFmtId="0" fontId="8" fillId="9" borderId="0" xfId="0" applyFont="1" applyFill="1"/>
    <xf numFmtId="4" fontId="63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64" fillId="0" borderId="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3" fontId="17" fillId="9" borderId="9" xfId="0" applyNumberFormat="1" applyFont="1" applyFill="1" applyBorder="1" applyAlignment="1">
      <alignment horizontal="right"/>
    </xf>
    <xf numFmtId="3" fontId="17" fillId="9" borderId="18" xfId="0" applyNumberFormat="1" applyFont="1" applyFill="1" applyBorder="1" applyAlignment="1">
      <alignment horizontal="right"/>
    </xf>
    <xf numFmtId="3" fontId="12" fillId="9" borderId="18" xfId="0" applyNumberFormat="1" applyFont="1" applyFill="1" applyBorder="1" applyAlignment="1">
      <alignment horizontal="right"/>
    </xf>
    <xf numFmtId="3" fontId="17" fillId="9" borderId="63" xfId="0" applyNumberFormat="1" applyFont="1" applyFill="1" applyBorder="1" applyAlignment="1">
      <alignment horizontal="right"/>
    </xf>
    <xf numFmtId="10" fontId="12" fillId="9" borderId="18" xfId="0" applyNumberFormat="1" applyFont="1" applyFill="1" applyBorder="1" applyAlignment="1">
      <alignment horizontal="right"/>
    </xf>
    <xf numFmtId="3" fontId="12" fillId="9" borderId="63" xfId="0" applyNumberFormat="1" applyFont="1" applyFill="1" applyBorder="1" applyAlignment="1">
      <alignment horizontal="right"/>
    </xf>
    <xf numFmtId="10" fontId="12" fillId="9" borderId="64" xfId="0" applyNumberFormat="1" applyFont="1" applyFill="1" applyBorder="1" applyAlignment="1">
      <alignment horizontal="right"/>
    </xf>
    <xf numFmtId="4" fontId="45" fillId="0" borderId="34" xfId="0" applyNumberFormat="1" applyFont="1" applyFill="1" applyBorder="1" applyAlignment="1">
      <alignment horizontal="center" vertical="center"/>
    </xf>
    <xf numFmtId="3" fontId="44" fillId="9" borderId="1" xfId="0" applyNumberFormat="1" applyFont="1" applyFill="1" applyBorder="1"/>
    <xf numFmtId="3" fontId="44" fillId="9" borderId="1" xfId="0" applyNumberFormat="1" applyFont="1" applyFill="1" applyBorder="1" applyAlignment="1">
      <alignment vertical="center"/>
    </xf>
    <xf numFmtId="3" fontId="44" fillId="9" borderId="1" xfId="0" applyNumberFormat="1" applyFont="1" applyFill="1" applyBorder="1" applyAlignment="1">
      <alignment vertical="center" wrapText="1"/>
    </xf>
    <xf numFmtId="3" fontId="44" fillId="9" borderId="22" xfId="0" applyNumberFormat="1" applyFont="1" applyFill="1" applyBorder="1"/>
    <xf numFmtId="0" fontId="43" fillId="7" borderId="85" xfId="2" applyFont="1" applyFill="1" applyBorder="1" applyAlignment="1">
      <alignment horizontal="center" vertical="center" wrapText="1"/>
    </xf>
    <xf numFmtId="0" fontId="43" fillId="7" borderId="95" xfId="2" applyFont="1" applyFill="1" applyBorder="1" applyAlignment="1">
      <alignment horizontal="center" vertical="center" wrapText="1"/>
    </xf>
    <xf numFmtId="3" fontId="44" fillId="17" borderId="52" xfId="2" applyNumberFormat="1" applyFont="1" applyFill="1" applyBorder="1" applyAlignment="1">
      <alignment horizontal="center"/>
    </xf>
    <xf numFmtId="4" fontId="44" fillId="18" borderId="52" xfId="2" applyNumberFormat="1" applyFont="1" applyFill="1" applyBorder="1" applyAlignment="1">
      <alignment horizontal="center" vertical="center"/>
    </xf>
    <xf numFmtId="4" fontId="44" fillId="18" borderId="56" xfId="2" applyNumberFormat="1" applyFont="1" applyFill="1" applyBorder="1" applyAlignment="1">
      <alignment horizontal="center" vertical="center"/>
    </xf>
    <xf numFmtId="3" fontId="44" fillId="17" borderId="84" xfId="2" applyNumberFormat="1" applyFont="1" applyFill="1" applyBorder="1" applyAlignment="1">
      <alignment horizontal="center"/>
    </xf>
    <xf numFmtId="4" fontId="44" fillId="18" borderId="1" xfId="2" applyNumberFormat="1" applyFont="1" applyFill="1" applyBorder="1" applyAlignment="1">
      <alignment horizontal="center" vertical="center"/>
    </xf>
    <xf numFmtId="4" fontId="44" fillId="18" borderId="85" xfId="2" applyNumberFormat="1" applyFont="1" applyFill="1" applyBorder="1" applyAlignment="1">
      <alignment horizontal="center" vertical="center"/>
    </xf>
    <xf numFmtId="0" fontId="43" fillId="7" borderId="86" xfId="2" applyFont="1" applyFill="1" applyBorder="1" applyAlignment="1">
      <alignment horizontal="center" vertical="center"/>
    </xf>
    <xf numFmtId="3" fontId="43" fillId="7" borderId="87" xfId="2" applyNumberFormat="1" applyFont="1" applyFill="1" applyBorder="1" applyAlignment="1">
      <alignment horizontal="center" vertical="center"/>
    </xf>
    <xf numFmtId="4" fontId="43" fillId="7" borderId="87" xfId="2" applyNumberFormat="1" applyFont="1" applyFill="1" applyBorder="1" applyAlignment="1">
      <alignment horizontal="center" vertical="center"/>
    </xf>
    <xf numFmtId="3" fontId="44" fillId="9" borderId="52" xfId="2" applyNumberFormat="1" applyFont="1" applyFill="1" applyBorder="1" applyAlignment="1">
      <alignment horizontal="center"/>
    </xf>
    <xf numFmtId="3" fontId="43" fillId="7" borderId="88" xfId="2" applyNumberFormat="1" applyFont="1" applyFill="1" applyBorder="1" applyAlignment="1">
      <alignment horizontal="center" vertical="center"/>
    </xf>
    <xf numFmtId="4" fontId="44" fillId="9" borderId="53" xfId="2" applyNumberFormat="1" applyFont="1" applyFill="1" applyBorder="1" applyAlignment="1">
      <alignment horizontal="center"/>
    </xf>
    <xf numFmtId="4" fontId="43" fillId="7" borderId="88" xfId="2" applyNumberFormat="1" applyFont="1" applyFill="1" applyBorder="1" applyAlignment="1">
      <alignment horizontal="center" vertical="center"/>
    </xf>
    <xf numFmtId="3" fontId="44" fillId="19" borderId="52" xfId="2" applyNumberFormat="1" applyFont="1" applyFill="1" applyBorder="1" applyAlignment="1">
      <alignment horizontal="center"/>
    </xf>
    <xf numFmtId="0" fontId="43" fillId="20" borderId="51" xfId="2" applyFont="1" applyFill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14" fontId="45" fillId="0" borderId="1" xfId="0" applyNumberFormat="1" applyFont="1" applyBorder="1" applyAlignment="1">
      <alignment horizontal="center"/>
    </xf>
    <xf numFmtId="4" fontId="45" fillId="0" borderId="1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65" fontId="45" fillId="0" borderId="22" xfId="0" applyNumberFormat="1" applyFont="1" applyBorder="1" applyAlignment="1">
      <alignment horizontal="center"/>
    </xf>
    <xf numFmtId="14" fontId="45" fillId="0" borderId="34" xfId="0" applyNumberFormat="1" applyFont="1" applyBorder="1" applyAlignment="1">
      <alignment horizontal="center"/>
    </xf>
    <xf numFmtId="166" fontId="45" fillId="0" borderId="34" xfId="0" applyNumberFormat="1" applyFont="1" applyBorder="1" applyAlignment="1">
      <alignment horizontal="center"/>
    </xf>
    <xf numFmtId="164" fontId="45" fillId="0" borderId="34" xfId="0" applyNumberFormat="1" applyFont="1" applyBorder="1" applyAlignment="1">
      <alignment horizontal="center"/>
    </xf>
    <xf numFmtId="14" fontId="45" fillId="0" borderId="22" xfId="0" applyNumberFormat="1" applyFont="1" applyFill="1" applyBorder="1" applyAlignment="1">
      <alignment horizontal="center"/>
    </xf>
    <xf numFmtId="49" fontId="45" fillId="0" borderId="22" xfId="0" applyNumberFormat="1" applyFont="1" applyFill="1" applyBorder="1" applyAlignment="1">
      <alignment horizontal="center"/>
    </xf>
    <xf numFmtId="4" fontId="48" fillId="0" borderId="22" xfId="0" applyNumberFormat="1" applyFont="1" applyFill="1" applyBorder="1" applyAlignment="1">
      <alignment horizontal="center"/>
    </xf>
    <xf numFmtId="165" fontId="45" fillId="0" borderId="22" xfId="0" applyNumberFormat="1" applyFont="1" applyFill="1" applyBorder="1" applyAlignment="1">
      <alignment horizontal="center"/>
    </xf>
    <xf numFmtId="4" fontId="76" fillId="0" borderId="22" xfId="0" applyNumberFormat="1" applyFont="1" applyFill="1" applyBorder="1" applyAlignment="1">
      <alignment horizontal="center"/>
    </xf>
    <xf numFmtId="14" fontId="45" fillId="0" borderId="38" xfId="0" applyNumberFormat="1" applyFont="1" applyFill="1" applyBorder="1" applyAlignment="1">
      <alignment horizontal="center"/>
    </xf>
    <xf numFmtId="49" fontId="45" fillId="0" borderId="38" xfId="0" applyNumberFormat="1" applyFont="1" applyFill="1" applyBorder="1" applyAlignment="1">
      <alignment horizontal="center"/>
    </xf>
    <xf numFmtId="4" fontId="48" fillId="0" borderId="38" xfId="0" applyNumberFormat="1" applyFont="1" applyFill="1" applyBorder="1" applyAlignment="1">
      <alignment horizontal="center"/>
    </xf>
    <xf numFmtId="14" fontId="45" fillId="0" borderId="1" xfId="0" applyNumberFormat="1" applyFont="1" applyFill="1" applyBorder="1" applyAlignment="1">
      <alignment horizontal="center"/>
    </xf>
    <xf numFmtId="14" fontId="76" fillId="0" borderId="44" xfId="0" applyNumberFormat="1" applyFont="1" applyFill="1" applyBorder="1" applyAlignment="1">
      <alignment horizontal="center"/>
    </xf>
    <xf numFmtId="164" fontId="45" fillId="0" borderId="44" xfId="0" applyNumberFormat="1" applyFont="1" applyFill="1" applyBorder="1" applyAlignment="1">
      <alignment horizontal="center"/>
    </xf>
    <xf numFmtId="4" fontId="45" fillId="0" borderId="44" xfId="0" applyNumberFormat="1" applyFont="1" applyFill="1" applyBorder="1" applyAlignment="1">
      <alignment horizontal="center"/>
    </xf>
    <xf numFmtId="14" fontId="45" fillId="0" borderId="44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14" fontId="45" fillId="0" borderId="31" xfId="0" applyNumberFormat="1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164" fontId="48" fillId="0" borderId="1" xfId="0" applyNumberFormat="1" applyFont="1" applyFill="1" applyBorder="1" applyAlignment="1">
      <alignment horizontal="center"/>
    </xf>
    <xf numFmtId="14" fontId="45" fillId="0" borderId="38" xfId="0" applyNumberFormat="1" applyFont="1" applyFill="1" applyBorder="1" applyAlignment="1">
      <alignment horizontal="center" vertical="center"/>
    </xf>
    <xf numFmtId="4" fontId="48" fillId="0" borderId="38" xfId="0" applyNumberFormat="1" applyFont="1" applyFill="1" applyBorder="1" applyAlignment="1">
      <alignment horizontal="center" vertical="center"/>
    </xf>
    <xf numFmtId="14" fontId="45" fillId="0" borderId="31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14" fontId="45" fillId="0" borderId="44" xfId="0" applyNumberFormat="1" applyFont="1" applyFill="1" applyBorder="1" applyAlignment="1">
      <alignment horizontal="center" vertical="center"/>
    </xf>
    <xf numFmtId="164" fontId="45" fillId="0" borderId="34" xfId="0" applyNumberFormat="1" applyFont="1" applyFill="1" applyBorder="1" applyAlignment="1">
      <alignment horizontal="center" vertical="center"/>
    </xf>
    <xf numFmtId="4" fontId="48" fillId="0" borderId="39" xfId="0" applyNumberFormat="1" applyFont="1" applyFill="1" applyBorder="1" applyAlignment="1">
      <alignment horizontal="center" vertical="center"/>
    </xf>
    <xf numFmtId="4" fontId="48" fillId="0" borderId="39" xfId="0" applyNumberFormat="1" applyFont="1" applyFill="1" applyBorder="1" applyAlignment="1">
      <alignment horizontal="center"/>
    </xf>
    <xf numFmtId="14" fontId="45" fillId="0" borderId="39" xfId="0" applyNumberFormat="1" applyFont="1" applyFill="1" applyBorder="1" applyAlignment="1">
      <alignment horizontal="center" vertical="center"/>
    </xf>
    <xf numFmtId="164" fontId="45" fillId="0" borderId="39" xfId="0" applyNumberFormat="1" applyFont="1" applyFill="1" applyBorder="1" applyAlignment="1">
      <alignment horizontal="center" vertical="center"/>
    </xf>
    <xf numFmtId="4" fontId="45" fillId="0" borderId="39" xfId="0" applyNumberFormat="1" applyFont="1" applyFill="1" applyBorder="1" applyAlignment="1">
      <alignment horizontal="center"/>
    </xf>
    <xf numFmtId="164" fontId="45" fillId="0" borderId="4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4" fontId="44" fillId="9" borderId="0" xfId="0" applyNumberFormat="1" applyFont="1" applyFill="1" applyBorder="1"/>
    <xf numFmtId="3" fontId="43" fillId="22" borderId="1" xfId="0" applyNumberFormat="1" applyFont="1" applyFill="1" applyBorder="1" applyAlignment="1">
      <alignment vertical="center"/>
    </xf>
    <xf numFmtId="3" fontId="67" fillId="23" borderId="15" xfId="0" applyNumberFormat="1" applyFont="1" applyFill="1" applyBorder="1" applyAlignment="1">
      <alignment vertical="center"/>
    </xf>
    <xf numFmtId="0" fontId="77" fillId="0" borderId="0" xfId="0" applyFont="1"/>
    <xf numFmtId="0" fontId="77" fillId="0" borderId="0" xfId="0" applyFont="1" applyAlignment="1">
      <alignment horizontal="right"/>
    </xf>
    <xf numFmtId="0" fontId="77" fillId="0" borderId="0" xfId="0" applyFont="1" applyFill="1" applyBorder="1" applyAlignment="1">
      <alignment horizontal="right"/>
    </xf>
    <xf numFmtId="0" fontId="78" fillId="0" borderId="0" xfId="0" applyFont="1" applyAlignment="1">
      <alignment horizontal="right" vertical="center"/>
    </xf>
    <xf numFmtId="4" fontId="44" fillId="4" borderId="1" xfId="0" applyNumberFormat="1" applyFont="1" applyFill="1" applyBorder="1" applyAlignment="1">
      <alignment vertical="center" wrapText="1"/>
    </xf>
    <xf numFmtId="3" fontId="64" fillId="9" borderId="8" xfId="0" applyNumberFormat="1" applyFont="1" applyFill="1" applyBorder="1" applyAlignment="1">
      <alignment horizontal="right" vertical="center"/>
    </xf>
    <xf numFmtId="3" fontId="41" fillId="9" borderId="8" xfId="0" applyNumberFormat="1" applyFont="1" applyFill="1" applyBorder="1" applyAlignment="1">
      <alignment horizontal="right" vertical="center"/>
    </xf>
    <xf numFmtId="3" fontId="55" fillId="3" borderId="29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26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3" fontId="43" fillId="22" borderId="8" xfId="0" applyNumberFormat="1" applyFont="1" applyFill="1" applyBorder="1" applyAlignment="1">
      <alignment vertical="center"/>
    </xf>
    <xf numFmtId="3" fontId="44" fillId="9" borderId="8" xfId="0" applyNumberFormat="1" applyFont="1" applyFill="1" applyBorder="1"/>
    <xf numFmtId="3" fontId="44" fillId="9" borderId="8" xfId="0" applyNumberFormat="1" applyFont="1" applyFill="1" applyBorder="1" applyAlignment="1">
      <alignment vertical="center"/>
    </xf>
    <xf numFmtId="3" fontId="44" fillId="9" borderId="26" xfId="0" applyNumberFormat="1" applyFont="1" applyFill="1" applyBorder="1"/>
    <xf numFmtId="3" fontId="67" fillId="23" borderId="16" xfId="0" applyNumberFormat="1" applyFont="1" applyFill="1" applyBorder="1" applyAlignment="1">
      <alignment vertical="center"/>
    </xf>
    <xf numFmtId="0" fontId="64" fillId="9" borderId="8" xfId="0" applyFont="1" applyFill="1" applyBorder="1" applyAlignment="1">
      <alignment wrapText="1"/>
    </xf>
    <xf numFmtId="3" fontId="64" fillId="9" borderId="8" xfId="0" applyNumberFormat="1" applyFont="1" applyFill="1" applyBorder="1" applyAlignment="1">
      <alignment wrapText="1"/>
    </xf>
    <xf numFmtId="0" fontId="64" fillId="9" borderId="8" xfId="0" applyFont="1" applyFill="1" applyBorder="1"/>
    <xf numFmtId="0" fontId="64" fillId="9" borderId="8" xfId="0" applyFont="1" applyFill="1" applyBorder="1" applyAlignment="1">
      <alignment vertical="center"/>
    </xf>
    <xf numFmtId="0" fontId="44" fillId="9" borderId="8" xfId="0" applyFont="1" applyFill="1" applyBorder="1" applyAlignment="1">
      <alignment vertical="center"/>
    </xf>
    <xf numFmtId="3" fontId="64" fillId="9" borderId="8" xfId="0" applyNumberFormat="1" applyFont="1" applyFill="1" applyBorder="1" applyAlignment="1">
      <alignment vertical="center"/>
    </xf>
    <xf numFmtId="3" fontId="44" fillId="9" borderId="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/>
    </xf>
    <xf numFmtId="3" fontId="10" fillId="4" borderId="36" xfId="0" applyNumberFormat="1" applyFont="1" applyFill="1" applyBorder="1" applyAlignment="1">
      <alignment horizontal="center" vertical="center" wrapText="1"/>
    </xf>
    <xf numFmtId="3" fontId="53" fillId="3" borderId="32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/>
    <xf numFmtId="3" fontId="0" fillId="0" borderId="8" xfId="0" applyNumberFormat="1" applyFill="1" applyBorder="1" applyAlignment="1"/>
    <xf numFmtId="3" fontId="9" fillId="0" borderId="0" xfId="0" applyNumberFormat="1" applyFont="1" applyFill="1"/>
    <xf numFmtId="3" fontId="44" fillId="0" borderId="8" xfId="0" applyNumberFormat="1" applyFont="1" applyFill="1" applyBorder="1" applyAlignment="1">
      <alignment vertical="center"/>
    </xf>
    <xf numFmtId="3" fontId="44" fillId="0" borderId="26" xfId="0" applyNumberFormat="1" applyFont="1" applyFill="1" applyBorder="1" applyAlignment="1">
      <alignment vertical="center" wrapText="1"/>
    </xf>
    <xf numFmtId="3" fontId="44" fillId="0" borderId="26" xfId="0" applyNumberFormat="1" applyFont="1" applyFill="1" applyBorder="1" applyAlignment="1">
      <alignment vertical="center"/>
    </xf>
    <xf numFmtId="3" fontId="2" fillId="3" borderId="15" xfId="0" applyNumberFormat="1" applyFont="1" applyFill="1" applyBorder="1"/>
    <xf numFmtId="3" fontId="77" fillId="0" borderId="0" xfId="0" applyNumberFormat="1" applyFont="1" applyAlignment="1">
      <alignment horizontal="right" textRotation="180"/>
    </xf>
    <xf numFmtId="3" fontId="64" fillId="9" borderId="8" xfId="0" applyNumberFormat="1" applyFont="1" applyFill="1" applyBorder="1" applyAlignment="1">
      <alignment horizontal="right" vertical="center" wrapText="1"/>
    </xf>
    <xf numFmtId="4" fontId="44" fillId="19" borderId="54" xfId="2" applyNumberFormat="1" applyFont="1" applyFill="1" applyBorder="1" applyAlignment="1">
      <alignment horizontal="center"/>
    </xf>
    <xf numFmtId="4" fontId="43" fillId="7" borderId="118" xfId="2" applyNumberFormat="1" applyFont="1" applyFill="1" applyBorder="1" applyAlignment="1">
      <alignment horizontal="center" vertical="center"/>
    </xf>
    <xf numFmtId="0" fontId="12" fillId="3" borderId="74" xfId="0" applyFont="1" applyFill="1" applyBorder="1" applyAlignment="1"/>
    <xf numFmtId="0" fontId="12" fillId="3" borderId="75" xfId="0" applyFont="1" applyFill="1" applyBorder="1" applyAlignment="1"/>
    <xf numFmtId="3" fontId="12" fillId="3" borderId="32" xfId="0" applyNumberFormat="1" applyFont="1" applyFill="1" applyBorder="1" applyAlignment="1"/>
    <xf numFmtId="3" fontId="1" fillId="0" borderId="8" xfId="0" applyNumberFormat="1" applyFont="1" applyBorder="1"/>
    <xf numFmtId="3" fontId="1" fillId="0" borderId="8" xfId="0" applyNumberFormat="1" applyFont="1" applyBorder="1" applyAlignment="1">
      <alignment horizontal="right" vertical="center" wrapText="1"/>
    </xf>
    <xf numFmtId="0" fontId="3" fillId="0" borderId="77" xfId="0" applyFont="1" applyBorder="1" applyAlignment="1"/>
    <xf numFmtId="0" fontId="3" fillId="0" borderId="119" xfId="0" applyFont="1" applyBorder="1" applyAlignment="1"/>
    <xf numFmtId="0" fontId="3" fillId="0" borderId="120" xfId="0" applyFont="1" applyBorder="1" applyAlignment="1"/>
    <xf numFmtId="0" fontId="5" fillId="0" borderId="0" xfId="0" applyFont="1" applyFill="1" applyBorder="1"/>
    <xf numFmtId="3" fontId="2" fillId="0" borderId="0" xfId="0" applyNumberFormat="1" applyFont="1" applyFill="1" applyBorder="1"/>
    <xf numFmtId="0" fontId="12" fillId="3" borderId="30" xfId="0" applyFont="1" applyFill="1" applyBorder="1" applyAlignment="1">
      <alignment horizontal="left" vertical="center"/>
    </xf>
    <xf numFmtId="0" fontId="51" fillId="3" borderId="3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34" fillId="3" borderId="8" xfId="0" applyNumberFormat="1" applyFont="1" applyFill="1" applyBorder="1"/>
    <xf numFmtId="3" fontId="33" fillId="0" borderId="8" xfId="0" applyNumberFormat="1" applyFont="1" applyFill="1" applyBorder="1"/>
    <xf numFmtId="3" fontId="33" fillId="3" borderId="8" xfId="0" applyNumberFormat="1" applyFont="1" applyFill="1" applyBorder="1"/>
    <xf numFmtId="0" fontId="29" fillId="0" borderId="5" xfId="0" applyFont="1" applyFill="1" applyBorder="1" applyAlignment="1">
      <alignment horizontal="left" vertical="center" wrapText="1"/>
    </xf>
    <xf numFmtId="3" fontId="33" fillId="4" borderId="8" xfId="0" applyNumberFormat="1" applyFont="1" applyFill="1" applyBorder="1"/>
    <xf numFmtId="0" fontId="10" fillId="12" borderId="5" xfId="0" applyFont="1" applyFill="1" applyBorder="1" applyAlignment="1">
      <alignment horizontal="left" vertical="center" wrapText="1"/>
    </xf>
    <xf numFmtId="3" fontId="10" fillId="12" borderId="8" xfId="0" applyNumberFormat="1" applyFont="1" applyFill="1" applyBorder="1"/>
    <xf numFmtId="0" fontId="10" fillId="12" borderId="33" xfId="0" applyFont="1" applyFill="1" applyBorder="1" applyAlignment="1">
      <alignment horizontal="left" vertical="center" wrapText="1"/>
    </xf>
    <xf numFmtId="3" fontId="10" fillId="12" borderId="34" xfId="0" applyNumberFormat="1" applyFont="1" applyFill="1" applyBorder="1"/>
    <xf numFmtId="3" fontId="10" fillId="12" borderId="29" xfId="0" applyNumberFormat="1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28" fillId="12" borderId="3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59" fillId="12" borderId="8" xfId="0" applyNumberFormat="1" applyFont="1" applyFill="1" applyBorder="1"/>
    <xf numFmtId="3" fontId="0" fillId="0" borderId="8" xfId="0" applyNumberFormat="1" applyFont="1" applyFill="1" applyBorder="1"/>
    <xf numFmtId="3" fontId="14" fillId="4" borderId="8" xfId="0" applyNumberFormat="1" applyFont="1" applyFill="1" applyBorder="1"/>
    <xf numFmtId="3" fontId="28" fillId="12" borderId="8" xfId="0" applyNumberFormat="1" applyFont="1" applyFill="1" applyBorder="1"/>
    <xf numFmtId="0" fontId="10" fillId="16" borderId="33" xfId="0" applyFont="1" applyFill="1" applyBorder="1" applyAlignment="1">
      <alignment horizontal="left" vertical="center" wrapText="1"/>
    </xf>
    <xf numFmtId="3" fontId="10" fillId="16" borderId="34" xfId="0" applyNumberFormat="1" applyFont="1" applyFill="1" applyBorder="1"/>
    <xf numFmtId="3" fontId="29" fillId="16" borderId="34" xfId="0" applyNumberFormat="1" applyFont="1" applyFill="1" applyBorder="1"/>
    <xf numFmtId="3" fontId="28" fillId="16" borderId="29" xfId="0" applyNumberFormat="1" applyFont="1" applyFill="1" applyBorder="1"/>
    <xf numFmtId="3" fontId="1" fillId="0" borderId="8" xfId="0" applyNumberFormat="1" applyFont="1" applyBorder="1" applyAlignment="1">
      <alignment vertical="center"/>
    </xf>
    <xf numFmtId="0" fontId="51" fillId="3" borderId="32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3" fontId="31" fillId="2" borderId="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3" fontId="31" fillId="0" borderId="8" xfId="0" applyNumberFormat="1" applyFont="1" applyFill="1" applyBorder="1" applyAlignment="1">
      <alignment vertical="center"/>
    </xf>
    <xf numFmtId="3" fontId="31" fillId="2" borderId="8" xfId="0" applyNumberFormat="1" applyFont="1" applyFill="1" applyBorder="1"/>
    <xf numFmtId="0" fontId="28" fillId="12" borderId="33" xfId="0" applyFont="1" applyFill="1" applyBorder="1" applyAlignment="1">
      <alignment horizontal="left" vertical="center" wrapText="1"/>
    </xf>
    <xf numFmtId="3" fontId="28" fillId="12" borderId="34" xfId="0" applyNumberFormat="1" applyFont="1" applyFill="1" applyBorder="1" applyAlignment="1">
      <alignment vertical="center"/>
    </xf>
    <xf numFmtId="3" fontId="28" fillId="12" borderId="29" xfId="0" applyNumberFormat="1" applyFont="1" applyFill="1" applyBorder="1" applyAlignment="1">
      <alignment vertical="center"/>
    </xf>
    <xf numFmtId="3" fontId="51" fillId="3" borderId="32" xfId="0" applyNumberFormat="1" applyFont="1" applyFill="1" applyBorder="1" applyAlignment="1">
      <alignment horizontal="center" vertical="center" wrapText="1"/>
    </xf>
    <xf numFmtId="3" fontId="32" fillId="3" borderId="8" xfId="0" applyNumberFormat="1" applyFont="1" applyFill="1" applyBorder="1" applyAlignment="1">
      <alignment vertical="center"/>
    </xf>
    <xf numFmtId="3" fontId="30" fillId="0" borderId="34" xfId="0" applyNumberFormat="1" applyFont="1" applyBorder="1" applyAlignment="1">
      <alignment vertical="center"/>
    </xf>
    <xf numFmtId="3" fontId="30" fillId="0" borderId="29" xfId="0" applyNumberFormat="1" applyFont="1" applyBorder="1" applyAlignment="1">
      <alignment vertical="center"/>
    </xf>
    <xf numFmtId="3" fontId="10" fillId="3" borderId="8" xfId="0" applyNumberFormat="1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 wrapText="1"/>
    </xf>
    <xf numFmtId="3" fontId="30" fillId="0" borderId="34" xfId="0" applyNumberFormat="1" applyFont="1" applyFill="1" applyBorder="1" applyAlignment="1">
      <alignment horizontal="right" vertical="center"/>
    </xf>
    <xf numFmtId="3" fontId="30" fillId="0" borderId="29" xfId="0" applyNumberFormat="1" applyFont="1" applyFill="1" applyBorder="1" applyAlignment="1">
      <alignment horizontal="right" vertical="center"/>
    </xf>
    <xf numFmtId="3" fontId="58" fillId="3" borderId="8" xfId="0" applyNumberFormat="1" applyFont="1" applyFill="1" applyBorder="1" applyAlignment="1">
      <alignment vertical="center"/>
    </xf>
    <xf numFmtId="0" fontId="30" fillId="0" borderId="0" xfId="0" applyFont="1" applyFill="1"/>
    <xf numFmtId="3" fontId="8" fillId="0" borderId="0" xfId="0" applyNumberFormat="1" applyFont="1" applyFill="1"/>
    <xf numFmtId="4" fontId="30" fillId="0" borderId="0" xfId="0" applyNumberFormat="1" applyFont="1" applyFill="1"/>
    <xf numFmtId="4" fontId="5" fillId="0" borderId="0" xfId="0" applyNumberFormat="1" applyFont="1" applyFill="1"/>
    <xf numFmtId="3" fontId="77" fillId="0" borderId="0" xfId="0" applyNumberFormat="1" applyFont="1" applyAlignment="1">
      <alignment horizontal="right"/>
    </xf>
    <xf numFmtId="4" fontId="47" fillId="10" borderId="1" xfId="0" applyNumberFormat="1" applyFont="1" applyFill="1" applyBorder="1" applyAlignment="1">
      <alignment horizontal="center" vertical="center"/>
    </xf>
    <xf numFmtId="4" fontId="47" fillId="10" borderId="22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14" fontId="45" fillId="0" borderId="22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vertical="center" wrapText="1"/>
    </xf>
    <xf numFmtId="0" fontId="60" fillId="0" borderId="0" xfId="0" applyFont="1" applyAlignment="1">
      <alignment horizontal="center" wrapText="1"/>
    </xf>
    <xf numFmtId="0" fontId="16" fillId="3" borderId="72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27" fillId="3" borderId="73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/>
    </xf>
    <xf numFmtId="0" fontId="27" fillId="3" borderId="75" xfId="0" applyFont="1" applyFill="1" applyBorder="1" applyAlignment="1">
      <alignment horizontal="center"/>
    </xf>
    <xf numFmtId="0" fontId="27" fillId="3" borderId="76" xfId="0" applyFont="1" applyFill="1" applyBorder="1" applyAlignment="1">
      <alignment horizontal="center"/>
    </xf>
    <xf numFmtId="0" fontId="68" fillId="0" borderId="0" xfId="0" applyFont="1" applyFill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3" fillId="0" borderId="7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7" xfId="0" applyFont="1" applyBorder="1" applyAlignment="1"/>
    <xf numFmtId="0" fontId="3" fillId="0" borderId="3" xfId="0" applyFont="1" applyBorder="1" applyAlignment="1"/>
    <xf numFmtId="0" fontId="3" fillId="0" borderId="7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7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3" fillId="0" borderId="4" xfId="0" applyFont="1" applyBorder="1" applyAlignment="1">
      <alignment horizontal="left" wrapText="1"/>
    </xf>
    <xf numFmtId="0" fontId="2" fillId="3" borderId="7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3" fontId="3" fillId="0" borderId="5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2" fillId="12" borderId="74" xfId="0" applyFont="1" applyFill="1" applyBorder="1" applyAlignment="1">
      <alignment vertical="center"/>
    </xf>
    <xf numFmtId="0" fontId="32" fillId="12" borderId="75" xfId="0" applyFont="1" applyFill="1" applyBorder="1" applyAlignment="1">
      <alignment vertical="center"/>
    </xf>
    <xf numFmtId="0" fontId="32" fillId="12" borderId="50" xfId="0" applyFont="1" applyFill="1" applyBorder="1" applyAlignment="1">
      <alignment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59" fillId="12" borderId="119" xfId="0" applyFont="1" applyFill="1" applyBorder="1" applyAlignment="1">
      <alignment vertical="center"/>
    </xf>
    <xf numFmtId="0" fontId="59" fillId="12" borderId="120" xfId="0" applyFont="1" applyFill="1" applyBorder="1" applyAlignment="1">
      <alignment vertical="center"/>
    </xf>
    <xf numFmtId="0" fontId="59" fillId="12" borderId="121" xfId="0" applyFont="1" applyFill="1" applyBorder="1" applyAlignment="1">
      <alignment vertical="center"/>
    </xf>
    <xf numFmtId="0" fontId="12" fillId="3" borderId="74" xfId="0" applyFont="1" applyFill="1" applyBorder="1" applyAlignment="1">
      <alignment horizontal="left"/>
    </xf>
    <xf numFmtId="0" fontId="12" fillId="3" borderId="75" xfId="0" applyFont="1" applyFill="1" applyBorder="1" applyAlignment="1">
      <alignment horizontal="left"/>
    </xf>
    <xf numFmtId="0" fontId="12" fillId="3" borderId="7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/>
    <xf numFmtId="0" fontId="26" fillId="0" borderId="0" xfId="2" applyFont="1" applyBorder="1" applyAlignment="1">
      <alignment horizontal="center"/>
    </xf>
    <xf numFmtId="0" fontId="26" fillId="7" borderId="78" xfId="2" applyFont="1" applyFill="1" applyBorder="1" applyAlignment="1">
      <alignment horizontal="center" vertical="center"/>
    </xf>
    <xf numFmtId="0" fontId="26" fillId="7" borderId="79" xfId="2" applyFont="1" applyFill="1" applyBorder="1" applyAlignment="1">
      <alignment horizontal="center" vertical="center"/>
    </xf>
    <xf numFmtId="0" fontId="26" fillId="7" borderId="79" xfId="2" applyFont="1" applyFill="1" applyBorder="1" applyAlignment="1">
      <alignment horizontal="center" vertical="center" wrapText="1"/>
    </xf>
    <xf numFmtId="0" fontId="26" fillId="7" borderId="80" xfId="2" applyFont="1" applyFill="1" applyBorder="1" applyAlignment="1">
      <alignment horizontal="left" vertical="center" wrapText="1"/>
    </xf>
    <xf numFmtId="0" fontId="72" fillId="0" borderId="0" xfId="2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67" fillId="23" borderId="81" xfId="0" applyFont="1" applyFill="1" applyBorder="1" applyAlignment="1">
      <alignment vertical="center"/>
    </xf>
    <xf numFmtId="0" fontId="67" fillId="23" borderId="41" xfId="0" applyFont="1" applyFill="1" applyBorder="1" applyAlignment="1">
      <alignment vertical="center"/>
    </xf>
    <xf numFmtId="0" fontId="67" fillId="23" borderId="14" xfId="0" applyFont="1" applyFill="1" applyBorder="1" applyAlignment="1">
      <alignment vertical="center"/>
    </xf>
    <xf numFmtId="0" fontId="63" fillId="22" borderId="5" xfId="0" applyFont="1" applyFill="1" applyBorder="1" applyAlignment="1">
      <alignment horizontal="center" vertical="center"/>
    </xf>
    <xf numFmtId="0" fontId="63" fillId="22" borderId="1" xfId="0" applyFont="1" applyFill="1" applyBorder="1" applyAlignment="1">
      <alignment horizontal="center" vertical="center"/>
    </xf>
    <xf numFmtId="0" fontId="43" fillId="22" borderId="5" xfId="0" applyFont="1" applyFill="1" applyBorder="1" applyAlignment="1">
      <alignment horizontal="center" vertical="center"/>
    </xf>
    <xf numFmtId="0" fontId="43" fillId="22" borderId="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55" fillId="3" borderId="34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55" fillId="3" borderId="15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56" fillId="3" borderId="72" xfId="0" applyFont="1" applyFill="1" applyBorder="1" applyAlignment="1">
      <alignment horizontal="center" vertical="center" wrapText="1"/>
    </xf>
    <xf numFmtId="0" fontId="56" fillId="3" borderId="17" xfId="0" applyFont="1" applyFill="1" applyBorder="1" applyAlignment="1">
      <alignment horizontal="center" vertical="center" wrapText="1"/>
    </xf>
    <xf numFmtId="4" fontId="56" fillId="3" borderId="38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 vertical="center"/>
    </xf>
    <xf numFmtId="14" fontId="45" fillId="0" borderId="1" xfId="0" applyNumberFormat="1" applyFont="1" applyFill="1" applyBorder="1" applyAlignment="1">
      <alignment horizontal="center" vertical="center"/>
    </xf>
    <xf numFmtId="4" fontId="48" fillId="0" borderId="18" xfId="0" applyNumberFormat="1" applyFont="1" applyFill="1" applyBorder="1" applyAlignment="1">
      <alignment horizontal="center" vertical="center"/>
    </xf>
    <xf numFmtId="4" fontId="48" fillId="0" borderId="9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15" borderId="1" xfId="0" applyFont="1" applyFill="1" applyBorder="1" applyAlignment="1">
      <alignment horizontal="center" vertical="center" wrapText="1"/>
    </xf>
    <xf numFmtId="4" fontId="48" fillId="15" borderId="9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15" borderId="25" xfId="0" applyFont="1" applyFill="1" applyBorder="1" applyAlignment="1">
      <alignment horizontal="center" vertical="center" wrapText="1"/>
    </xf>
    <xf numFmtId="4" fontId="45" fillId="0" borderId="25" xfId="0" applyNumberFormat="1" applyFont="1" applyFill="1" applyBorder="1" applyAlignment="1">
      <alignment horizontal="center" vertical="center" wrapText="1"/>
    </xf>
    <xf numFmtId="4" fontId="45" fillId="0" borderId="25" xfId="0" applyNumberFormat="1" applyFont="1" applyFill="1" applyBorder="1" applyAlignment="1">
      <alignment horizontal="center" vertical="center"/>
    </xf>
    <xf numFmtId="14" fontId="45" fillId="0" borderId="25" xfId="0" applyNumberFormat="1" applyFont="1" applyFill="1" applyBorder="1" applyAlignment="1">
      <alignment horizontal="center" vertical="center"/>
    </xf>
    <xf numFmtId="4" fontId="48" fillId="15" borderId="11" xfId="0" applyNumberFormat="1" applyFont="1" applyFill="1" applyBorder="1" applyAlignment="1">
      <alignment horizontal="center" vertical="center"/>
    </xf>
    <xf numFmtId="0" fontId="48" fillId="15" borderId="20" xfId="0" applyFont="1" applyFill="1" applyBorder="1" applyAlignment="1">
      <alignment horizontal="center" vertical="center" wrapText="1"/>
    </xf>
    <xf numFmtId="4" fontId="48" fillId="15" borderId="18" xfId="0" applyNumberFormat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 wrapText="1"/>
    </xf>
    <xf numFmtId="0" fontId="48" fillId="15" borderId="22" xfId="0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14" fontId="45" fillId="0" borderId="22" xfId="0" applyNumberFormat="1" applyFont="1" applyFill="1" applyBorder="1" applyAlignment="1">
      <alignment horizontal="center" vertical="center"/>
    </xf>
    <xf numFmtId="4" fontId="48" fillId="15" borderId="10" xfId="0" applyNumberFormat="1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 wrapText="1"/>
    </xf>
    <xf numFmtId="0" fontId="48" fillId="15" borderId="65" xfId="0" applyFont="1" applyFill="1" applyBorder="1" applyAlignment="1">
      <alignment horizontal="center" vertical="center" wrapText="1"/>
    </xf>
    <xf numFmtId="4" fontId="45" fillId="0" borderId="65" xfId="0" applyNumberFormat="1" applyFont="1" applyFill="1" applyBorder="1" applyAlignment="1">
      <alignment horizontal="center" vertical="center" wrapText="1"/>
    </xf>
    <xf numFmtId="4" fontId="45" fillId="0" borderId="65" xfId="0" applyNumberFormat="1" applyFont="1" applyFill="1" applyBorder="1" applyAlignment="1">
      <alignment horizontal="center" vertical="center"/>
    </xf>
    <xf numFmtId="14" fontId="45" fillId="0" borderId="65" xfId="0" applyNumberFormat="1" applyFont="1" applyFill="1" applyBorder="1" applyAlignment="1">
      <alignment horizontal="center" vertical="center"/>
    </xf>
    <xf numFmtId="4" fontId="48" fillId="15" borderId="92" xfId="0" applyNumberFormat="1" applyFont="1" applyFill="1" applyBorder="1" applyAlignment="1">
      <alignment horizontal="center" vertical="center"/>
    </xf>
    <xf numFmtId="0" fontId="75" fillId="21" borderId="103" xfId="0" applyFont="1" applyFill="1" applyBorder="1" applyAlignment="1">
      <alignment horizontal="left"/>
    </xf>
    <xf numFmtId="0" fontId="75" fillId="21" borderId="104" xfId="0" applyFont="1" applyFill="1" applyBorder="1" applyAlignment="1">
      <alignment horizontal="left"/>
    </xf>
    <xf numFmtId="0" fontId="75" fillId="21" borderId="105" xfId="0" applyFont="1" applyFill="1" applyBorder="1" applyAlignment="1">
      <alignment horizontal="left"/>
    </xf>
    <xf numFmtId="0" fontId="47" fillId="10" borderId="30" xfId="0" applyFont="1" applyFill="1" applyBorder="1" applyAlignment="1">
      <alignment horizontal="center" vertical="center"/>
    </xf>
    <xf numFmtId="0" fontId="47" fillId="10" borderId="6" xfId="0" applyFont="1" applyFill="1" applyBorder="1" applyAlignment="1">
      <alignment horizontal="center" vertical="center"/>
    </xf>
    <xf numFmtId="4" fontId="47" fillId="10" borderId="38" xfId="0" applyNumberFormat="1" applyFont="1" applyFill="1" applyBorder="1" applyAlignment="1">
      <alignment horizontal="center" vertical="center" wrapText="1"/>
    </xf>
    <xf numFmtId="4" fontId="47" fillId="10" borderId="39" xfId="0" applyNumberFormat="1" applyFont="1" applyFill="1" applyBorder="1" applyAlignment="1">
      <alignment horizontal="center" vertical="center" wrapText="1"/>
    </xf>
    <xf numFmtId="4" fontId="47" fillId="10" borderId="31" xfId="0" applyNumberFormat="1" applyFont="1" applyFill="1" applyBorder="1" applyAlignment="1">
      <alignment horizontal="center" vertical="center"/>
    </xf>
    <xf numFmtId="4" fontId="47" fillId="10" borderId="22" xfId="0" applyNumberFormat="1" applyFont="1" applyFill="1" applyBorder="1" applyAlignment="1">
      <alignment horizontal="center" vertical="center"/>
    </xf>
    <xf numFmtId="14" fontId="47" fillId="10" borderId="31" xfId="0" applyNumberFormat="1" applyFont="1" applyFill="1" applyBorder="1" applyAlignment="1">
      <alignment horizontal="center" vertical="center" wrapText="1"/>
    </xf>
    <xf numFmtId="14" fontId="47" fillId="10" borderId="22" xfId="0" applyNumberFormat="1" applyFont="1" applyFill="1" applyBorder="1" applyAlignment="1">
      <alignment horizontal="center" vertical="center" wrapText="1"/>
    </xf>
    <xf numFmtId="4" fontId="48" fillId="15" borderId="106" xfId="0" applyNumberFormat="1" applyFont="1" applyFill="1" applyBorder="1" applyAlignment="1">
      <alignment horizontal="center" vertical="center"/>
    </xf>
    <xf numFmtId="4" fontId="48" fillId="15" borderId="109" xfId="0" applyNumberFormat="1" applyFont="1" applyFill="1" applyBorder="1" applyAlignment="1">
      <alignment horizontal="center" vertical="center"/>
    </xf>
    <xf numFmtId="4" fontId="48" fillId="15" borderId="110" xfId="0" applyNumberFormat="1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left" vertical="center" wrapText="1"/>
    </xf>
    <xf numFmtId="0" fontId="48" fillId="15" borderId="38" xfId="0" applyFont="1" applyFill="1" applyBorder="1" applyAlignment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4" fontId="45" fillId="0" borderId="38" xfId="0" applyNumberFormat="1" applyFont="1" applyFill="1" applyBorder="1" applyAlignment="1">
      <alignment horizontal="right" vertical="center"/>
    </xf>
    <xf numFmtId="4" fontId="45" fillId="0" borderId="39" xfId="0" applyNumberFormat="1" applyFont="1" applyFill="1" applyBorder="1" applyAlignment="1">
      <alignment horizontal="right" vertical="center"/>
    </xf>
    <xf numFmtId="4" fontId="45" fillId="0" borderId="44" xfId="0" applyNumberFormat="1" applyFont="1" applyFill="1" applyBorder="1" applyAlignment="1">
      <alignment horizontal="right" vertical="center"/>
    </xf>
    <xf numFmtId="4" fontId="45" fillId="0" borderId="73" xfId="0" applyNumberFormat="1" applyFont="1" applyFill="1" applyBorder="1" applyAlignment="1">
      <alignment horizontal="right" vertical="center"/>
    </xf>
    <xf numFmtId="4" fontId="45" fillId="0" borderId="28" xfId="0" applyNumberFormat="1" applyFont="1" applyFill="1" applyBorder="1" applyAlignment="1">
      <alignment horizontal="right" vertical="center"/>
    </xf>
    <xf numFmtId="4" fontId="45" fillId="0" borderId="112" xfId="0" applyNumberFormat="1" applyFont="1" applyFill="1" applyBorder="1" applyAlignment="1">
      <alignment horizontal="right" vertical="center"/>
    </xf>
    <xf numFmtId="14" fontId="45" fillId="0" borderId="106" xfId="0" applyNumberFormat="1" applyFont="1" applyFill="1" applyBorder="1" applyAlignment="1">
      <alignment horizontal="center" vertical="center"/>
    </xf>
    <xf numFmtId="14" fontId="45" fillId="0" borderId="109" xfId="0" applyNumberFormat="1" applyFont="1" applyFill="1" applyBorder="1" applyAlignment="1">
      <alignment horizontal="center" vertical="center"/>
    </xf>
    <xf numFmtId="14" fontId="45" fillId="0" borderId="110" xfId="0" applyNumberFormat="1" applyFont="1" applyFill="1" applyBorder="1" applyAlignment="1">
      <alignment horizontal="center" vertical="center"/>
    </xf>
    <xf numFmtId="4" fontId="47" fillId="10" borderId="20" xfId="0" applyNumberFormat="1" applyFont="1" applyFill="1" applyBorder="1" applyAlignment="1">
      <alignment horizontal="center" vertical="center" wrapText="1"/>
    </xf>
    <xf numFmtId="4" fontId="47" fillId="10" borderId="1" xfId="0" applyNumberFormat="1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9" borderId="38" xfId="0" applyFont="1" applyFill="1" applyBorder="1" applyAlignment="1">
      <alignment horizontal="center" vertical="center" wrapText="1"/>
    </xf>
    <xf numFmtId="0" fontId="48" fillId="9" borderId="39" xfId="0" applyFont="1" applyFill="1" applyBorder="1" applyAlignment="1">
      <alignment horizontal="center" vertical="center" wrapText="1"/>
    </xf>
    <xf numFmtId="0" fontId="48" fillId="9" borderId="44" xfId="0" applyFont="1" applyFill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right" vertical="center"/>
    </xf>
    <xf numFmtId="4" fontId="45" fillId="0" borderId="39" xfId="0" applyNumberFormat="1" applyFont="1" applyBorder="1" applyAlignment="1">
      <alignment horizontal="right" vertical="center"/>
    </xf>
    <xf numFmtId="4" fontId="45" fillId="0" borderId="44" xfId="0" applyNumberFormat="1" applyFont="1" applyBorder="1" applyAlignment="1">
      <alignment horizontal="right" vertical="center"/>
    </xf>
    <xf numFmtId="4" fontId="45" fillId="0" borderId="22" xfId="0" applyNumberFormat="1" applyFont="1" applyFill="1" applyBorder="1" applyAlignment="1">
      <alignment horizontal="right" vertical="center"/>
    </xf>
    <xf numFmtId="4" fontId="45" fillId="0" borderId="82" xfId="0" applyNumberFormat="1" applyFont="1" applyFill="1" applyBorder="1" applyAlignment="1">
      <alignment horizontal="right" vertical="center"/>
    </xf>
    <xf numFmtId="4" fontId="45" fillId="0" borderId="7" xfId="0" applyNumberFormat="1" applyFont="1" applyFill="1" applyBorder="1" applyAlignment="1">
      <alignment horizontal="right" vertical="center"/>
    </xf>
    <xf numFmtId="4" fontId="45" fillId="0" borderId="46" xfId="0" applyNumberFormat="1" applyFont="1" applyFill="1" applyBorder="1" applyAlignment="1">
      <alignment horizontal="right" vertical="center"/>
    </xf>
    <xf numFmtId="49" fontId="45" fillId="0" borderId="108" xfId="0" applyNumberFormat="1" applyFont="1" applyBorder="1" applyAlignment="1">
      <alignment horizontal="center" vertical="center"/>
    </xf>
    <xf numFmtId="49" fontId="45" fillId="0" borderId="109" xfId="0" applyNumberFormat="1" applyFont="1" applyBorder="1" applyAlignment="1">
      <alignment horizontal="center" vertical="center"/>
    </xf>
    <xf numFmtId="49" fontId="45" fillId="0" borderId="110" xfId="0" applyNumberFormat="1" applyFont="1" applyBorder="1" applyAlignment="1">
      <alignment horizontal="center" vertical="center"/>
    </xf>
    <xf numFmtId="4" fontId="48" fillId="0" borderId="108" xfId="0" applyNumberFormat="1" applyFont="1" applyFill="1" applyBorder="1" applyAlignment="1">
      <alignment horizontal="center" vertical="center"/>
    </xf>
    <xf numFmtId="4" fontId="48" fillId="0" borderId="109" xfId="0" applyNumberFormat="1" applyFont="1" applyFill="1" applyBorder="1" applyAlignment="1">
      <alignment horizontal="center" vertical="center"/>
    </xf>
    <xf numFmtId="4" fontId="48" fillId="0" borderId="110" xfId="0" applyNumberFormat="1" applyFont="1" applyFill="1" applyBorder="1" applyAlignment="1">
      <alignment horizontal="center" vertical="center"/>
    </xf>
    <xf numFmtId="14" fontId="47" fillId="10" borderId="1" xfId="0" applyNumberFormat="1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48" fillId="15" borderId="44" xfId="0" applyFont="1" applyFill="1" applyBorder="1" applyAlignment="1">
      <alignment horizontal="center" vertical="center" wrapText="1"/>
    </xf>
    <xf numFmtId="4" fontId="45" fillId="0" borderId="38" xfId="0" applyNumberFormat="1" applyFont="1" applyFill="1" applyBorder="1" applyAlignment="1">
      <alignment horizontal="right" vertical="center" wrapText="1"/>
    </xf>
    <xf numFmtId="4" fontId="45" fillId="0" borderId="39" xfId="0" applyNumberFormat="1" applyFont="1" applyFill="1" applyBorder="1" applyAlignment="1">
      <alignment horizontal="right" vertical="center" wrapText="1"/>
    </xf>
    <xf numFmtId="4" fontId="45" fillId="0" borderId="44" xfId="0" applyNumberFormat="1" applyFont="1" applyFill="1" applyBorder="1" applyAlignment="1">
      <alignment horizontal="right" vertical="center" wrapText="1"/>
    </xf>
    <xf numFmtId="0" fontId="48" fillId="0" borderId="72" xfId="0" applyFont="1" applyFill="1" applyBorder="1" applyAlignment="1">
      <alignment horizontal="left" vertical="center"/>
    </xf>
    <xf numFmtId="0" fontId="48" fillId="0" borderId="43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4" fontId="48" fillId="15" borderId="114" xfId="0" applyNumberFormat="1" applyFont="1" applyFill="1" applyBorder="1" applyAlignment="1">
      <alignment horizontal="center" vertical="center"/>
    </xf>
    <xf numFmtId="14" fontId="45" fillId="0" borderId="113" xfId="0" applyNumberFormat="1" applyFont="1" applyFill="1" applyBorder="1" applyAlignment="1">
      <alignment horizontal="center" vertical="center"/>
    </xf>
    <xf numFmtId="14" fontId="45" fillId="0" borderId="114" xfId="0" applyNumberFormat="1" applyFont="1" applyFill="1" applyBorder="1" applyAlignment="1">
      <alignment horizontal="center" vertical="center"/>
    </xf>
    <xf numFmtId="4" fontId="48" fillId="15" borderId="107" xfId="0" applyNumberFormat="1" applyFont="1" applyFill="1" applyBorder="1" applyAlignment="1">
      <alignment horizontal="center" vertical="center"/>
    </xf>
    <xf numFmtId="14" fontId="45" fillId="0" borderId="108" xfId="0" applyNumberFormat="1" applyFont="1" applyFill="1" applyBorder="1" applyAlignment="1">
      <alignment horizontal="center" vertical="center"/>
    </xf>
    <xf numFmtId="4" fontId="45" fillId="0" borderId="111" xfId="0" applyNumberFormat="1" applyFont="1" applyFill="1" applyBorder="1" applyAlignment="1">
      <alignment horizontal="right" vertical="center"/>
    </xf>
    <xf numFmtId="0" fontId="48" fillId="0" borderId="5" xfId="0" applyFont="1" applyFill="1" applyBorder="1" applyAlignment="1">
      <alignment horizontal="left" vertical="center"/>
    </xf>
    <xf numFmtId="0" fontId="48" fillId="0" borderId="6" xfId="0" applyFont="1" applyFill="1" applyBorder="1" applyAlignment="1">
      <alignment horizontal="left" vertical="center"/>
    </xf>
    <xf numFmtId="4" fontId="45" fillId="0" borderId="20" xfId="0" applyNumberFormat="1" applyFont="1" applyFill="1" applyBorder="1" applyAlignment="1">
      <alignment horizontal="right" vertical="center"/>
    </xf>
    <xf numFmtId="0" fontId="52" fillId="0" borderId="36" xfId="0" applyFont="1" applyBorder="1" applyAlignment="1">
      <alignment horizontal="center" wrapText="1"/>
    </xf>
    <xf numFmtId="4" fontId="45" fillId="0" borderId="45" xfId="0" applyNumberFormat="1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left" vertical="center"/>
    </xf>
    <xf numFmtId="0" fontId="78" fillId="0" borderId="0" xfId="0" applyFont="1" applyAlignment="1">
      <alignment horizontal="right" vertical="top"/>
    </xf>
    <xf numFmtId="0" fontId="80" fillId="0" borderId="0" xfId="0" applyFont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58" fillId="3" borderId="5" xfId="0" applyFont="1" applyFill="1" applyBorder="1" applyAlignment="1">
      <alignment vertical="center" wrapText="1"/>
    </xf>
    <xf numFmtId="0" fontId="58" fillId="3" borderId="1" xfId="0" applyFont="1" applyFill="1" applyBorder="1" applyAlignment="1">
      <alignment vertical="center" wrapText="1"/>
    </xf>
    <xf numFmtId="0" fontId="26" fillId="1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top" wrapText="1"/>
    </xf>
    <xf numFmtId="0" fontId="32" fillId="3" borderId="5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43" fillId="7" borderId="100" xfId="2" applyFont="1" applyFill="1" applyBorder="1" applyAlignment="1">
      <alignment horizontal="center" vertical="center" wrapText="1"/>
    </xf>
    <xf numFmtId="0" fontId="43" fillId="7" borderId="101" xfId="2" applyFont="1" applyFill="1" applyBorder="1" applyAlignment="1">
      <alignment horizontal="center" vertical="center" wrapText="1"/>
    </xf>
    <xf numFmtId="0" fontId="43" fillId="7" borderId="94" xfId="2" applyFont="1" applyFill="1" applyBorder="1" applyAlignment="1">
      <alignment horizontal="center" vertical="center" wrapText="1"/>
    </xf>
    <xf numFmtId="0" fontId="43" fillId="7" borderId="96" xfId="2" applyFont="1" applyFill="1" applyBorder="1" applyAlignment="1">
      <alignment horizontal="center" vertical="center" wrapText="1"/>
    </xf>
    <xf numFmtId="0" fontId="43" fillId="7" borderId="102" xfId="2" applyFont="1" applyFill="1" applyBorder="1" applyAlignment="1">
      <alignment horizontal="center" vertical="center" wrapText="1"/>
    </xf>
    <xf numFmtId="0" fontId="43" fillId="7" borderId="95" xfId="2" applyFont="1" applyFill="1" applyBorder="1" applyAlignment="1">
      <alignment horizontal="center" vertical="center" wrapText="1"/>
    </xf>
    <xf numFmtId="0" fontId="43" fillId="7" borderId="115" xfId="2" applyFont="1" applyFill="1" applyBorder="1" applyAlignment="1">
      <alignment horizontal="center" vertical="center" wrapText="1"/>
    </xf>
    <xf numFmtId="0" fontId="43" fillId="7" borderId="116" xfId="2" applyFont="1" applyFill="1" applyBorder="1" applyAlignment="1">
      <alignment horizontal="center" vertical="center" wrapText="1"/>
    </xf>
    <xf numFmtId="0" fontId="43" fillId="7" borderId="117" xfId="2" applyFont="1" applyFill="1" applyBorder="1" applyAlignment="1">
      <alignment horizontal="center" vertical="center" wrapText="1"/>
    </xf>
    <xf numFmtId="0" fontId="43" fillId="7" borderId="97" xfId="2" applyFont="1" applyFill="1" applyBorder="1" applyAlignment="1">
      <alignment horizontal="center" vertical="center" wrapText="1"/>
    </xf>
    <xf numFmtId="0" fontId="43" fillId="7" borderId="98" xfId="2" applyFont="1" applyFill="1" applyBorder="1" applyAlignment="1">
      <alignment horizontal="center" vertical="center" wrapText="1"/>
    </xf>
    <xf numFmtId="0" fontId="43" fillId="7" borderId="99" xfId="2" applyFont="1" applyFill="1" applyBorder="1" applyAlignment="1">
      <alignment horizontal="center" vertical="center" wrapText="1"/>
    </xf>
    <xf numFmtId="0" fontId="43" fillId="7" borderId="85" xfId="2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49" fontId="45" fillId="0" borderId="122" xfId="0" applyNumberFormat="1" applyFont="1" applyFill="1" applyBorder="1" applyAlignment="1">
      <alignment horizontal="center"/>
    </xf>
    <xf numFmtId="4" fontId="45" fillId="0" borderId="34" xfId="0" applyNumberFormat="1" applyFont="1" applyFill="1" applyBorder="1" applyAlignment="1">
      <alignment horizontal="center" vertical="center" wrapText="1"/>
    </xf>
    <xf numFmtId="164" fontId="45" fillId="0" borderId="34" xfId="0" applyNumberFormat="1" applyFont="1" applyFill="1" applyBorder="1" applyAlignment="1">
      <alignment horizontal="center"/>
    </xf>
    <xf numFmtId="4" fontId="45" fillId="0" borderId="34" xfId="0" applyNumberFormat="1" applyFont="1" applyFill="1" applyBorder="1" applyAlignment="1">
      <alignment horizontal="center" vertical="center"/>
    </xf>
    <xf numFmtId="14" fontId="45" fillId="0" borderId="34" xfId="0" applyNumberFormat="1" applyFont="1" applyFill="1" applyBorder="1" applyAlignment="1">
      <alignment horizontal="center" vertical="center"/>
    </xf>
    <xf numFmtId="4" fontId="48" fillId="0" borderId="123" xfId="0" applyNumberFormat="1" applyFont="1" applyFill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álne" xfId="0" builtinId="0"/>
  </cellStyles>
  <dxfs count="0"/>
  <tableStyles count="0" defaultTableStyle="TableStyleMedium9" defaultPivotStyle="PivotStyleLight16"/>
  <colors>
    <mruColors>
      <color rgb="FF009999"/>
      <color rgb="FF00CC66"/>
      <color rgb="FF00CC99"/>
      <color rgb="FF008080"/>
      <color rgb="FF339966"/>
      <color rgb="FF33CC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Vývoj dlhovej služby Mesta Trenčín                      v rokoch 2007 - 2014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49888477379243"/>
          <c:y val="0.28562986485841513"/>
          <c:w val="0.82997147095743462"/>
          <c:h val="0.60265711508804864"/>
        </c:manualLayout>
      </c:layout>
      <c:areaChart>
        <c:grouping val="stacked"/>
        <c:varyColors val="0"/>
        <c:ser>
          <c:idx val="0"/>
          <c:order val="0"/>
          <c:spPr>
            <a:ln w="25400">
              <a:noFill/>
            </a:ln>
          </c:spPr>
          <c:cat>
            <c:numRef>
              <c:f>'dlhová služba mesta'!$C$8:$J$8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'dlhová služba mesta'!$C$11:$J$11</c:f>
              <c:numCache>
                <c:formatCode>#,##0</c:formatCode>
                <c:ptCount val="8"/>
                <c:pt idx="0">
                  <c:v>9941.1139879174134</c:v>
                </c:pt>
                <c:pt idx="1">
                  <c:v>11302.197437429462</c:v>
                </c:pt>
                <c:pt idx="2">
                  <c:v>12629</c:v>
                </c:pt>
                <c:pt idx="3">
                  <c:v>14817</c:v>
                </c:pt>
                <c:pt idx="4">
                  <c:v>10995</c:v>
                </c:pt>
                <c:pt idx="5">
                  <c:v>8649</c:v>
                </c:pt>
                <c:pt idx="6">
                  <c:v>9293</c:v>
                </c:pt>
                <c:pt idx="7">
                  <c:v>16598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545416"/>
        <c:axId val="261539536"/>
      </c:areaChart>
      <c:catAx>
        <c:axId val="261545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61539536"/>
        <c:crosses val="autoZero"/>
        <c:auto val="1"/>
        <c:lblAlgn val="ctr"/>
        <c:lblOffset val="100"/>
        <c:noMultiLvlLbl val="0"/>
      </c:catAx>
      <c:valAx>
        <c:axId val="261539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615454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28</xdr:row>
      <xdr:rowOff>9525</xdr:rowOff>
    </xdr:from>
    <xdr:to>
      <xdr:col>8</xdr:col>
      <xdr:colOff>285750</xdr:colOff>
      <xdr:row>44</xdr:row>
      <xdr:rowOff>95250</xdr:rowOff>
    </xdr:to>
    <xdr:graphicFrame macro="">
      <xdr:nvGraphicFramePr>
        <xdr:cNvPr id="205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C447"/>
  <sheetViews>
    <sheetView tabSelected="1" workbookViewId="0"/>
  </sheetViews>
  <sheetFormatPr defaultRowHeight="15" x14ac:dyDescent="0.25"/>
  <cols>
    <col min="1" max="1" width="3.28515625" style="18" customWidth="1"/>
    <col min="2" max="2" width="4.140625" style="18" customWidth="1"/>
    <col min="3" max="3" width="38.5703125" style="18" customWidth="1"/>
    <col min="4" max="4" width="14.5703125" style="18" customWidth="1"/>
    <col min="5" max="5" width="12.85546875" style="18" customWidth="1"/>
    <col min="6" max="6" width="13.140625" style="18" customWidth="1"/>
    <col min="7" max="23" width="13.28515625" style="18" customWidth="1"/>
    <col min="24" max="25" width="9.140625" style="18"/>
    <col min="26" max="26" width="26" style="18" customWidth="1"/>
    <col min="27" max="27" width="12.5703125" style="18" customWidth="1"/>
    <col min="28" max="28" width="15.42578125" style="18" customWidth="1"/>
    <col min="29" max="29" width="13.42578125" style="18" customWidth="1"/>
    <col min="30" max="16384" width="9.140625" style="18"/>
  </cols>
  <sheetData>
    <row r="1" spans="2:27" ht="9" customHeight="1" x14ac:dyDescent="0.25"/>
    <row r="2" spans="2:27" ht="39.75" customHeight="1" x14ac:dyDescent="0.3">
      <c r="C2" s="693" t="s">
        <v>467</v>
      </c>
      <c r="D2" s="693"/>
      <c r="E2" s="693"/>
      <c r="F2" s="69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7" ht="15.75" thickBot="1" x14ac:dyDescent="0.3">
      <c r="C3" s="20"/>
      <c r="D3" s="20"/>
      <c r="E3" s="20"/>
      <c r="F3" s="21" t="s">
        <v>67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7" x14ac:dyDescent="0.25">
      <c r="B4" s="694"/>
      <c r="C4" s="696" t="s">
        <v>68</v>
      </c>
      <c r="D4" s="698" t="s">
        <v>468</v>
      </c>
      <c r="E4" s="699"/>
      <c r="F4" s="70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7" x14ac:dyDescent="0.25">
      <c r="B5" s="695"/>
      <c r="C5" s="697"/>
      <c r="D5" s="22" t="s">
        <v>69</v>
      </c>
      <c r="E5" s="23" t="s">
        <v>70</v>
      </c>
      <c r="F5" s="24" t="s">
        <v>71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5"/>
      <c r="Y5" s="25"/>
      <c r="Z5" s="25"/>
      <c r="AA5" s="25"/>
    </row>
    <row r="6" spans="2:27" x14ac:dyDescent="0.25">
      <c r="B6" s="26" t="s">
        <v>72</v>
      </c>
      <c r="C6" s="27" t="s">
        <v>73</v>
      </c>
      <c r="D6" s="28">
        <f t="shared" ref="D6:E14" si="0">D58+D83+D111+D136+D164+D190+D219+D245+D271+D296+D324+D349+D377+D402+D428</f>
        <v>1263096.6599999999</v>
      </c>
      <c r="E6" s="28">
        <f>E58+E83+E111+E136+E164+E190+E219+E245+E271+E296+E324+E349+E377+E402+E428</f>
        <v>1086690.23</v>
      </c>
      <c r="F6" s="29">
        <f>D6-E6</f>
        <v>176406.42999999993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30"/>
      <c r="Y6" s="30"/>
      <c r="Z6" s="25"/>
      <c r="AA6" s="25"/>
    </row>
    <row r="7" spans="2:27" x14ac:dyDescent="0.25">
      <c r="B7" s="26" t="s">
        <v>74</v>
      </c>
      <c r="C7" s="27" t="s">
        <v>75</v>
      </c>
      <c r="D7" s="28">
        <f t="shared" si="0"/>
        <v>223838048.24000004</v>
      </c>
      <c r="E7" s="28">
        <f t="shared" si="0"/>
        <v>49873152.640000001</v>
      </c>
      <c r="F7" s="29">
        <f t="shared" ref="F7:F14" si="1">D7-E7</f>
        <v>173964895.60000002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30"/>
      <c r="Y7" s="30"/>
      <c r="Z7" s="25"/>
      <c r="AA7" s="25"/>
    </row>
    <row r="8" spans="2:27" x14ac:dyDescent="0.25">
      <c r="B8" s="26" t="s">
        <v>76</v>
      </c>
      <c r="C8" s="27" t="s">
        <v>77</v>
      </c>
      <c r="D8" s="28">
        <f t="shared" si="0"/>
        <v>15730795.390000001</v>
      </c>
      <c r="E8" s="28">
        <f t="shared" si="0"/>
        <v>0</v>
      </c>
      <c r="F8" s="29">
        <f t="shared" si="1"/>
        <v>15730795.390000001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30"/>
      <c r="Y8" s="30"/>
      <c r="Z8" s="25"/>
      <c r="AA8" s="25"/>
    </row>
    <row r="9" spans="2:27" x14ac:dyDescent="0.25">
      <c r="B9" s="26" t="s">
        <v>78</v>
      </c>
      <c r="C9" s="27" t="s">
        <v>79</v>
      </c>
      <c r="D9" s="28">
        <f t="shared" si="0"/>
        <v>61493.920000000006</v>
      </c>
      <c r="E9" s="28">
        <f t="shared" si="0"/>
        <v>0</v>
      </c>
      <c r="F9" s="29">
        <f t="shared" si="1"/>
        <v>61493.920000000006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30"/>
      <c r="Y9" s="30"/>
      <c r="Z9" s="25"/>
      <c r="AA9" s="25"/>
    </row>
    <row r="10" spans="2:27" x14ac:dyDescent="0.25">
      <c r="B10" s="26" t="s">
        <v>80</v>
      </c>
      <c r="C10" s="27" t="s">
        <v>81</v>
      </c>
      <c r="D10" s="28">
        <f t="shared" si="0"/>
        <v>50376697.280000001</v>
      </c>
      <c r="E10" s="28">
        <f t="shared" si="0"/>
        <v>0</v>
      </c>
      <c r="F10" s="29">
        <f t="shared" si="1"/>
        <v>50376697.280000001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30"/>
      <c r="Y10" s="30"/>
      <c r="Z10" s="25"/>
      <c r="AA10" s="25"/>
    </row>
    <row r="11" spans="2:27" x14ac:dyDescent="0.25">
      <c r="B11" s="26" t="s">
        <v>82</v>
      </c>
      <c r="C11" s="27" t="s">
        <v>83</v>
      </c>
      <c r="D11" s="28">
        <f t="shared" si="0"/>
        <v>3893910.6999999997</v>
      </c>
      <c r="E11" s="28">
        <f t="shared" si="0"/>
        <v>1322898.01</v>
      </c>
      <c r="F11" s="29">
        <f t="shared" si="1"/>
        <v>2571012.6899999995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7" x14ac:dyDescent="0.25">
      <c r="B12" s="26" t="s">
        <v>84</v>
      </c>
      <c r="C12" s="27" t="s">
        <v>85</v>
      </c>
      <c r="D12" s="28">
        <f t="shared" si="0"/>
        <v>2362074.46</v>
      </c>
      <c r="E12" s="28">
        <f t="shared" si="0"/>
        <v>0</v>
      </c>
      <c r="F12" s="29">
        <f t="shared" si="1"/>
        <v>2362074.46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7" x14ac:dyDescent="0.25">
      <c r="B13" s="26" t="s">
        <v>86</v>
      </c>
      <c r="C13" s="31" t="s">
        <v>87</v>
      </c>
      <c r="D13" s="28">
        <f t="shared" si="0"/>
        <v>17038.700000000004</v>
      </c>
      <c r="E13" s="28">
        <f t="shared" si="0"/>
        <v>0</v>
      </c>
      <c r="F13" s="29">
        <f t="shared" si="1"/>
        <v>17038.700000000004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7" ht="15.75" thickBot="1" x14ac:dyDescent="0.3">
      <c r="B14" s="32" t="s">
        <v>88</v>
      </c>
      <c r="C14" s="33" t="s">
        <v>89</v>
      </c>
      <c r="D14" s="28">
        <f t="shared" si="0"/>
        <v>32883.42</v>
      </c>
      <c r="E14" s="28">
        <f t="shared" si="0"/>
        <v>0</v>
      </c>
      <c r="F14" s="29">
        <f t="shared" si="1"/>
        <v>32883.42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7" ht="16.5" thickTop="1" thickBot="1" x14ac:dyDescent="0.3">
      <c r="B15" s="274"/>
      <c r="C15" s="35" t="s">
        <v>90</v>
      </c>
      <c r="D15" s="36">
        <f>SUM(D6:D14)</f>
        <v>297576038.76999998</v>
      </c>
      <c r="E15" s="37">
        <f>SUM(E6:E14)</f>
        <v>52282740.879999995</v>
      </c>
      <c r="F15" s="38">
        <f>D15-E15</f>
        <v>245293297.88999999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2:27" x14ac:dyDescent="0.25">
      <c r="B16" s="39" t="s">
        <v>91</v>
      </c>
      <c r="C16" s="40" t="s">
        <v>92</v>
      </c>
      <c r="D16" s="41"/>
      <c r="E16" s="42"/>
      <c r="F16" s="43">
        <f t="shared" ref="F16:F24" si="2">F68+F93+F121+F146+F174+F200+F229+F255+F281+F306+F334+F359+F387+F412+F438</f>
        <v>-1459420.72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9" x14ac:dyDescent="0.25">
      <c r="B17" s="26" t="s">
        <v>93</v>
      </c>
      <c r="C17" s="31" t="s">
        <v>191</v>
      </c>
      <c r="D17" s="312"/>
      <c r="E17" s="313"/>
      <c r="F17" s="43">
        <f t="shared" si="2"/>
        <v>165015536.93999997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9" x14ac:dyDescent="0.25">
      <c r="B18" s="26" t="s">
        <v>94</v>
      </c>
      <c r="C18" s="31" t="s">
        <v>95</v>
      </c>
      <c r="D18" s="314"/>
      <c r="E18" s="313"/>
      <c r="F18" s="43">
        <f t="shared" si="2"/>
        <v>710175.49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9" x14ac:dyDescent="0.25">
      <c r="B19" s="26" t="s">
        <v>96</v>
      </c>
      <c r="C19" s="47" t="s">
        <v>81</v>
      </c>
      <c r="D19" s="314"/>
      <c r="E19" s="313"/>
      <c r="F19" s="43">
        <f t="shared" si="2"/>
        <v>50452444.510000013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9" x14ac:dyDescent="0.25">
      <c r="B20" s="26" t="s">
        <v>97</v>
      </c>
      <c r="C20" s="27" t="s">
        <v>98</v>
      </c>
      <c r="D20" s="48"/>
      <c r="E20" s="49"/>
      <c r="F20" s="43">
        <f t="shared" si="2"/>
        <v>5501396.4300000006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9" x14ac:dyDescent="0.25">
      <c r="B21" s="26" t="s">
        <v>99</v>
      </c>
      <c r="C21" s="50" t="s">
        <v>100</v>
      </c>
      <c r="D21" s="28"/>
      <c r="E21" s="51"/>
      <c r="F21" s="43">
        <f t="shared" si="2"/>
        <v>4862529.13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9" x14ac:dyDescent="0.25">
      <c r="B22" s="26" t="s">
        <v>101</v>
      </c>
      <c r="C22" s="47" t="s">
        <v>102</v>
      </c>
      <c r="D22" s="52"/>
      <c r="E22" s="53"/>
      <c r="F22" s="43">
        <f t="shared" si="2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9" x14ac:dyDescent="0.25">
      <c r="B23" s="26" t="s">
        <v>103</v>
      </c>
      <c r="C23" s="47" t="s">
        <v>104</v>
      </c>
      <c r="D23" s="52"/>
      <c r="E23" s="53"/>
      <c r="F23" s="43">
        <f t="shared" si="2"/>
        <v>10008550.819999998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9" ht="15.75" thickBot="1" x14ac:dyDescent="0.3">
      <c r="B24" s="32" t="s">
        <v>105</v>
      </c>
      <c r="C24" s="47" t="s">
        <v>106</v>
      </c>
      <c r="D24" s="52"/>
      <c r="E24" s="53"/>
      <c r="F24" s="43">
        <f t="shared" si="2"/>
        <v>10202085.289999999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9" ht="16.5" thickTop="1" thickBot="1" x14ac:dyDescent="0.3">
      <c r="B25" s="34"/>
      <c r="C25" s="35" t="s">
        <v>107</v>
      </c>
      <c r="D25" s="54"/>
      <c r="E25" s="55"/>
      <c r="F25" s="38">
        <f>SUM(F16:F24)</f>
        <v>245293297.88999999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30" spans="2:29" ht="14.25" customHeight="1" x14ac:dyDescent="0.25"/>
    <row r="31" spans="2:29" ht="14.25" customHeight="1" x14ac:dyDescent="0.25"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Z31" s="56"/>
      <c r="AA31" s="57" t="s">
        <v>124</v>
      </c>
      <c r="AB31" s="57" t="s">
        <v>125</v>
      </c>
      <c r="AC31" s="57" t="s">
        <v>126</v>
      </c>
    </row>
    <row r="32" spans="2:29" ht="14.25" customHeight="1" x14ac:dyDescent="0.25"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Z32" s="56" t="s">
        <v>127</v>
      </c>
      <c r="AA32" s="58"/>
      <c r="AB32" s="59"/>
      <c r="AC32" s="58"/>
    </row>
    <row r="33" spans="4:29" ht="14.25" customHeight="1" x14ac:dyDescent="0.25"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Z33" s="56" t="s">
        <v>128</v>
      </c>
      <c r="AA33" s="58"/>
      <c r="AB33" s="59"/>
      <c r="AC33" s="58"/>
    </row>
    <row r="34" spans="4:29" ht="14.25" customHeight="1" x14ac:dyDescent="0.25"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Z34" s="56" t="s">
        <v>129</v>
      </c>
      <c r="AA34" s="58"/>
      <c r="AB34" s="59"/>
      <c r="AC34" s="58"/>
    </row>
    <row r="35" spans="4:29" ht="14.25" customHeight="1" x14ac:dyDescent="0.25"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Z35" s="56" t="s">
        <v>130</v>
      </c>
      <c r="AA35" s="58"/>
      <c r="AB35" s="59"/>
      <c r="AC35" s="58"/>
    </row>
    <row r="36" spans="4:29" ht="14.25" customHeight="1" x14ac:dyDescent="0.25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Z36" s="56" t="s">
        <v>131</v>
      </c>
      <c r="AA36" s="58"/>
      <c r="AB36" s="59"/>
      <c r="AC36" s="58"/>
    </row>
    <row r="37" spans="4:29" ht="14.25" customHeight="1" x14ac:dyDescent="0.25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Z37" s="56" t="s">
        <v>132</v>
      </c>
      <c r="AA37" s="58"/>
      <c r="AB37" s="59"/>
      <c r="AC37" s="58"/>
    </row>
    <row r="38" spans="4:29" ht="14.25" customHeight="1" x14ac:dyDescent="0.25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Z38" s="56" t="s">
        <v>134</v>
      </c>
      <c r="AA38" s="58"/>
      <c r="AB38" s="59"/>
      <c r="AC38" s="58"/>
    </row>
    <row r="39" spans="4:29" ht="14.25" customHeight="1" x14ac:dyDescent="0.25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Z39" s="56" t="s">
        <v>133</v>
      </c>
      <c r="AA39" s="58"/>
      <c r="AB39" s="58"/>
      <c r="AC39" s="58"/>
    </row>
    <row r="40" spans="4:29" ht="14.25" customHeight="1" x14ac:dyDescent="0.25"/>
    <row r="41" spans="4:29" ht="14.25" customHeight="1" x14ac:dyDescent="0.25">
      <c r="D41" s="19"/>
      <c r="E41" s="6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4:29" ht="14.25" customHeight="1" x14ac:dyDescent="0.25">
      <c r="D42" s="19"/>
      <c r="E42" s="6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4:29" ht="14.25" customHeight="1" x14ac:dyDescent="0.25">
      <c r="D43" s="19"/>
      <c r="E43" s="6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4:29" ht="14.25" customHeight="1" x14ac:dyDescent="0.25">
      <c r="D44" s="19"/>
      <c r="E44" s="6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4:29" ht="14.25" customHeight="1" x14ac:dyDescent="0.25">
      <c r="D45" s="19"/>
      <c r="E45" s="6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4:29" ht="14.25" customHeight="1" x14ac:dyDescent="0.25">
      <c r="D46" s="19"/>
      <c r="E46" s="6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4:29" ht="14.25" customHeight="1" x14ac:dyDescent="0.25">
      <c r="D47" s="19"/>
      <c r="E47" s="6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4:29" x14ac:dyDescent="0.25">
      <c r="D48" s="19"/>
      <c r="E48" s="6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3" x14ac:dyDescent="0.25">
      <c r="D49" s="19"/>
      <c r="E49" s="6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2:23" x14ac:dyDescent="0.25">
      <c r="D50" s="19"/>
      <c r="E50" s="6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2:23" x14ac:dyDescent="0.25">
      <c r="D51" s="19"/>
      <c r="E51" s="60"/>
      <c r="F51" s="19"/>
    </row>
    <row r="52" spans="2:23" x14ac:dyDescent="0.25">
      <c r="D52" s="19"/>
      <c r="E52" s="60"/>
      <c r="F52" s="19"/>
    </row>
    <row r="53" spans="2:23" x14ac:dyDescent="0.25">
      <c r="D53" s="19"/>
      <c r="E53" s="19"/>
      <c r="F53" s="19"/>
    </row>
    <row r="54" spans="2:23" ht="15.75" customHeight="1" x14ac:dyDescent="0.25">
      <c r="C54" s="701" t="s">
        <v>108</v>
      </c>
      <c r="D54" s="701"/>
      <c r="E54" s="701"/>
      <c r="F54" s="701"/>
    </row>
    <row r="55" spans="2:23" ht="15.75" thickBot="1" x14ac:dyDescent="0.3">
      <c r="C55" s="20"/>
      <c r="D55" s="20"/>
      <c r="E55" s="20"/>
      <c r="F55" s="21" t="s">
        <v>67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2:23" x14ac:dyDescent="0.25">
      <c r="B56" s="694"/>
      <c r="C56" s="696" t="s">
        <v>68</v>
      </c>
      <c r="D56" s="698" t="s">
        <v>468</v>
      </c>
      <c r="E56" s="699"/>
      <c r="F56" s="700"/>
    </row>
    <row r="57" spans="2:23" x14ac:dyDescent="0.25">
      <c r="B57" s="695"/>
      <c r="C57" s="697"/>
      <c r="D57" s="22" t="s">
        <v>69</v>
      </c>
      <c r="E57" s="23" t="s">
        <v>70</v>
      </c>
      <c r="F57" s="24" t="s">
        <v>71</v>
      </c>
    </row>
    <row r="58" spans="2:23" x14ac:dyDescent="0.25">
      <c r="B58" s="26" t="s">
        <v>72</v>
      </c>
      <c r="C58" s="27" t="s">
        <v>73</v>
      </c>
      <c r="D58" s="28">
        <v>1229643.83</v>
      </c>
      <c r="E58" s="51">
        <v>1054845.03</v>
      </c>
      <c r="F58" s="29">
        <f>D58-E58</f>
        <v>174798.80000000005</v>
      </c>
    </row>
    <row r="59" spans="2:23" x14ac:dyDescent="0.25">
      <c r="B59" s="26" t="s">
        <v>74</v>
      </c>
      <c r="C59" s="27" t="s">
        <v>75</v>
      </c>
      <c r="D59" s="28">
        <v>159051401.22</v>
      </c>
      <c r="E59" s="51">
        <v>35418626.969999999</v>
      </c>
      <c r="F59" s="29">
        <f t="shared" ref="F59:F66" si="3">D59-E59</f>
        <v>123632774.25</v>
      </c>
    </row>
    <row r="60" spans="2:23" x14ac:dyDescent="0.25">
      <c r="B60" s="26" t="s">
        <v>76</v>
      </c>
      <c r="C60" s="27" t="s">
        <v>77</v>
      </c>
      <c r="D60" s="28">
        <v>15730795.390000001</v>
      </c>
      <c r="E60" s="51">
        <v>0</v>
      </c>
      <c r="F60" s="29">
        <f t="shared" si="3"/>
        <v>15730795.390000001</v>
      </c>
    </row>
    <row r="61" spans="2:23" x14ac:dyDescent="0.25">
      <c r="B61" s="26" t="s">
        <v>78</v>
      </c>
      <c r="C61" s="27" t="s">
        <v>79</v>
      </c>
      <c r="D61" s="28">
        <v>18776.93</v>
      </c>
      <c r="E61" s="51">
        <v>0</v>
      </c>
      <c r="F61" s="29">
        <f t="shared" si="3"/>
        <v>18776.93</v>
      </c>
    </row>
    <row r="62" spans="2:23" x14ac:dyDescent="0.25">
      <c r="B62" s="26" t="s">
        <v>80</v>
      </c>
      <c r="C62" s="27" t="s">
        <v>81</v>
      </c>
      <c r="D62" s="28">
        <v>50374103.640000001</v>
      </c>
      <c r="E62" s="51">
        <v>0</v>
      </c>
      <c r="F62" s="29">
        <f t="shared" si="3"/>
        <v>50374103.640000001</v>
      </c>
    </row>
    <row r="63" spans="2:23" x14ac:dyDescent="0.25">
      <c r="B63" s="26" t="s">
        <v>82</v>
      </c>
      <c r="C63" s="27" t="s">
        <v>83</v>
      </c>
      <c r="D63" s="28">
        <f>551909.63+3139695.04</f>
        <v>3691604.67</v>
      </c>
      <c r="E63" s="51">
        <v>1273299.96</v>
      </c>
      <c r="F63" s="29">
        <f t="shared" si="3"/>
        <v>2418304.71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2:23" x14ac:dyDescent="0.25">
      <c r="B64" s="26" t="s">
        <v>84</v>
      </c>
      <c r="C64" s="27" t="s">
        <v>85</v>
      </c>
      <c r="D64" s="28">
        <v>1773584.04</v>
      </c>
      <c r="E64" s="51">
        <v>0</v>
      </c>
      <c r="F64" s="29">
        <f t="shared" si="3"/>
        <v>1773584.04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3" x14ac:dyDescent="0.25">
      <c r="B65" s="26" t="s">
        <v>86</v>
      </c>
      <c r="C65" s="31" t="s">
        <v>87</v>
      </c>
      <c r="D65" s="52">
        <v>2855.94</v>
      </c>
      <c r="E65" s="53">
        <v>0</v>
      </c>
      <c r="F65" s="29">
        <f t="shared" si="3"/>
        <v>2855.94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3" ht="15.75" thickBot="1" x14ac:dyDescent="0.3">
      <c r="B66" s="32" t="s">
        <v>88</v>
      </c>
      <c r="C66" s="33" t="s">
        <v>89</v>
      </c>
      <c r="D66" s="61">
        <v>32248.92</v>
      </c>
      <c r="E66" s="62">
        <v>0</v>
      </c>
      <c r="F66" s="29">
        <f t="shared" si="3"/>
        <v>32248.92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ht="16.5" thickTop="1" thickBot="1" x14ac:dyDescent="0.3">
      <c r="B67" s="34"/>
      <c r="C67" s="63" t="s">
        <v>109</v>
      </c>
      <c r="D67" s="36">
        <f>SUM(D58:D66)</f>
        <v>231905014.57999995</v>
      </c>
      <c r="E67" s="37">
        <f>SUM(E58:E66)</f>
        <v>37746771.960000001</v>
      </c>
      <c r="F67" s="38">
        <f>SUM(F58:F66)</f>
        <v>194158242.61999997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x14ac:dyDescent="0.25">
      <c r="B68" s="39" t="s">
        <v>91</v>
      </c>
      <c r="C68" s="40" t="s">
        <v>92</v>
      </c>
      <c r="D68" s="64"/>
      <c r="E68" s="65"/>
      <c r="F68" s="43">
        <v>-1459420.72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x14ac:dyDescent="0.25">
      <c r="B69" s="26" t="s">
        <v>93</v>
      </c>
      <c r="C69" s="31" t="s">
        <v>191</v>
      </c>
      <c r="D69" s="66"/>
      <c r="E69" s="67"/>
      <c r="F69" s="68">
        <v>165508426.90000001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x14ac:dyDescent="0.25">
      <c r="B70" s="26" t="s">
        <v>94</v>
      </c>
      <c r="C70" s="31" t="s">
        <v>95</v>
      </c>
      <c r="D70" s="66"/>
      <c r="E70" s="67"/>
      <c r="F70" s="68">
        <v>667333.46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x14ac:dyDescent="0.25">
      <c r="B71" s="26" t="s">
        <v>96</v>
      </c>
      <c r="C71" s="47" t="s">
        <v>81</v>
      </c>
      <c r="D71" s="66"/>
      <c r="E71" s="67"/>
      <c r="F71" s="68">
        <v>78540.259999999995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x14ac:dyDescent="0.25">
      <c r="B72" s="26" t="s">
        <v>97</v>
      </c>
      <c r="C72" s="27" t="s">
        <v>98</v>
      </c>
      <c r="D72" s="69"/>
      <c r="E72" s="70"/>
      <c r="F72" s="71">
        <v>5475447.0099999998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x14ac:dyDescent="0.25">
      <c r="B73" s="26" t="s">
        <v>99</v>
      </c>
      <c r="C73" s="50" t="s">
        <v>100</v>
      </c>
      <c r="D73" s="69"/>
      <c r="E73" s="70"/>
      <c r="F73" s="71">
        <v>3738330.82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x14ac:dyDescent="0.25">
      <c r="B74" s="26" t="s">
        <v>101</v>
      </c>
      <c r="C74" s="47" t="s">
        <v>102</v>
      </c>
      <c r="D74" s="72"/>
      <c r="E74" s="73"/>
      <c r="F74" s="74"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x14ac:dyDescent="0.25">
      <c r="B75" s="26" t="s">
        <v>103</v>
      </c>
      <c r="C75" s="47" t="s">
        <v>104</v>
      </c>
      <c r="D75" s="72"/>
      <c r="E75" s="73"/>
      <c r="F75" s="74">
        <v>9947505.7899999991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5.75" thickBot="1" x14ac:dyDescent="0.3">
      <c r="B76" s="32" t="s">
        <v>105</v>
      </c>
      <c r="C76" s="47" t="s">
        <v>106</v>
      </c>
      <c r="D76" s="72"/>
      <c r="E76" s="73"/>
      <c r="F76" s="74">
        <v>10202079.1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6.5" thickTop="1" thickBot="1" x14ac:dyDescent="0.3">
      <c r="B77" s="34"/>
      <c r="C77" s="63" t="s">
        <v>110</v>
      </c>
      <c r="D77" s="75"/>
      <c r="E77" s="76"/>
      <c r="F77" s="77">
        <f>SUM(F68:F76)</f>
        <v>194158242.61999997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9" spans="2:23" ht="15.75" customHeight="1" x14ac:dyDescent="0.25">
      <c r="C79" s="702" t="s">
        <v>111</v>
      </c>
      <c r="D79" s="702"/>
      <c r="E79" s="702"/>
      <c r="F79" s="702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5.75" thickBot="1" x14ac:dyDescent="0.3">
      <c r="C80" s="20"/>
      <c r="D80" s="20"/>
      <c r="E80" s="20"/>
      <c r="F80" s="21" t="s">
        <v>67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x14ac:dyDescent="0.25">
      <c r="B81" s="694"/>
      <c r="C81" s="696" t="s">
        <v>68</v>
      </c>
      <c r="D81" s="698" t="s">
        <v>468</v>
      </c>
      <c r="E81" s="699"/>
      <c r="F81" s="70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 x14ac:dyDescent="0.25">
      <c r="B82" s="695"/>
      <c r="C82" s="697"/>
      <c r="D82" s="22" t="s">
        <v>69</v>
      </c>
      <c r="E82" s="23" t="s">
        <v>70</v>
      </c>
      <c r="F82" s="24" t="s">
        <v>71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x14ac:dyDescent="0.25">
      <c r="B83" s="26" t="s">
        <v>72</v>
      </c>
      <c r="C83" s="27" t="s">
        <v>73</v>
      </c>
      <c r="D83" s="28">
        <v>6739.22</v>
      </c>
      <c r="E83" s="51">
        <v>6739.22</v>
      </c>
      <c r="F83" s="29">
        <f>D83-E83</f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x14ac:dyDescent="0.25">
      <c r="B84" s="26" t="s">
        <v>74</v>
      </c>
      <c r="C84" s="27" t="s">
        <v>75</v>
      </c>
      <c r="D84" s="28">
        <v>1285388.06</v>
      </c>
      <c r="E84" s="51">
        <v>827801.78</v>
      </c>
      <c r="F84" s="29">
        <f t="shared" ref="F84:F91" si="4">D84-E84</f>
        <v>457586.28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x14ac:dyDescent="0.25">
      <c r="B85" s="26" t="s">
        <v>76</v>
      </c>
      <c r="C85" s="27" t="s">
        <v>77</v>
      </c>
      <c r="D85" s="28">
        <v>0</v>
      </c>
      <c r="E85" s="51">
        <v>0</v>
      </c>
      <c r="F85" s="29">
        <f t="shared" si="4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x14ac:dyDescent="0.25">
      <c r="B86" s="26" t="s">
        <v>78</v>
      </c>
      <c r="C86" s="27" t="s">
        <v>79</v>
      </c>
      <c r="D86" s="28">
        <v>3706.4</v>
      </c>
      <c r="E86" s="51">
        <v>0</v>
      </c>
      <c r="F86" s="29">
        <f t="shared" si="4"/>
        <v>3706.4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x14ac:dyDescent="0.25">
      <c r="B87" s="26" t="s">
        <v>80</v>
      </c>
      <c r="C87" s="27" t="s">
        <v>81</v>
      </c>
      <c r="D87" s="28">
        <v>0</v>
      </c>
      <c r="E87" s="51">
        <v>0</v>
      </c>
      <c r="F87" s="29">
        <f t="shared" si="4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x14ac:dyDescent="0.25">
      <c r="B88" s="26" t="s">
        <v>82</v>
      </c>
      <c r="C88" s="27" t="s">
        <v>83</v>
      </c>
      <c r="D88" s="28">
        <v>82272.289999999994</v>
      </c>
      <c r="E88" s="51">
        <v>18693.27</v>
      </c>
      <c r="F88" s="29">
        <f t="shared" si="4"/>
        <v>63579.01999999999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 x14ac:dyDescent="0.25">
      <c r="B89" s="26" t="s">
        <v>84</v>
      </c>
      <c r="C89" s="27" t="s">
        <v>85</v>
      </c>
      <c r="D89" s="28">
        <v>3917.62</v>
      </c>
      <c r="E89" s="51">
        <v>0</v>
      </c>
      <c r="F89" s="29">
        <f t="shared" si="4"/>
        <v>3917.62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 x14ac:dyDescent="0.25">
      <c r="B90" s="26" t="s">
        <v>86</v>
      </c>
      <c r="C90" s="31" t="s">
        <v>87</v>
      </c>
      <c r="D90" s="52">
        <v>2733.61</v>
      </c>
      <c r="E90" s="53">
        <v>0</v>
      </c>
      <c r="F90" s="29">
        <f t="shared" si="4"/>
        <v>2733.61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5.75" thickBot="1" x14ac:dyDescent="0.3">
      <c r="B91" s="32" t="s">
        <v>88</v>
      </c>
      <c r="C91" s="33" t="s">
        <v>89</v>
      </c>
      <c r="D91" s="78">
        <v>634.5</v>
      </c>
      <c r="E91" s="62">
        <v>0</v>
      </c>
      <c r="F91" s="29">
        <f t="shared" si="4"/>
        <v>634.5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6.5" thickTop="1" thickBot="1" x14ac:dyDescent="0.3">
      <c r="B92" s="34"/>
      <c r="C92" s="63" t="s">
        <v>109</v>
      </c>
      <c r="D92" s="36">
        <f>SUM(D83:D91)</f>
        <v>1385391.7000000002</v>
      </c>
      <c r="E92" s="36">
        <f>SUM(E83:E91)</f>
        <v>853234.27</v>
      </c>
      <c r="F92" s="36">
        <f>SUM(F83:F91)</f>
        <v>532157.43000000005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x14ac:dyDescent="0.25">
      <c r="B93" s="39" t="s">
        <v>91</v>
      </c>
      <c r="C93" s="40" t="s">
        <v>92</v>
      </c>
      <c r="D93" s="64"/>
      <c r="E93" s="65"/>
      <c r="F93" s="43"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x14ac:dyDescent="0.25">
      <c r="B94" s="26" t="s">
        <v>93</v>
      </c>
      <c r="C94" s="31" t="s">
        <v>191</v>
      </c>
      <c r="D94" s="66"/>
      <c r="E94" s="67"/>
      <c r="F94" s="68">
        <v>-120025.4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x14ac:dyDescent="0.25">
      <c r="B95" s="26" t="s">
        <v>94</v>
      </c>
      <c r="C95" s="31" t="s">
        <v>95</v>
      </c>
      <c r="D95" s="66"/>
      <c r="E95" s="67"/>
      <c r="F95" s="68">
        <v>4688</v>
      </c>
    </row>
    <row r="96" spans="2:23" x14ac:dyDescent="0.25">
      <c r="B96" s="26" t="s">
        <v>96</v>
      </c>
      <c r="C96" s="47" t="s">
        <v>81</v>
      </c>
      <c r="D96" s="66"/>
      <c r="E96" s="67"/>
      <c r="F96" s="68">
        <v>484695.56</v>
      </c>
    </row>
    <row r="97" spans="2:23" x14ac:dyDescent="0.25">
      <c r="B97" s="26" t="s">
        <v>97</v>
      </c>
      <c r="C97" s="27" t="s">
        <v>98</v>
      </c>
      <c r="D97" s="69"/>
      <c r="E97" s="70"/>
      <c r="F97" s="71">
        <v>2060.96</v>
      </c>
    </row>
    <row r="98" spans="2:23" x14ac:dyDescent="0.25">
      <c r="B98" s="26" t="s">
        <v>99</v>
      </c>
      <c r="C98" s="50" t="s">
        <v>100</v>
      </c>
      <c r="D98" s="69"/>
      <c r="E98" s="70"/>
      <c r="F98" s="71">
        <v>123837.35</v>
      </c>
    </row>
    <row r="99" spans="2:23" x14ac:dyDescent="0.25">
      <c r="B99" s="26" t="s">
        <v>101</v>
      </c>
      <c r="C99" s="47" t="s">
        <v>102</v>
      </c>
      <c r="D99" s="72"/>
      <c r="E99" s="73"/>
      <c r="F99" s="74">
        <v>0</v>
      </c>
    </row>
    <row r="100" spans="2:23" x14ac:dyDescent="0.25">
      <c r="B100" s="26" t="s">
        <v>103</v>
      </c>
      <c r="C100" s="47" t="s">
        <v>104</v>
      </c>
      <c r="D100" s="72"/>
      <c r="E100" s="73"/>
      <c r="F100" s="74">
        <v>36894.769999999997</v>
      </c>
    </row>
    <row r="101" spans="2:23" ht="15.75" thickBot="1" x14ac:dyDescent="0.3">
      <c r="B101" s="32" t="s">
        <v>105</v>
      </c>
      <c r="C101" s="47" t="s">
        <v>106</v>
      </c>
      <c r="D101" s="72"/>
      <c r="E101" s="73"/>
      <c r="F101" s="74">
        <v>6.19</v>
      </c>
    </row>
    <row r="102" spans="2:23" ht="16.5" thickTop="1" thickBot="1" x14ac:dyDescent="0.3">
      <c r="B102" s="34"/>
      <c r="C102" s="63" t="s">
        <v>110</v>
      </c>
      <c r="D102" s="75"/>
      <c r="E102" s="76"/>
      <c r="F102" s="77">
        <f>SUM(F93:F101)</f>
        <v>532157.43000000005</v>
      </c>
    </row>
    <row r="107" spans="2:23" ht="15.75" customHeight="1" x14ac:dyDescent="0.25">
      <c r="C107" s="702" t="s">
        <v>112</v>
      </c>
      <c r="D107" s="702"/>
      <c r="E107" s="702"/>
      <c r="F107" s="702"/>
    </row>
    <row r="108" spans="2:23" ht="15.75" thickBot="1" x14ac:dyDescent="0.3">
      <c r="C108" s="20"/>
      <c r="D108" s="20"/>
      <c r="E108" s="20"/>
      <c r="F108" s="21" t="s">
        <v>67</v>
      </c>
    </row>
    <row r="109" spans="2:23" x14ac:dyDescent="0.25">
      <c r="B109" s="694"/>
      <c r="C109" s="696" t="s">
        <v>68</v>
      </c>
      <c r="D109" s="698" t="s">
        <v>468</v>
      </c>
      <c r="E109" s="699"/>
      <c r="F109" s="700"/>
    </row>
    <row r="110" spans="2:23" x14ac:dyDescent="0.25">
      <c r="B110" s="695"/>
      <c r="C110" s="697"/>
      <c r="D110" s="22" t="s">
        <v>69</v>
      </c>
      <c r="E110" s="23" t="s">
        <v>70</v>
      </c>
      <c r="F110" s="24" t="s">
        <v>71</v>
      </c>
    </row>
    <row r="111" spans="2:23" x14ac:dyDescent="0.25">
      <c r="B111" s="26" t="s">
        <v>72</v>
      </c>
      <c r="C111" s="27" t="s">
        <v>73</v>
      </c>
      <c r="D111" s="28">
        <v>25105.98</v>
      </c>
      <c r="E111" s="51">
        <v>25105.98</v>
      </c>
      <c r="F111" s="29">
        <f>D111-E111</f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x14ac:dyDescent="0.25">
      <c r="B112" s="26" t="s">
        <v>74</v>
      </c>
      <c r="C112" s="27" t="s">
        <v>75</v>
      </c>
      <c r="D112" s="28">
        <v>46403561.640000001</v>
      </c>
      <c r="E112" s="51">
        <v>4386643.8600000003</v>
      </c>
      <c r="F112" s="29">
        <f t="shared" ref="F112:F119" si="5">D112-E112</f>
        <v>42016917.780000001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4" x14ac:dyDescent="0.25">
      <c r="B113" s="26" t="s">
        <v>76</v>
      </c>
      <c r="C113" s="27" t="s">
        <v>77</v>
      </c>
      <c r="D113" s="28">
        <v>0</v>
      </c>
      <c r="E113" s="51">
        <v>0</v>
      </c>
      <c r="F113" s="29">
        <f t="shared" si="5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4" x14ac:dyDescent="0.25">
      <c r="B114" s="26" t="s">
        <v>78</v>
      </c>
      <c r="C114" s="27" t="s">
        <v>79</v>
      </c>
      <c r="D114" s="28">
        <v>1537.56</v>
      </c>
      <c r="E114" s="51">
        <v>0</v>
      </c>
      <c r="F114" s="29">
        <f t="shared" si="5"/>
        <v>1537.56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4" x14ac:dyDescent="0.25">
      <c r="B115" s="26" t="s">
        <v>80</v>
      </c>
      <c r="C115" s="27" t="s">
        <v>81</v>
      </c>
      <c r="D115" s="28">
        <v>0</v>
      </c>
      <c r="E115" s="51">
        <v>0</v>
      </c>
      <c r="F115" s="29">
        <f t="shared" si="5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4" x14ac:dyDescent="0.25">
      <c r="B116" s="26" t="s">
        <v>82</v>
      </c>
      <c r="C116" s="27" t="s">
        <v>83</v>
      </c>
      <c r="D116" s="28">
        <v>100662.86</v>
      </c>
      <c r="E116" s="51">
        <v>30271.94</v>
      </c>
      <c r="F116" s="29">
        <f t="shared" si="5"/>
        <v>70390.92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4" x14ac:dyDescent="0.25">
      <c r="B117" s="26" t="s">
        <v>84</v>
      </c>
      <c r="C117" s="27" t="s">
        <v>85</v>
      </c>
      <c r="D117" s="28">
        <v>880.98</v>
      </c>
      <c r="E117" s="51">
        <v>0</v>
      </c>
      <c r="F117" s="29">
        <f t="shared" si="5"/>
        <v>880.98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4" x14ac:dyDescent="0.25">
      <c r="B118" s="26" t="s">
        <v>86</v>
      </c>
      <c r="C118" s="31" t="s">
        <v>87</v>
      </c>
      <c r="D118" s="52">
        <v>1698.89</v>
      </c>
      <c r="E118" s="53">
        <v>0</v>
      </c>
      <c r="F118" s="29">
        <f t="shared" si="5"/>
        <v>1698.89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4" ht="15.75" thickBot="1" x14ac:dyDescent="0.3">
      <c r="B119" s="32" t="s">
        <v>88</v>
      </c>
      <c r="C119" s="33" t="s">
        <v>89</v>
      </c>
      <c r="D119" s="61">
        <v>0</v>
      </c>
      <c r="E119" s="62">
        <v>0</v>
      </c>
      <c r="F119" s="29">
        <f t="shared" si="5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4" ht="16.5" thickTop="1" thickBot="1" x14ac:dyDescent="0.3">
      <c r="B120" s="34"/>
      <c r="C120" s="63" t="s">
        <v>109</v>
      </c>
      <c r="D120" s="36">
        <f>SUM(D111:D119)</f>
        <v>46533447.909999996</v>
      </c>
      <c r="E120" s="36">
        <f>SUM(E111:E119)</f>
        <v>4442021.7800000012</v>
      </c>
      <c r="F120" s="36">
        <f>SUM(F111:F119)</f>
        <v>42091426.130000003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2:24" x14ac:dyDescent="0.25">
      <c r="B121" s="39" t="s">
        <v>91</v>
      </c>
      <c r="C121" s="40" t="s">
        <v>92</v>
      </c>
      <c r="D121" s="41"/>
      <c r="E121" s="42"/>
      <c r="F121" s="43"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4" x14ac:dyDescent="0.25">
      <c r="B122" s="26" t="s">
        <v>93</v>
      </c>
      <c r="C122" s="31" t="s">
        <v>191</v>
      </c>
      <c r="D122" s="44"/>
      <c r="E122" s="45"/>
      <c r="F122" s="79">
        <v>-58133.19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4" x14ac:dyDescent="0.25">
      <c r="B123" s="26" t="s">
        <v>94</v>
      </c>
      <c r="C123" s="31" t="s">
        <v>95</v>
      </c>
      <c r="D123" s="46"/>
      <c r="E123" s="45"/>
      <c r="F123" s="79">
        <v>25957.66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2:24" x14ac:dyDescent="0.25">
      <c r="B124" s="26" t="s">
        <v>96</v>
      </c>
      <c r="C124" s="47" t="s">
        <v>81</v>
      </c>
      <c r="D124" s="46"/>
      <c r="E124" s="45"/>
      <c r="F124" s="79">
        <v>42064361.810000002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2:24" x14ac:dyDescent="0.25">
      <c r="B125" s="26" t="s">
        <v>97</v>
      </c>
      <c r="C125" s="27" t="s">
        <v>98</v>
      </c>
      <c r="D125" s="48"/>
      <c r="E125" s="49"/>
      <c r="F125" s="80">
        <v>917.58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2:24" x14ac:dyDescent="0.25">
      <c r="B126" s="26" t="s">
        <v>99</v>
      </c>
      <c r="C126" s="50" t="s">
        <v>100</v>
      </c>
      <c r="D126" s="28"/>
      <c r="E126" s="51"/>
      <c r="F126" s="29">
        <v>58322.27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2:24" x14ac:dyDescent="0.25">
      <c r="B127" s="26" t="s">
        <v>101</v>
      </c>
      <c r="C127" s="47" t="s">
        <v>102</v>
      </c>
      <c r="D127" s="52"/>
      <c r="E127" s="53"/>
      <c r="F127" s="81">
        <v>0</v>
      </c>
    </row>
    <row r="128" spans="2:24" x14ac:dyDescent="0.25">
      <c r="B128" s="26" t="s">
        <v>103</v>
      </c>
      <c r="C128" s="47" t="s">
        <v>104</v>
      </c>
      <c r="D128" s="52"/>
      <c r="E128" s="53"/>
      <c r="F128" s="81">
        <v>0</v>
      </c>
    </row>
    <row r="129" spans="2:23" ht="15.75" thickBot="1" x14ac:dyDescent="0.3">
      <c r="B129" s="32" t="s">
        <v>105</v>
      </c>
      <c r="C129" s="47" t="s">
        <v>106</v>
      </c>
      <c r="D129" s="52"/>
      <c r="E129" s="53"/>
      <c r="F129" s="81">
        <v>0</v>
      </c>
    </row>
    <row r="130" spans="2:23" ht="16.5" thickTop="1" thickBot="1" x14ac:dyDescent="0.3">
      <c r="B130" s="34"/>
      <c r="C130" s="63" t="s">
        <v>110</v>
      </c>
      <c r="D130" s="54"/>
      <c r="E130" s="55"/>
      <c r="F130" s="38">
        <f>SUM(F121:F129)</f>
        <v>42091426.130000003</v>
      </c>
    </row>
    <row r="132" spans="2:23" ht="15.75" customHeight="1" x14ac:dyDescent="0.25">
      <c r="C132" s="702" t="s">
        <v>113</v>
      </c>
      <c r="D132" s="702"/>
      <c r="E132" s="702"/>
      <c r="F132" s="702"/>
    </row>
    <row r="133" spans="2:23" ht="15.75" thickBot="1" x14ac:dyDescent="0.3">
      <c r="C133" s="20"/>
      <c r="D133" s="20"/>
      <c r="E133" s="20"/>
      <c r="F133" s="21" t="s">
        <v>67</v>
      </c>
    </row>
    <row r="134" spans="2:23" x14ac:dyDescent="0.25">
      <c r="B134" s="694"/>
      <c r="C134" s="696" t="s">
        <v>68</v>
      </c>
      <c r="D134" s="698" t="s">
        <v>468</v>
      </c>
      <c r="E134" s="699"/>
      <c r="F134" s="700"/>
    </row>
    <row r="135" spans="2:23" x14ac:dyDescent="0.25">
      <c r="B135" s="695"/>
      <c r="C135" s="697"/>
      <c r="D135" s="22" t="s">
        <v>69</v>
      </c>
      <c r="E135" s="23" t="s">
        <v>70</v>
      </c>
      <c r="F135" s="24" t="s">
        <v>71</v>
      </c>
    </row>
    <row r="136" spans="2:23" x14ac:dyDescent="0.25">
      <c r="B136" s="26" t="s">
        <v>72</v>
      </c>
      <c r="C136" s="27" t="s">
        <v>73</v>
      </c>
      <c r="D136" s="28">
        <v>0</v>
      </c>
      <c r="E136" s="51">
        <v>0</v>
      </c>
      <c r="F136" s="29">
        <f>D136-E136</f>
        <v>0</v>
      </c>
    </row>
    <row r="137" spans="2:23" x14ac:dyDescent="0.25">
      <c r="B137" s="26" t="s">
        <v>74</v>
      </c>
      <c r="C137" s="27" t="s">
        <v>75</v>
      </c>
      <c r="D137" s="28">
        <v>2399646.27</v>
      </c>
      <c r="E137" s="51">
        <v>1750387.75</v>
      </c>
      <c r="F137" s="29">
        <f t="shared" ref="F137:F144" si="6">D137-E137</f>
        <v>649258.52</v>
      </c>
    </row>
    <row r="138" spans="2:23" x14ac:dyDescent="0.25">
      <c r="B138" s="26" t="s">
        <v>76</v>
      </c>
      <c r="C138" s="27" t="s">
        <v>77</v>
      </c>
      <c r="D138" s="28">
        <v>0</v>
      </c>
      <c r="E138" s="51">
        <v>0</v>
      </c>
      <c r="F138" s="29">
        <f t="shared" si="6"/>
        <v>0</v>
      </c>
    </row>
    <row r="139" spans="2:23" x14ac:dyDescent="0.25">
      <c r="B139" s="26" t="s">
        <v>78</v>
      </c>
      <c r="C139" s="27" t="s">
        <v>79</v>
      </c>
      <c r="D139" s="28">
        <v>11764.69</v>
      </c>
      <c r="E139" s="51">
        <v>0</v>
      </c>
      <c r="F139" s="29">
        <f t="shared" si="6"/>
        <v>11764.69</v>
      </c>
    </row>
    <row r="140" spans="2:23" x14ac:dyDescent="0.25">
      <c r="B140" s="26" t="s">
        <v>80</v>
      </c>
      <c r="C140" s="27" t="s">
        <v>81</v>
      </c>
      <c r="D140" s="28">
        <v>0</v>
      </c>
      <c r="E140" s="51">
        <v>0</v>
      </c>
      <c r="F140" s="29">
        <f t="shared" si="6"/>
        <v>0</v>
      </c>
    </row>
    <row r="141" spans="2:23" x14ac:dyDescent="0.25">
      <c r="B141" s="26" t="s">
        <v>82</v>
      </c>
      <c r="C141" s="27" t="s">
        <v>83</v>
      </c>
      <c r="D141" s="28">
        <v>2810.87</v>
      </c>
      <c r="E141" s="51">
        <v>0</v>
      </c>
      <c r="F141" s="29">
        <f t="shared" si="6"/>
        <v>2810.87</v>
      </c>
    </row>
    <row r="142" spans="2:23" x14ac:dyDescent="0.25">
      <c r="B142" s="26" t="s">
        <v>84</v>
      </c>
      <c r="C142" s="27" t="s">
        <v>85</v>
      </c>
      <c r="D142" s="28">
        <v>45692.160000000003</v>
      </c>
      <c r="E142" s="51">
        <v>0</v>
      </c>
      <c r="F142" s="29">
        <f t="shared" si="6"/>
        <v>45692.160000000003</v>
      </c>
    </row>
    <row r="143" spans="2:23" x14ac:dyDescent="0.25">
      <c r="B143" s="26" t="s">
        <v>86</v>
      </c>
      <c r="C143" s="31" t="s">
        <v>87</v>
      </c>
      <c r="D143" s="52">
        <v>766.04</v>
      </c>
      <c r="E143" s="53">
        <v>0</v>
      </c>
      <c r="F143" s="29">
        <f t="shared" si="6"/>
        <v>766.04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2:23" ht="15.75" thickBot="1" x14ac:dyDescent="0.3">
      <c r="B144" s="32" t="s">
        <v>88</v>
      </c>
      <c r="C144" s="33" t="s">
        <v>89</v>
      </c>
      <c r="D144" s="61">
        <v>0</v>
      </c>
      <c r="E144" s="62">
        <v>0</v>
      </c>
      <c r="F144" s="82">
        <f t="shared" si="6"/>
        <v>0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2:23" ht="16.5" thickTop="1" thickBot="1" x14ac:dyDescent="0.3">
      <c r="B145" s="34"/>
      <c r="C145" s="63" t="s">
        <v>109</v>
      </c>
      <c r="D145" s="36">
        <f>SUM(D136:D144)</f>
        <v>2460680.0300000003</v>
      </c>
      <c r="E145" s="36">
        <f>SUM(E136:E144)</f>
        <v>1750387.75</v>
      </c>
      <c r="F145" s="36">
        <f>SUM(F136:F144)</f>
        <v>710292.28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2:23" x14ac:dyDescent="0.25">
      <c r="B146" s="39" t="s">
        <v>91</v>
      </c>
      <c r="C146" s="40" t="s">
        <v>92</v>
      </c>
      <c r="D146" s="64"/>
      <c r="E146" s="65"/>
      <c r="F146" s="43">
        <v>0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2:23" x14ac:dyDescent="0.25">
      <c r="B147" s="26" t="s">
        <v>93</v>
      </c>
      <c r="C147" s="31" t="s">
        <v>191</v>
      </c>
      <c r="D147" s="66"/>
      <c r="E147" s="67"/>
      <c r="F147" s="68">
        <v>-177513.47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2:23" x14ac:dyDescent="0.25">
      <c r="B148" s="26" t="s">
        <v>94</v>
      </c>
      <c r="C148" s="31" t="s">
        <v>95</v>
      </c>
      <c r="D148" s="66"/>
      <c r="E148" s="67"/>
      <c r="F148" s="68">
        <v>0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2:23" x14ac:dyDescent="0.25">
      <c r="B149" s="26" t="s">
        <v>96</v>
      </c>
      <c r="C149" s="47" t="s">
        <v>81</v>
      </c>
      <c r="D149" s="66"/>
      <c r="E149" s="67"/>
      <c r="F149" s="68">
        <v>649258.52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2:23" x14ac:dyDescent="0.25">
      <c r="B150" s="26" t="s">
        <v>97</v>
      </c>
      <c r="C150" s="27" t="s">
        <v>98</v>
      </c>
      <c r="D150" s="69"/>
      <c r="E150" s="70"/>
      <c r="F150" s="71">
        <v>1.21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x14ac:dyDescent="0.25">
      <c r="B151" s="26" t="s">
        <v>99</v>
      </c>
      <c r="C151" s="50" t="s">
        <v>100</v>
      </c>
      <c r="D151" s="69"/>
      <c r="E151" s="70"/>
      <c r="F151" s="71">
        <v>238316.03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2:23" x14ac:dyDescent="0.25">
      <c r="B152" s="26" t="s">
        <v>101</v>
      </c>
      <c r="C152" s="47" t="s">
        <v>102</v>
      </c>
      <c r="D152" s="72"/>
      <c r="E152" s="73"/>
      <c r="F152" s="74">
        <v>0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2:23" x14ac:dyDescent="0.25">
      <c r="B153" s="26" t="s">
        <v>103</v>
      </c>
      <c r="C153" s="47" t="s">
        <v>104</v>
      </c>
      <c r="D153" s="72"/>
      <c r="E153" s="73"/>
      <c r="F153" s="74">
        <v>229.99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2:23" ht="15.75" thickBot="1" x14ac:dyDescent="0.3">
      <c r="B154" s="32" t="s">
        <v>105</v>
      </c>
      <c r="C154" s="47" t="s">
        <v>106</v>
      </c>
      <c r="D154" s="72"/>
      <c r="E154" s="73"/>
      <c r="F154" s="74">
        <v>0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2:23" ht="16.5" thickTop="1" thickBot="1" x14ac:dyDescent="0.3">
      <c r="B155" s="34"/>
      <c r="C155" s="63" t="s">
        <v>110</v>
      </c>
      <c r="D155" s="75"/>
      <c r="E155" s="76"/>
      <c r="F155" s="77">
        <f>SUM(F146:F154)</f>
        <v>710292.28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60" spans="2:23" ht="15.75" customHeight="1" x14ac:dyDescent="0.25">
      <c r="C160" s="702" t="s">
        <v>114</v>
      </c>
      <c r="D160" s="702"/>
      <c r="E160" s="702"/>
      <c r="F160" s="70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2:23" ht="15.75" thickBot="1" x14ac:dyDescent="0.3">
      <c r="C161" s="20"/>
      <c r="D161" s="20"/>
      <c r="E161" s="20"/>
      <c r="F161" s="21" t="s">
        <v>67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2:23" x14ac:dyDescent="0.25">
      <c r="B162" s="694"/>
      <c r="C162" s="696" t="s">
        <v>68</v>
      </c>
      <c r="D162" s="698" t="s">
        <v>468</v>
      </c>
      <c r="E162" s="699"/>
      <c r="F162" s="70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2:23" x14ac:dyDescent="0.25">
      <c r="B163" s="695"/>
      <c r="C163" s="697"/>
      <c r="D163" s="22" t="s">
        <v>69</v>
      </c>
      <c r="E163" s="23" t="s">
        <v>70</v>
      </c>
      <c r="F163" s="24" t="s">
        <v>71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2:23" x14ac:dyDescent="0.25">
      <c r="B164" s="26" t="s">
        <v>72</v>
      </c>
      <c r="C164" s="27" t="s">
        <v>73</v>
      </c>
      <c r="D164" s="28">
        <v>0</v>
      </c>
      <c r="E164" s="51">
        <v>0</v>
      </c>
      <c r="F164" s="29">
        <f>D164-E164</f>
        <v>0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2:23" x14ac:dyDescent="0.25">
      <c r="B165" s="26" t="s">
        <v>74</v>
      </c>
      <c r="C165" s="27" t="s">
        <v>75</v>
      </c>
      <c r="D165" s="28">
        <v>2951598.32</v>
      </c>
      <c r="E165" s="51">
        <v>1456297.09</v>
      </c>
      <c r="F165" s="29">
        <f t="shared" ref="F165:F172" si="7">D165-E165</f>
        <v>1495301.2299999997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2:23" x14ac:dyDescent="0.25">
      <c r="B166" s="26" t="s">
        <v>76</v>
      </c>
      <c r="C166" s="27" t="s">
        <v>77</v>
      </c>
      <c r="D166" s="28">
        <v>0</v>
      </c>
      <c r="E166" s="51">
        <v>0</v>
      </c>
      <c r="F166" s="29">
        <f t="shared" si="7"/>
        <v>0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2:23" x14ac:dyDescent="0.25">
      <c r="B167" s="26" t="s">
        <v>78</v>
      </c>
      <c r="C167" s="27" t="s">
        <v>79</v>
      </c>
      <c r="D167" s="28">
        <v>0</v>
      </c>
      <c r="E167" s="51">
        <v>0</v>
      </c>
      <c r="F167" s="29">
        <f t="shared" si="7"/>
        <v>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2:23" x14ac:dyDescent="0.25">
      <c r="B168" s="26" t="s">
        <v>80</v>
      </c>
      <c r="C168" s="27" t="s">
        <v>81</v>
      </c>
      <c r="D168" s="28">
        <v>0</v>
      </c>
      <c r="E168" s="51">
        <v>0</v>
      </c>
      <c r="F168" s="29">
        <f t="shared" si="7"/>
        <v>0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2:23" x14ac:dyDescent="0.25">
      <c r="B169" s="26" t="s">
        <v>82</v>
      </c>
      <c r="C169" s="27" t="s">
        <v>83</v>
      </c>
      <c r="D169" s="28">
        <v>0</v>
      </c>
      <c r="E169" s="51">
        <v>0</v>
      </c>
      <c r="F169" s="29">
        <f t="shared" si="7"/>
        <v>0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2:23" x14ac:dyDescent="0.25">
      <c r="B170" s="26" t="s">
        <v>84</v>
      </c>
      <c r="C170" s="27" t="s">
        <v>85</v>
      </c>
      <c r="D170" s="28">
        <v>85167.07</v>
      </c>
      <c r="E170" s="51">
        <v>0</v>
      </c>
      <c r="F170" s="29">
        <f t="shared" si="7"/>
        <v>85167.07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2:23" x14ac:dyDescent="0.25">
      <c r="B171" s="26" t="s">
        <v>86</v>
      </c>
      <c r="C171" s="31" t="s">
        <v>87</v>
      </c>
      <c r="D171" s="52">
        <v>937.05</v>
      </c>
      <c r="E171" s="53">
        <v>0</v>
      </c>
      <c r="F171" s="29">
        <f t="shared" si="7"/>
        <v>937.05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2:23" ht="15.75" thickBot="1" x14ac:dyDescent="0.3">
      <c r="B172" s="32" t="s">
        <v>88</v>
      </c>
      <c r="C172" s="33" t="s">
        <v>89</v>
      </c>
      <c r="D172" s="61">
        <v>0</v>
      </c>
      <c r="E172" s="62">
        <v>0</v>
      </c>
      <c r="F172" s="29">
        <f t="shared" si="7"/>
        <v>0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2:23" ht="16.5" thickTop="1" thickBot="1" x14ac:dyDescent="0.3">
      <c r="B173" s="34"/>
      <c r="C173" s="63" t="s">
        <v>109</v>
      </c>
      <c r="D173" s="36">
        <f>SUM(D164:D172)</f>
        <v>3037702.4399999995</v>
      </c>
      <c r="E173" s="36">
        <f>SUM(E164:E172)</f>
        <v>1456297.09</v>
      </c>
      <c r="F173" s="36">
        <f>SUM(F164:F172)</f>
        <v>1581405.3499999999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2:23" x14ac:dyDescent="0.25">
      <c r="B174" s="39" t="s">
        <v>91</v>
      </c>
      <c r="C174" s="40" t="s">
        <v>92</v>
      </c>
      <c r="D174" s="64"/>
      <c r="E174" s="65"/>
      <c r="F174" s="43">
        <v>0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2:23" x14ac:dyDescent="0.25">
      <c r="B175" s="26" t="s">
        <v>93</v>
      </c>
      <c r="C175" s="31" t="s">
        <v>191</v>
      </c>
      <c r="D175" s="66"/>
      <c r="E175" s="67"/>
      <c r="F175" s="68">
        <v>-11104.32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2:23" x14ac:dyDescent="0.25">
      <c r="B176" s="26" t="s">
        <v>94</v>
      </c>
      <c r="C176" s="31" t="s">
        <v>95</v>
      </c>
      <c r="D176" s="66"/>
      <c r="E176" s="67"/>
      <c r="F176" s="68">
        <v>0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2:23" x14ac:dyDescent="0.25">
      <c r="B177" s="26" t="s">
        <v>96</v>
      </c>
      <c r="C177" s="47" t="s">
        <v>81</v>
      </c>
      <c r="D177" s="66"/>
      <c r="E177" s="67"/>
      <c r="F177" s="68">
        <v>1495301.23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2:23" x14ac:dyDescent="0.25">
      <c r="B178" s="26" t="s">
        <v>97</v>
      </c>
      <c r="C178" s="27" t="s">
        <v>98</v>
      </c>
      <c r="D178" s="69"/>
      <c r="E178" s="70"/>
      <c r="F178" s="71">
        <v>4859.1499999999996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2:23" x14ac:dyDescent="0.25">
      <c r="B179" s="26" t="s">
        <v>99</v>
      </c>
      <c r="C179" s="50" t="s">
        <v>100</v>
      </c>
      <c r="D179" s="69"/>
      <c r="E179" s="70"/>
      <c r="F179" s="71">
        <v>91412.24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2:23" x14ac:dyDescent="0.25">
      <c r="B180" s="26" t="s">
        <v>101</v>
      </c>
      <c r="C180" s="47" t="s">
        <v>102</v>
      </c>
      <c r="D180" s="72"/>
      <c r="E180" s="73"/>
      <c r="F180" s="74">
        <v>0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2:23" x14ac:dyDescent="0.25">
      <c r="B181" s="26" t="s">
        <v>103</v>
      </c>
      <c r="C181" s="47" t="s">
        <v>104</v>
      </c>
      <c r="D181" s="72"/>
      <c r="E181" s="73"/>
      <c r="F181" s="74">
        <v>937.05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2:23" ht="15.75" thickBot="1" x14ac:dyDescent="0.3">
      <c r="B182" s="32" t="s">
        <v>105</v>
      </c>
      <c r="C182" s="47" t="s">
        <v>106</v>
      </c>
      <c r="D182" s="72"/>
      <c r="E182" s="73"/>
      <c r="F182" s="74">
        <v>0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2:23" ht="16.5" thickTop="1" thickBot="1" x14ac:dyDescent="0.3">
      <c r="B183" s="34"/>
      <c r="C183" s="63" t="s">
        <v>110</v>
      </c>
      <c r="D183" s="54"/>
      <c r="E183" s="55"/>
      <c r="F183" s="38">
        <f>SUM(F174:F182)</f>
        <v>1581405.3499999999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2:23" x14ac:dyDescent="0.2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2:23" x14ac:dyDescent="0.2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2:23" ht="15.75" customHeight="1" x14ac:dyDescent="0.25">
      <c r="C186" s="702" t="s">
        <v>115</v>
      </c>
      <c r="D186" s="702"/>
      <c r="E186" s="702"/>
      <c r="F186" s="70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2:23" ht="15.75" thickBot="1" x14ac:dyDescent="0.3">
      <c r="C187" s="20"/>
      <c r="D187" s="20"/>
      <c r="E187" s="20"/>
      <c r="F187" s="21" t="s">
        <v>67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2:23" x14ac:dyDescent="0.25">
      <c r="B188" s="694"/>
      <c r="C188" s="696" t="s">
        <v>68</v>
      </c>
      <c r="D188" s="698" t="s">
        <v>468</v>
      </c>
      <c r="E188" s="699"/>
      <c r="F188" s="700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2:23" x14ac:dyDescent="0.25">
      <c r="B189" s="695"/>
      <c r="C189" s="697"/>
      <c r="D189" s="22" t="s">
        <v>69</v>
      </c>
      <c r="E189" s="23" t="s">
        <v>70</v>
      </c>
      <c r="F189" s="24" t="s">
        <v>71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2:23" x14ac:dyDescent="0.25">
      <c r="B190" s="26" t="s">
        <v>72</v>
      </c>
      <c r="C190" s="27" t="s">
        <v>73</v>
      </c>
      <c r="D190" s="28">
        <v>0</v>
      </c>
      <c r="E190" s="51">
        <v>0</v>
      </c>
      <c r="F190" s="29">
        <f>D190-E190</f>
        <v>0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2:23" x14ac:dyDescent="0.25">
      <c r="B191" s="26" t="s">
        <v>74</v>
      </c>
      <c r="C191" s="27" t="s">
        <v>75</v>
      </c>
      <c r="D191" s="28">
        <v>1951061.73</v>
      </c>
      <c r="E191" s="51">
        <v>691451.7</v>
      </c>
      <c r="F191" s="29">
        <f t="shared" ref="F191:F198" si="8">D191-E191</f>
        <v>1259610.03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2:23" x14ac:dyDescent="0.25">
      <c r="B192" s="26" t="s">
        <v>76</v>
      </c>
      <c r="C192" s="27" t="s">
        <v>77</v>
      </c>
      <c r="D192" s="28">
        <v>0</v>
      </c>
      <c r="E192" s="51">
        <v>0</v>
      </c>
      <c r="F192" s="29">
        <f t="shared" si="8"/>
        <v>0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2:23" x14ac:dyDescent="0.25">
      <c r="B193" s="26" t="s">
        <v>78</v>
      </c>
      <c r="C193" s="27" t="s">
        <v>79</v>
      </c>
      <c r="D193" s="28">
        <v>9908.9699999999993</v>
      </c>
      <c r="E193" s="51">
        <v>0</v>
      </c>
      <c r="F193" s="29">
        <f t="shared" si="8"/>
        <v>9908.9699999999993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2:23" x14ac:dyDescent="0.25">
      <c r="B194" s="26" t="s">
        <v>80</v>
      </c>
      <c r="C194" s="27" t="s">
        <v>81</v>
      </c>
      <c r="D194" s="28">
        <v>0</v>
      </c>
      <c r="E194" s="51">
        <v>0</v>
      </c>
      <c r="F194" s="29">
        <f t="shared" si="8"/>
        <v>0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2:23" x14ac:dyDescent="0.25">
      <c r="B195" s="26" t="s">
        <v>82</v>
      </c>
      <c r="C195" s="27" t="s">
        <v>83</v>
      </c>
      <c r="D195" s="28">
        <v>4245.78</v>
      </c>
      <c r="E195" s="51">
        <v>0</v>
      </c>
      <c r="F195" s="29">
        <f t="shared" si="8"/>
        <v>4245.78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2:23" x14ac:dyDescent="0.25">
      <c r="B196" s="26" t="s">
        <v>84</v>
      </c>
      <c r="C196" s="27" t="s">
        <v>85</v>
      </c>
      <c r="D196" s="28">
        <v>64415.49</v>
      </c>
      <c r="E196" s="51">
        <v>0</v>
      </c>
      <c r="F196" s="29">
        <f t="shared" si="8"/>
        <v>64415.49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2:23" x14ac:dyDescent="0.25">
      <c r="B197" s="26" t="s">
        <v>86</v>
      </c>
      <c r="C197" s="31" t="s">
        <v>87</v>
      </c>
      <c r="D197" s="52">
        <v>337.12</v>
      </c>
      <c r="E197" s="53">
        <v>0</v>
      </c>
      <c r="F197" s="29">
        <f t="shared" si="8"/>
        <v>337.12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2:23" ht="15.75" thickBot="1" x14ac:dyDescent="0.3">
      <c r="B198" s="32" t="s">
        <v>88</v>
      </c>
      <c r="C198" s="33" t="s">
        <v>89</v>
      </c>
      <c r="D198" s="61">
        <v>0</v>
      </c>
      <c r="E198" s="62">
        <v>0</v>
      </c>
      <c r="F198" s="29">
        <f t="shared" si="8"/>
        <v>0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2:23" ht="16.5" thickTop="1" thickBot="1" x14ac:dyDescent="0.3">
      <c r="B199" s="34"/>
      <c r="C199" s="63" t="s">
        <v>109</v>
      </c>
      <c r="D199" s="36">
        <f>SUM(D190:D198)</f>
        <v>2029969.09</v>
      </c>
      <c r="E199" s="36">
        <f>SUM(E190:E198)</f>
        <v>691451.7</v>
      </c>
      <c r="F199" s="36">
        <f>SUM(F190:F198)</f>
        <v>1338517.3900000001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2:23" x14ac:dyDescent="0.25">
      <c r="B200" s="39" t="s">
        <v>91</v>
      </c>
      <c r="C200" s="40" t="s">
        <v>92</v>
      </c>
      <c r="D200" s="64"/>
      <c r="E200" s="65"/>
      <c r="F200" s="43">
        <v>0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2:23" x14ac:dyDescent="0.25">
      <c r="B201" s="26" t="s">
        <v>93</v>
      </c>
      <c r="C201" s="31" t="s">
        <v>191</v>
      </c>
      <c r="D201" s="66"/>
      <c r="E201" s="67"/>
      <c r="F201" s="68">
        <v>-20540.080000000002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2:23" x14ac:dyDescent="0.25">
      <c r="B202" s="26" t="s">
        <v>94</v>
      </c>
      <c r="C202" s="31" t="s">
        <v>95</v>
      </c>
      <c r="D202" s="66"/>
      <c r="E202" s="67"/>
      <c r="F202" s="68">
        <v>3592.37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2:23" x14ac:dyDescent="0.25">
      <c r="B203" s="26" t="s">
        <v>96</v>
      </c>
      <c r="C203" s="47" t="s">
        <v>81</v>
      </c>
      <c r="D203" s="66"/>
      <c r="E203" s="67"/>
      <c r="F203" s="68">
        <v>1259609.94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2:23" x14ac:dyDescent="0.25">
      <c r="B204" s="26" t="s">
        <v>97</v>
      </c>
      <c r="C204" s="27" t="s">
        <v>98</v>
      </c>
      <c r="D204" s="69"/>
      <c r="E204" s="70"/>
      <c r="F204" s="71">
        <v>1472.12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2:23" x14ac:dyDescent="0.25">
      <c r="B205" s="26" t="s">
        <v>99</v>
      </c>
      <c r="C205" s="50" t="s">
        <v>100</v>
      </c>
      <c r="D205" s="69"/>
      <c r="E205" s="70"/>
      <c r="F205" s="71">
        <v>94045.92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2:23" x14ac:dyDescent="0.25">
      <c r="B206" s="26" t="s">
        <v>101</v>
      </c>
      <c r="C206" s="47" t="s">
        <v>102</v>
      </c>
      <c r="D206" s="72"/>
      <c r="E206" s="73"/>
      <c r="F206" s="74">
        <v>0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2:23" x14ac:dyDescent="0.25">
      <c r="B207" s="26" t="s">
        <v>103</v>
      </c>
      <c r="C207" s="47" t="s">
        <v>104</v>
      </c>
      <c r="D207" s="72"/>
      <c r="E207" s="73"/>
      <c r="F207" s="74">
        <v>337.12</v>
      </c>
    </row>
    <row r="208" spans="2:23" ht="15.75" thickBot="1" x14ac:dyDescent="0.3">
      <c r="B208" s="32" t="s">
        <v>105</v>
      </c>
      <c r="C208" s="47" t="s">
        <v>106</v>
      </c>
      <c r="D208" s="72"/>
      <c r="E208" s="73"/>
      <c r="F208" s="74">
        <v>0</v>
      </c>
    </row>
    <row r="209" spans="2:23" ht="16.5" thickTop="1" thickBot="1" x14ac:dyDescent="0.3">
      <c r="B209" s="34"/>
      <c r="C209" s="63" t="s">
        <v>110</v>
      </c>
      <c r="D209" s="75"/>
      <c r="E209" s="76"/>
      <c r="F209" s="77">
        <f>SUM(F200:F208)</f>
        <v>1338517.3900000001</v>
      </c>
    </row>
    <row r="215" spans="2:23" ht="15.75" customHeight="1" x14ac:dyDescent="0.25">
      <c r="C215" s="702" t="s">
        <v>116</v>
      </c>
      <c r="D215" s="702"/>
      <c r="E215" s="702"/>
      <c r="F215" s="702"/>
    </row>
    <row r="216" spans="2:23" ht="15.75" thickBot="1" x14ac:dyDescent="0.3">
      <c r="C216" s="20"/>
      <c r="D216" s="20"/>
      <c r="E216" s="20"/>
      <c r="F216" s="21" t="s">
        <v>67</v>
      </c>
    </row>
    <row r="217" spans="2:23" x14ac:dyDescent="0.25">
      <c r="B217" s="694"/>
      <c r="C217" s="696" t="s">
        <v>68</v>
      </c>
      <c r="D217" s="698" t="s">
        <v>468</v>
      </c>
      <c r="E217" s="699"/>
      <c r="F217" s="700"/>
    </row>
    <row r="218" spans="2:23" x14ac:dyDescent="0.25">
      <c r="B218" s="695"/>
      <c r="C218" s="697"/>
      <c r="D218" s="22" t="s">
        <v>69</v>
      </c>
      <c r="E218" s="23" t="s">
        <v>70</v>
      </c>
      <c r="F218" s="24" t="s">
        <v>71</v>
      </c>
    </row>
    <row r="219" spans="2:23" x14ac:dyDescent="0.25">
      <c r="B219" s="26" t="s">
        <v>72</v>
      </c>
      <c r="C219" s="27" t="s">
        <v>73</v>
      </c>
      <c r="D219" s="28">
        <v>0</v>
      </c>
      <c r="E219" s="51">
        <v>0</v>
      </c>
      <c r="F219" s="29">
        <f>D219-E219</f>
        <v>0</v>
      </c>
    </row>
    <row r="220" spans="2:23" x14ac:dyDescent="0.25">
      <c r="B220" s="26" t="s">
        <v>74</v>
      </c>
      <c r="C220" s="27" t="s">
        <v>75</v>
      </c>
      <c r="D220" s="28">
        <v>656047.86</v>
      </c>
      <c r="E220" s="51">
        <v>526621.69999999995</v>
      </c>
      <c r="F220" s="29">
        <f t="shared" ref="F220:F227" si="9">D220-E220</f>
        <v>129426.16000000003</v>
      </c>
    </row>
    <row r="221" spans="2:23" x14ac:dyDescent="0.25">
      <c r="B221" s="26" t="s">
        <v>76</v>
      </c>
      <c r="C221" s="27" t="s">
        <v>77</v>
      </c>
      <c r="D221" s="28">
        <v>0</v>
      </c>
      <c r="E221" s="51">
        <v>0</v>
      </c>
      <c r="F221" s="29">
        <f t="shared" si="9"/>
        <v>0</v>
      </c>
    </row>
    <row r="222" spans="2:23" x14ac:dyDescent="0.25">
      <c r="B222" s="26" t="s">
        <v>78</v>
      </c>
      <c r="C222" s="27" t="s">
        <v>79</v>
      </c>
      <c r="D222" s="28">
        <v>3872.97</v>
      </c>
      <c r="E222" s="51">
        <v>0</v>
      </c>
      <c r="F222" s="29">
        <f t="shared" si="9"/>
        <v>3872.97</v>
      </c>
    </row>
    <row r="223" spans="2:23" x14ac:dyDescent="0.25">
      <c r="B223" s="26" t="s">
        <v>80</v>
      </c>
      <c r="C223" s="27" t="s">
        <v>81</v>
      </c>
      <c r="D223" s="28">
        <v>0</v>
      </c>
      <c r="E223" s="51">
        <v>0</v>
      </c>
      <c r="F223" s="29">
        <f t="shared" si="9"/>
        <v>0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2:23" x14ac:dyDescent="0.25">
      <c r="B224" s="26" t="s">
        <v>82</v>
      </c>
      <c r="C224" s="27" t="s">
        <v>83</v>
      </c>
      <c r="D224" s="28">
        <v>0</v>
      </c>
      <c r="E224" s="51">
        <v>0</v>
      </c>
      <c r="F224" s="29">
        <f t="shared" si="9"/>
        <v>0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2:23" x14ac:dyDescent="0.25">
      <c r="B225" s="26" t="s">
        <v>84</v>
      </c>
      <c r="C225" s="27" t="s">
        <v>85</v>
      </c>
      <c r="D225" s="28">
        <v>37594.959999999999</v>
      </c>
      <c r="E225" s="51">
        <v>0</v>
      </c>
      <c r="F225" s="29">
        <f t="shared" si="9"/>
        <v>37594.959999999999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2:23" x14ac:dyDescent="0.25">
      <c r="B226" s="26" t="s">
        <v>86</v>
      </c>
      <c r="C226" s="31" t="s">
        <v>87</v>
      </c>
      <c r="D226" s="52">
        <v>1255.8599999999999</v>
      </c>
      <c r="E226" s="53">
        <v>0</v>
      </c>
      <c r="F226" s="29">
        <f>D226-E226</f>
        <v>1255.8599999999999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2:23" ht="15.75" thickBot="1" x14ac:dyDescent="0.3">
      <c r="B227" s="32" t="s">
        <v>88</v>
      </c>
      <c r="C227" s="33" t="s">
        <v>89</v>
      </c>
      <c r="D227" s="61">
        <v>0</v>
      </c>
      <c r="E227" s="62">
        <v>0</v>
      </c>
      <c r="F227" s="29">
        <f t="shared" si="9"/>
        <v>0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2:23" ht="16.5" thickTop="1" thickBot="1" x14ac:dyDescent="0.3">
      <c r="B228" s="34"/>
      <c r="C228" s="63" t="s">
        <v>109</v>
      </c>
      <c r="D228" s="36">
        <f>SUM(D219:D227)</f>
        <v>698771.64999999991</v>
      </c>
      <c r="E228" s="36">
        <f>SUM(E219:E227)</f>
        <v>526621.69999999995</v>
      </c>
      <c r="F228" s="36">
        <f>SUM(F219:F227)</f>
        <v>172149.95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2:23" x14ac:dyDescent="0.25">
      <c r="B229" s="39" t="s">
        <v>91</v>
      </c>
      <c r="C229" s="40" t="s">
        <v>92</v>
      </c>
      <c r="D229" s="64"/>
      <c r="E229" s="65"/>
      <c r="F229" s="43">
        <v>0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2:23" x14ac:dyDescent="0.25">
      <c r="B230" s="26" t="s">
        <v>93</v>
      </c>
      <c r="C230" s="31" t="s">
        <v>191</v>
      </c>
      <c r="D230" s="66"/>
      <c r="E230" s="67"/>
      <c r="F230" s="68">
        <v>-13950.79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2:23" x14ac:dyDescent="0.25">
      <c r="B231" s="26" t="s">
        <v>94</v>
      </c>
      <c r="C231" s="31" t="s">
        <v>95</v>
      </c>
      <c r="D231" s="66"/>
      <c r="E231" s="67"/>
      <c r="F231" s="68">
        <v>0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2:23" x14ac:dyDescent="0.25">
      <c r="B232" s="26" t="s">
        <v>96</v>
      </c>
      <c r="C232" s="47" t="s">
        <v>81</v>
      </c>
      <c r="D232" s="66"/>
      <c r="E232" s="67"/>
      <c r="F232" s="68">
        <v>111346.29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2:23" x14ac:dyDescent="0.25">
      <c r="B233" s="26" t="s">
        <v>97</v>
      </c>
      <c r="C233" s="27" t="s">
        <v>98</v>
      </c>
      <c r="D233" s="69"/>
      <c r="E233" s="70"/>
      <c r="F233" s="71">
        <v>304.31</v>
      </c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2:23" x14ac:dyDescent="0.25">
      <c r="B234" s="26" t="s">
        <v>99</v>
      </c>
      <c r="C234" s="50" t="s">
        <v>100</v>
      </c>
      <c r="D234" s="69"/>
      <c r="E234" s="70"/>
      <c r="F234" s="71">
        <v>55137.26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2:23" x14ac:dyDescent="0.25">
      <c r="B235" s="26" t="s">
        <v>101</v>
      </c>
      <c r="C235" s="47" t="s">
        <v>102</v>
      </c>
      <c r="D235" s="72"/>
      <c r="E235" s="73"/>
      <c r="F235" s="74">
        <v>0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2:23" x14ac:dyDescent="0.25">
      <c r="B236" s="26" t="s">
        <v>103</v>
      </c>
      <c r="C236" s="47" t="s">
        <v>104</v>
      </c>
      <c r="D236" s="72"/>
      <c r="E236" s="73"/>
      <c r="F236" s="74">
        <v>19312.88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2:23" ht="15.75" thickBot="1" x14ac:dyDescent="0.3">
      <c r="B237" s="32" t="s">
        <v>105</v>
      </c>
      <c r="C237" s="47" t="s">
        <v>106</v>
      </c>
      <c r="D237" s="72"/>
      <c r="E237" s="73"/>
      <c r="F237" s="74">
        <v>0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2:23" ht="16.5" thickTop="1" thickBot="1" x14ac:dyDescent="0.3">
      <c r="B238" s="34"/>
      <c r="C238" s="63" t="s">
        <v>110</v>
      </c>
      <c r="D238" s="54"/>
      <c r="E238" s="55"/>
      <c r="F238" s="38">
        <f>SUM(F229:F237)</f>
        <v>172149.95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41" spans="2:23" ht="15.75" customHeight="1" x14ac:dyDescent="0.25">
      <c r="C241" s="702" t="s">
        <v>117</v>
      </c>
      <c r="D241" s="702"/>
      <c r="E241" s="702"/>
      <c r="F241" s="702"/>
    </row>
    <row r="242" spans="2:23" ht="15.75" thickBot="1" x14ac:dyDescent="0.3">
      <c r="C242" s="20"/>
      <c r="D242" s="20"/>
      <c r="E242" s="20"/>
      <c r="F242" s="21" t="s">
        <v>67</v>
      </c>
    </row>
    <row r="243" spans="2:23" x14ac:dyDescent="0.25">
      <c r="B243" s="694"/>
      <c r="C243" s="696" t="s">
        <v>68</v>
      </c>
      <c r="D243" s="698" t="s">
        <v>468</v>
      </c>
      <c r="E243" s="699"/>
      <c r="F243" s="700"/>
    </row>
    <row r="244" spans="2:23" x14ac:dyDescent="0.25">
      <c r="B244" s="695"/>
      <c r="C244" s="697"/>
      <c r="D244" s="22" t="s">
        <v>69</v>
      </c>
      <c r="E244" s="23" t="s">
        <v>70</v>
      </c>
      <c r="F244" s="24" t="s">
        <v>71</v>
      </c>
    </row>
    <row r="245" spans="2:23" x14ac:dyDescent="0.25">
      <c r="B245" s="26" t="s">
        <v>72</v>
      </c>
      <c r="C245" s="27" t="s">
        <v>73</v>
      </c>
      <c r="D245" s="28">
        <v>0</v>
      </c>
      <c r="E245" s="51">
        <v>0</v>
      </c>
      <c r="F245" s="29">
        <f>D245-E245</f>
        <v>0</v>
      </c>
    </row>
    <row r="246" spans="2:23" x14ac:dyDescent="0.25">
      <c r="B246" s="26" t="s">
        <v>74</v>
      </c>
      <c r="C246" s="27" t="s">
        <v>75</v>
      </c>
      <c r="D246" s="28">
        <v>613147.88</v>
      </c>
      <c r="E246" s="51">
        <v>546423.93999999994</v>
      </c>
      <c r="F246" s="29">
        <f t="shared" ref="F246:F253" si="10">D246-E246</f>
        <v>66723.940000000061</v>
      </c>
    </row>
    <row r="247" spans="2:23" x14ac:dyDescent="0.25">
      <c r="B247" s="26" t="s">
        <v>76</v>
      </c>
      <c r="C247" s="27" t="s">
        <v>77</v>
      </c>
      <c r="D247" s="28">
        <v>0</v>
      </c>
      <c r="E247" s="51">
        <v>0</v>
      </c>
      <c r="F247" s="29">
        <f t="shared" si="10"/>
        <v>0</v>
      </c>
    </row>
    <row r="248" spans="2:23" x14ac:dyDescent="0.25">
      <c r="B248" s="26" t="s">
        <v>78</v>
      </c>
      <c r="C248" s="27" t="s">
        <v>79</v>
      </c>
      <c r="D248" s="28">
        <v>3251.6</v>
      </c>
      <c r="E248" s="51">
        <v>0</v>
      </c>
      <c r="F248" s="29">
        <f t="shared" si="10"/>
        <v>3251.6</v>
      </c>
    </row>
    <row r="249" spans="2:23" x14ac:dyDescent="0.25">
      <c r="B249" s="26" t="s">
        <v>80</v>
      </c>
      <c r="C249" s="27" t="s">
        <v>81</v>
      </c>
      <c r="D249" s="28">
        <v>0</v>
      </c>
      <c r="E249" s="51">
        <v>0</v>
      </c>
      <c r="F249" s="29">
        <f t="shared" si="10"/>
        <v>0</v>
      </c>
    </row>
    <row r="250" spans="2:23" x14ac:dyDescent="0.25">
      <c r="B250" s="26" t="s">
        <v>82</v>
      </c>
      <c r="C250" s="27" t="s">
        <v>83</v>
      </c>
      <c r="D250" s="28">
        <v>0</v>
      </c>
      <c r="E250" s="51">
        <v>0</v>
      </c>
      <c r="F250" s="29">
        <f t="shared" si="10"/>
        <v>0</v>
      </c>
    </row>
    <row r="251" spans="2:23" x14ac:dyDescent="0.25">
      <c r="B251" s="26" t="s">
        <v>84</v>
      </c>
      <c r="C251" s="27" t="s">
        <v>85</v>
      </c>
      <c r="D251" s="28">
        <v>39453.410000000003</v>
      </c>
      <c r="E251" s="51">
        <v>0</v>
      </c>
      <c r="F251" s="29">
        <f t="shared" si="10"/>
        <v>39453.410000000003</v>
      </c>
    </row>
    <row r="252" spans="2:23" x14ac:dyDescent="0.25">
      <c r="B252" s="26" t="s">
        <v>86</v>
      </c>
      <c r="C252" s="31" t="s">
        <v>87</v>
      </c>
      <c r="D252" s="52">
        <v>1498.26</v>
      </c>
      <c r="E252" s="53">
        <v>0</v>
      </c>
      <c r="F252" s="29">
        <f t="shared" si="10"/>
        <v>1498.26</v>
      </c>
    </row>
    <row r="253" spans="2:23" ht="15.75" thickBot="1" x14ac:dyDescent="0.3">
      <c r="B253" s="32" t="s">
        <v>88</v>
      </c>
      <c r="C253" s="33" t="s">
        <v>89</v>
      </c>
      <c r="D253" s="61">
        <v>0</v>
      </c>
      <c r="E253" s="62">
        <v>0</v>
      </c>
      <c r="F253" s="29">
        <f t="shared" si="10"/>
        <v>0</v>
      </c>
    </row>
    <row r="254" spans="2:23" ht="16.5" thickTop="1" thickBot="1" x14ac:dyDescent="0.3">
      <c r="B254" s="34"/>
      <c r="C254" s="63" t="s">
        <v>109</v>
      </c>
      <c r="D254" s="36">
        <f>SUM(D245:D253)</f>
        <v>657351.15</v>
      </c>
      <c r="E254" s="36">
        <f>SUM(E245:E253)</f>
        <v>546423.93999999994</v>
      </c>
      <c r="F254" s="36">
        <f>SUM(F245:F253)</f>
        <v>110927.21000000006</v>
      </c>
    </row>
    <row r="255" spans="2:23" x14ac:dyDescent="0.25">
      <c r="B255" s="39" t="s">
        <v>91</v>
      </c>
      <c r="C255" s="40" t="s">
        <v>92</v>
      </c>
      <c r="D255" s="64"/>
      <c r="E255" s="65"/>
      <c r="F255" s="43">
        <v>0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2:23" x14ac:dyDescent="0.25">
      <c r="B256" s="26" t="s">
        <v>93</v>
      </c>
      <c r="C256" s="31" t="s">
        <v>191</v>
      </c>
      <c r="D256" s="66"/>
      <c r="E256" s="67"/>
      <c r="F256" s="68">
        <v>-7475.87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2:23" x14ac:dyDescent="0.25">
      <c r="B257" s="26" t="s">
        <v>94</v>
      </c>
      <c r="C257" s="31" t="s">
        <v>95</v>
      </c>
      <c r="D257" s="66"/>
      <c r="E257" s="67"/>
      <c r="F257" s="68">
        <v>2195</v>
      </c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2:23" x14ac:dyDescent="0.25">
      <c r="B258" s="26" t="s">
        <v>96</v>
      </c>
      <c r="C258" s="47" t="s">
        <v>81</v>
      </c>
      <c r="D258" s="66"/>
      <c r="E258" s="67"/>
      <c r="F258" s="68">
        <v>66723.94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2:23" x14ac:dyDescent="0.25">
      <c r="B259" s="26" t="s">
        <v>97</v>
      </c>
      <c r="C259" s="27" t="s">
        <v>98</v>
      </c>
      <c r="D259" s="69"/>
      <c r="E259" s="70"/>
      <c r="F259" s="71">
        <f>812.65</f>
        <v>812.65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2:23" x14ac:dyDescent="0.25">
      <c r="B260" s="26" t="s">
        <v>99</v>
      </c>
      <c r="C260" s="50" t="s">
        <v>100</v>
      </c>
      <c r="D260" s="69"/>
      <c r="E260" s="70"/>
      <c r="F260" s="71">
        <v>48364.79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2:23" x14ac:dyDescent="0.25">
      <c r="B261" s="26" t="s">
        <v>101</v>
      </c>
      <c r="C261" s="47" t="s">
        <v>102</v>
      </c>
      <c r="D261" s="72"/>
      <c r="E261" s="73"/>
      <c r="F261" s="74">
        <v>0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2:23" x14ac:dyDescent="0.25">
      <c r="B262" s="26" t="s">
        <v>103</v>
      </c>
      <c r="C262" s="47" t="s">
        <v>104</v>
      </c>
      <c r="D262" s="72"/>
      <c r="E262" s="73"/>
      <c r="F262" s="74">
        <v>306.7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2:23" ht="15.75" thickBot="1" x14ac:dyDescent="0.3">
      <c r="B263" s="32" t="s">
        <v>105</v>
      </c>
      <c r="C263" s="47" t="s">
        <v>106</v>
      </c>
      <c r="D263" s="72"/>
      <c r="E263" s="73"/>
      <c r="F263" s="74">
        <v>0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2:23" ht="16.5" thickTop="1" thickBot="1" x14ac:dyDescent="0.3">
      <c r="B264" s="34"/>
      <c r="C264" s="63" t="s">
        <v>110</v>
      </c>
      <c r="D264" s="75"/>
      <c r="E264" s="76"/>
      <c r="F264" s="77">
        <f>SUM(F255:F263)</f>
        <v>110927.21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2:23" x14ac:dyDescent="0.2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2:23" x14ac:dyDescent="0.2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2:23" ht="15.75" customHeight="1" x14ac:dyDescent="0.25">
      <c r="C267" s="702" t="s">
        <v>118</v>
      </c>
      <c r="D267" s="702"/>
      <c r="E267" s="702"/>
      <c r="F267" s="70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2:23" ht="15.75" thickBot="1" x14ac:dyDescent="0.3">
      <c r="C268" s="20"/>
      <c r="D268" s="20"/>
      <c r="E268" s="20"/>
      <c r="F268" s="21" t="s">
        <v>67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2:23" x14ac:dyDescent="0.25">
      <c r="B269" s="694"/>
      <c r="C269" s="696" t="s">
        <v>68</v>
      </c>
      <c r="D269" s="698" t="s">
        <v>468</v>
      </c>
      <c r="E269" s="699"/>
      <c r="F269" s="700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2:23" x14ac:dyDescent="0.25">
      <c r="B270" s="695"/>
      <c r="C270" s="697"/>
      <c r="D270" s="22" t="s">
        <v>69</v>
      </c>
      <c r="E270" s="23" t="s">
        <v>70</v>
      </c>
      <c r="F270" s="24" t="s">
        <v>71</v>
      </c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2:23" x14ac:dyDescent="0.25">
      <c r="B271" s="26" t="s">
        <v>72</v>
      </c>
      <c r="C271" s="27" t="s">
        <v>73</v>
      </c>
      <c r="D271" s="28">
        <v>1607.63</v>
      </c>
      <c r="E271" s="51">
        <v>0</v>
      </c>
      <c r="F271" s="29">
        <f>D271-E271</f>
        <v>1607.63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2:23" x14ac:dyDescent="0.25">
      <c r="B272" s="26" t="s">
        <v>74</v>
      </c>
      <c r="C272" s="27" t="s">
        <v>75</v>
      </c>
      <c r="D272" s="28">
        <v>499063.08</v>
      </c>
      <c r="E272" s="51">
        <v>323777.62</v>
      </c>
      <c r="F272" s="29">
        <f t="shared" ref="F272:F279" si="11">D272-E272</f>
        <v>175285.46000000002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2:23" x14ac:dyDescent="0.25">
      <c r="B273" s="26" t="s">
        <v>76</v>
      </c>
      <c r="C273" s="27" t="s">
        <v>77</v>
      </c>
      <c r="D273" s="28">
        <v>0</v>
      </c>
      <c r="E273" s="51">
        <v>0</v>
      </c>
      <c r="F273" s="29">
        <f t="shared" si="11"/>
        <v>0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2:23" x14ac:dyDescent="0.25">
      <c r="B274" s="26" t="s">
        <v>78</v>
      </c>
      <c r="C274" s="27" t="s">
        <v>79</v>
      </c>
      <c r="D274" s="28">
        <v>504.91</v>
      </c>
      <c r="E274" s="51">
        <v>0</v>
      </c>
      <c r="F274" s="29">
        <f t="shared" si="11"/>
        <v>504.91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2:23" x14ac:dyDescent="0.25">
      <c r="B275" s="26" t="s">
        <v>80</v>
      </c>
      <c r="C275" s="27" t="s">
        <v>81</v>
      </c>
      <c r="D275" s="28">
        <v>2593.64</v>
      </c>
      <c r="E275" s="51">
        <v>0</v>
      </c>
      <c r="F275" s="29">
        <f t="shared" si="11"/>
        <v>2593.64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2:23" x14ac:dyDescent="0.25">
      <c r="B276" s="26" t="s">
        <v>82</v>
      </c>
      <c r="C276" s="27" t="s">
        <v>83</v>
      </c>
      <c r="D276" s="28">
        <v>45.44</v>
      </c>
      <c r="E276" s="51">
        <v>0</v>
      </c>
      <c r="F276" s="29">
        <f t="shared" si="11"/>
        <v>45.44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2:23" x14ac:dyDescent="0.25">
      <c r="B277" s="26" t="s">
        <v>84</v>
      </c>
      <c r="C277" s="27" t="s">
        <v>85</v>
      </c>
      <c r="D277" s="28">
        <v>90577.34</v>
      </c>
      <c r="E277" s="51">
        <v>0</v>
      </c>
      <c r="F277" s="29">
        <f t="shared" si="11"/>
        <v>90577.34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2:23" x14ac:dyDescent="0.25">
      <c r="B278" s="26" t="s">
        <v>86</v>
      </c>
      <c r="C278" s="31" t="s">
        <v>87</v>
      </c>
      <c r="D278" s="52">
        <v>1708.27</v>
      </c>
      <c r="E278" s="53">
        <v>0</v>
      </c>
      <c r="F278" s="29">
        <f t="shared" si="11"/>
        <v>1708.27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2:23" ht="15.75" thickBot="1" x14ac:dyDescent="0.3">
      <c r="B279" s="32" t="s">
        <v>88</v>
      </c>
      <c r="C279" s="33" t="s">
        <v>89</v>
      </c>
      <c r="D279" s="61">
        <v>0</v>
      </c>
      <c r="E279" s="62">
        <v>0</v>
      </c>
      <c r="F279" s="29">
        <f t="shared" si="11"/>
        <v>0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2:23" ht="16.5" thickTop="1" thickBot="1" x14ac:dyDescent="0.3">
      <c r="B280" s="34"/>
      <c r="C280" s="63" t="s">
        <v>109</v>
      </c>
      <c r="D280" s="36">
        <f>SUM(D271:D279)</f>
        <v>596100.31000000006</v>
      </c>
      <c r="E280" s="36">
        <f>SUM(E271:E279)</f>
        <v>323777.62</v>
      </c>
      <c r="F280" s="36">
        <f>SUM(F271:F279)</f>
        <v>272322.69000000006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2:23" x14ac:dyDescent="0.25">
      <c r="B281" s="39" t="s">
        <v>91</v>
      </c>
      <c r="C281" s="40" t="s">
        <v>92</v>
      </c>
      <c r="D281" s="64"/>
      <c r="E281" s="65"/>
      <c r="F281" s="43">
        <v>0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2:23" x14ac:dyDescent="0.25">
      <c r="B282" s="26" t="s">
        <v>93</v>
      </c>
      <c r="C282" s="31" t="s">
        <v>191</v>
      </c>
      <c r="D282" s="66"/>
      <c r="E282" s="67"/>
      <c r="F282" s="68">
        <v>19530.830000000002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2:23" x14ac:dyDescent="0.25">
      <c r="B283" s="26" t="s">
        <v>94</v>
      </c>
      <c r="C283" s="31" t="s">
        <v>95</v>
      </c>
      <c r="D283" s="66"/>
      <c r="E283" s="67"/>
      <c r="F283" s="83">
        <v>0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2:23" x14ac:dyDescent="0.25">
      <c r="B284" s="26" t="s">
        <v>96</v>
      </c>
      <c r="C284" s="47" t="s">
        <v>81</v>
      </c>
      <c r="D284" s="66"/>
      <c r="E284" s="67"/>
      <c r="F284" s="68">
        <v>159688.84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2:23" x14ac:dyDescent="0.25">
      <c r="B285" s="26" t="s">
        <v>97</v>
      </c>
      <c r="C285" s="27" t="s">
        <v>98</v>
      </c>
      <c r="D285" s="69"/>
      <c r="E285" s="70"/>
      <c r="F285" s="71">
        <v>5523.87</v>
      </c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2:23" x14ac:dyDescent="0.25">
      <c r="B286" s="26" t="s">
        <v>99</v>
      </c>
      <c r="C286" s="50" t="s">
        <v>100</v>
      </c>
      <c r="D286" s="69"/>
      <c r="E286" s="70"/>
      <c r="F286" s="71">
        <v>87579.15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2:23" x14ac:dyDescent="0.25">
      <c r="B287" s="26" t="s">
        <v>101</v>
      </c>
      <c r="C287" s="47" t="s">
        <v>102</v>
      </c>
      <c r="D287" s="72"/>
      <c r="E287" s="73"/>
      <c r="F287" s="74">
        <v>0</v>
      </c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2:23" x14ac:dyDescent="0.25">
      <c r="B288" s="26" t="s">
        <v>103</v>
      </c>
      <c r="C288" s="47" t="s">
        <v>104</v>
      </c>
      <c r="D288" s="72"/>
      <c r="E288" s="73"/>
      <c r="F288" s="74">
        <v>0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2:23" ht="15.75" thickBot="1" x14ac:dyDescent="0.3">
      <c r="B289" s="32" t="s">
        <v>105</v>
      </c>
      <c r="C289" s="47" t="s">
        <v>106</v>
      </c>
      <c r="D289" s="72"/>
      <c r="E289" s="73"/>
      <c r="F289" s="74">
        <v>0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2:23" ht="16.5" thickTop="1" thickBot="1" x14ac:dyDescent="0.3">
      <c r="B290" s="34"/>
      <c r="C290" s="63" t="s">
        <v>110</v>
      </c>
      <c r="D290" s="75"/>
      <c r="E290" s="76"/>
      <c r="F290" s="77">
        <f>SUM(F281:F289)</f>
        <v>272322.68999999994</v>
      </c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2" spans="2:23" ht="15.75" customHeight="1" x14ac:dyDescent="0.25">
      <c r="C292" s="702" t="s">
        <v>119</v>
      </c>
      <c r="D292" s="702"/>
      <c r="E292" s="702"/>
      <c r="F292" s="70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2:23" ht="15.75" thickBot="1" x14ac:dyDescent="0.3">
      <c r="C293" s="20"/>
      <c r="D293" s="20"/>
      <c r="E293" s="20"/>
      <c r="F293" s="21" t="s">
        <v>67</v>
      </c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2:23" x14ac:dyDescent="0.25">
      <c r="B294" s="694"/>
      <c r="C294" s="696" t="s">
        <v>68</v>
      </c>
      <c r="D294" s="698" t="s">
        <v>468</v>
      </c>
      <c r="E294" s="699"/>
      <c r="F294" s="700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2:23" x14ac:dyDescent="0.25">
      <c r="B295" s="695"/>
      <c r="C295" s="697"/>
      <c r="D295" s="22" t="s">
        <v>69</v>
      </c>
      <c r="E295" s="23" t="s">
        <v>70</v>
      </c>
      <c r="F295" s="24" t="s">
        <v>71</v>
      </c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2:23" x14ac:dyDescent="0.25">
      <c r="B296" s="26" t="s">
        <v>72</v>
      </c>
      <c r="C296" s="27" t="s">
        <v>73</v>
      </c>
      <c r="D296" s="28">
        <v>0</v>
      </c>
      <c r="E296" s="51">
        <v>0</v>
      </c>
      <c r="F296" s="29">
        <f>D296-E296</f>
        <v>0</v>
      </c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2:23" x14ac:dyDescent="0.25">
      <c r="B297" s="26" t="s">
        <v>74</v>
      </c>
      <c r="C297" s="27" t="s">
        <v>75</v>
      </c>
      <c r="D297" s="28">
        <v>1111141.55</v>
      </c>
      <c r="E297" s="51">
        <v>551290.42000000004</v>
      </c>
      <c r="F297" s="29">
        <f t="shared" ref="F297:F304" si="12">D297-E297</f>
        <v>559851.13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2:23" x14ac:dyDescent="0.25">
      <c r="B298" s="26" t="s">
        <v>76</v>
      </c>
      <c r="C298" s="27" t="s">
        <v>77</v>
      </c>
      <c r="D298" s="28">
        <v>0</v>
      </c>
      <c r="E298" s="51">
        <v>0</v>
      </c>
      <c r="F298" s="29">
        <f t="shared" si="12"/>
        <v>0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2:23" x14ac:dyDescent="0.25">
      <c r="B299" s="26" t="s">
        <v>78</v>
      </c>
      <c r="C299" s="27" t="s">
        <v>79</v>
      </c>
      <c r="D299" s="28">
        <v>3136.08</v>
      </c>
      <c r="E299" s="51">
        <v>0</v>
      </c>
      <c r="F299" s="29">
        <f t="shared" si="12"/>
        <v>3136.08</v>
      </c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2:23" x14ac:dyDescent="0.25">
      <c r="B300" s="26" t="s">
        <v>80</v>
      </c>
      <c r="C300" s="27" t="s">
        <v>81</v>
      </c>
      <c r="D300" s="28">
        <v>0</v>
      </c>
      <c r="E300" s="51">
        <v>0</v>
      </c>
      <c r="F300" s="29">
        <f t="shared" si="12"/>
        <v>0</v>
      </c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2:23" x14ac:dyDescent="0.25">
      <c r="B301" s="26" t="s">
        <v>82</v>
      </c>
      <c r="C301" s="27" t="s">
        <v>83</v>
      </c>
      <c r="D301" s="28">
        <v>1885.33</v>
      </c>
      <c r="E301" s="51">
        <v>0</v>
      </c>
      <c r="F301" s="29">
        <f t="shared" si="12"/>
        <v>1885.33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2:23" x14ac:dyDescent="0.25">
      <c r="B302" s="26" t="s">
        <v>84</v>
      </c>
      <c r="C302" s="27" t="s">
        <v>85</v>
      </c>
      <c r="D302" s="28">
        <v>68863.789999999994</v>
      </c>
      <c r="E302" s="51">
        <v>0</v>
      </c>
      <c r="F302" s="29">
        <f t="shared" si="12"/>
        <v>68863.789999999994</v>
      </c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2:23" x14ac:dyDescent="0.25">
      <c r="B303" s="26" t="s">
        <v>86</v>
      </c>
      <c r="C303" s="31" t="s">
        <v>87</v>
      </c>
      <c r="D303" s="52">
        <v>426.56</v>
      </c>
      <c r="E303" s="53">
        <v>0</v>
      </c>
      <c r="F303" s="29">
        <f t="shared" si="12"/>
        <v>426.56</v>
      </c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2:23" ht="15.75" thickBot="1" x14ac:dyDescent="0.3">
      <c r="B304" s="32" t="s">
        <v>88</v>
      </c>
      <c r="C304" s="33" t="s">
        <v>89</v>
      </c>
      <c r="D304" s="61">
        <v>0</v>
      </c>
      <c r="E304" s="62">
        <v>0</v>
      </c>
      <c r="F304" s="29">
        <f t="shared" si="12"/>
        <v>0</v>
      </c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2:23" ht="16.5" thickTop="1" thickBot="1" x14ac:dyDescent="0.3">
      <c r="B305" s="34"/>
      <c r="C305" s="63" t="s">
        <v>109</v>
      </c>
      <c r="D305" s="36">
        <f>SUM(D296:D304)</f>
        <v>1185453.3100000003</v>
      </c>
      <c r="E305" s="36">
        <f>SUM(E296:E304)</f>
        <v>551290.42000000004</v>
      </c>
      <c r="F305" s="36">
        <f>SUM(F296:F304)</f>
        <v>634162.89</v>
      </c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2:23" x14ac:dyDescent="0.25">
      <c r="B306" s="39" t="s">
        <v>91</v>
      </c>
      <c r="C306" s="40" t="s">
        <v>92</v>
      </c>
      <c r="D306" s="64"/>
      <c r="E306" s="65"/>
      <c r="F306" s="43">
        <v>0</v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2:23" x14ac:dyDescent="0.25">
      <c r="B307" s="26" t="s">
        <v>93</v>
      </c>
      <c r="C307" s="31" t="s">
        <v>191</v>
      </c>
      <c r="D307" s="66"/>
      <c r="E307" s="67"/>
      <c r="F307" s="68">
        <v>-9855.27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2:23" x14ac:dyDescent="0.25">
      <c r="B308" s="26" t="s">
        <v>94</v>
      </c>
      <c r="C308" s="31" t="s">
        <v>95</v>
      </c>
      <c r="D308" s="66"/>
      <c r="E308" s="67"/>
      <c r="F308" s="68">
        <v>0</v>
      </c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2:23" x14ac:dyDescent="0.25">
      <c r="B309" s="26" t="s">
        <v>96</v>
      </c>
      <c r="C309" s="47" t="s">
        <v>81</v>
      </c>
      <c r="D309" s="66"/>
      <c r="E309" s="67"/>
      <c r="F309" s="68">
        <v>559851.13</v>
      </c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2:23" x14ac:dyDescent="0.25">
      <c r="B310" s="26" t="s">
        <v>97</v>
      </c>
      <c r="C310" s="27" t="s">
        <v>98</v>
      </c>
      <c r="D310" s="69"/>
      <c r="E310" s="70"/>
      <c r="F310" s="71">
        <v>5450.5</v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2:23" x14ac:dyDescent="0.25">
      <c r="B311" s="26" t="s">
        <v>99</v>
      </c>
      <c r="C311" s="50" t="s">
        <v>100</v>
      </c>
      <c r="D311" s="69"/>
      <c r="E311" s="70"/>
      <c r="F311" s="71">
        <v>78318.89</v>
      </c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2:23" x14ac:dyDescent="0.25">
      <c r="B312" s="26" t="s">
        <v>101</v>
      </c>
      <c r="C312" s="47" t="s">
        <v>102</v>
      </c>
      <c r="D312" s="72"/>
      <c r="E312" s="73"/>
      <c r="F312" s="74">
        <v>0</v>
      </c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2:23" x14ac:dyDescent="0.25">
      <c r="B313" s="26" t="s">
        <v>103</v>
      </c>
      <c r="C313" s="47" t="s">
        <v>104</v>
      </c>
      <c r="D313" s="72"/>
      <c r="E313" s="73"/>
      <c r="F313" s="74">
        <v>397.64</v>
      </c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2:23" ht="15.75" thickBot="1" x14ac:dyDescent="0.3">
      <c r="B314" s="32" t="s">
        <v>105</v>
      </c>
      <c r="C314" s="47" t="s">
        <v>106</v>
      </c>
      <c r="D314" s="72"/>
      <c r="E314" s="73"/>
      <c r="F314" s="74">
        <v>0</v>
      </c>
    </row>
    <row r="315" spans="2:23" ht="16.5" thickTop="1" thickBot="1" x14ac:dyDescent="0.3">
      <c r="B315" s="34"/>
      <c r="C315" s="63" t="s">
        <v>110</v>
      </c>
      <c r="D315" s="75"/>
      <c r="E315" s="76"/>
      <c r="F315" s="77">
        <f>SUM(F306:F314)</f>
        <v>634162.89</v>
      </c>
    </row>
    <row r="320" spans="2:23" ht="15.75" customHeight="1" x14ac:dyDescent="0.25">
      <c r="C320" s="702" t="s">
        <v>120</v>
      </c>
      <c r="D320" s="702"/>
      <c r="E320" s="702"/>
      <c r="F320" s="702"/>
    </row>
    <row r="321" spans="2:23" ht="15.75" thickBot="1" x14ac:dyDescent="0.3">
      <c r="C321" s="20"/>
      <c r="D321" s="20"/>
      <c r="E321" s="20"/>
      <c r="F321" s="21" t="s">
        <v>67</v>
      </c>
    </row>
    <row r="322" spans="2:23" x14ac:dyDescent="0.25">
      <c r="B322" s="694"/>
      <c r="C322" s="696" t="s">
        <v>68</v>
      </c>
      <c r="D322" s="698" t="s">
        <v>468</v>
      </c>
      <c r="E322" s="699"/>
      <c r="F322" s="700"/>
    </row>
    <row r="323" spans="2:23" x14ac:dyDescent="0.25">
      <c r="B323" s="695"/>
      <c r="C323" s="697"/>
      <c r="D323" s="22" t="s">
        <v>69</v>
      </c>
      <c r="E323" s="23" t="s">
        <v>70</v>
      </c>
      <c r="F323" s="24" t="s">
        <v>71</v>
      </c>
    </row>
    <row r="324" spans="2:23" x14ac:dyDescent="0.25">
      <c r="B324" s="26" t="s">
        <v>72</v>
      </c>
      <c r="C324" s="27" t="s">
        <v>73</v>
      </c>
      <c r="D324" s="28">
        <v>0</v>
      </c>
      <c r="E324" s="51">
        <v>0</v>
      </c>
      <c r="F324" s="29">
        <f>D324-E324</f>
        <v>0</v>
      </c>
    </row>
    <row r="325" spans="2:23" x14ac:dyDescent="0.25">
      <c r="B325" s="26" t="s">
        <v>74</v>
      </c>
      <c r="C325" s="27" t="s">
        <v>75</v>
      </c>
      <c r="D325" s="28">
        <v>1652938.06</v>
      </c>
      <c r="E325" s="51">
        <v>938573.47</v>
      </c>
      <c r="F325" s="29">
        <f t="shared" ref="F325:F332" si="13">D325-E325</f>
        <v>714364.59000000008</v>
      </c>
    </row>
    <row r="326" spans="2:23" x14ac:dyDescent="0.25">
      <c r="B326" s="26" t="s">
        <v>76</v>
      </c>
      <c r="C326" s="27" t="s">
        <v>77</v>
      </c>
      <c r="D326" s="28">
        <v>0</v>
      </c>
      <c r="E326" s="51">
        <v>0</v>
      </c>
      <c r="F326" s="29">
        <f t="shared" si="13"/>
        <v>0</v>
      </c>
    </row>
    <row r="327" spans="2:23" x14ac:dyDescent="0.25">
      <c r="B327" s="26" t="s">
        <v>78</v>
      </c>
      <c r="C327" s="27" t="s">
        <v>79</v>
      </c>
      <c r="D327" s="28">
        <v>3486.24</v>
      </c>
      <c r="E327" s="51">
        <v>0</v>
      </c>
      <c r="F327" s="29">
        <f t="shared" si="13"/>
        <v>3486.24</v>
      </c>
    </row>
    <row r="328" spans="2:23" x14ac:dyDescent="0.25">
      <c r="B328" s="26" t="s">
        <v>80</v>
      </c>
      <c r="C328" s="27" t="s">
        <v>81</v>
      </c>
      <c r="D328" s="28">
        <v>0</v>
      </c>
      <c r="E328" s="51">
        <v>0</v>
      </c>
      <c r="F328" s="29">
        <f t="shared" si="13"/>
        <v>0</v>
      </c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2:23" x14ac:dyDescent="0.25">
      <c r="B329" s="26" t="s">
        <v>82</v>
      </c>
      <c r="C329" s="27" t="s">
        <v>83</v>
      </c>
      <c r="D329" s="28">
        <v>3900.08</v>
      </c>
      <c r="E329" s="51">
        <v>0</v>
      </c>
      <c r="F329" s="29">
        <f t="shared" si="13"/>
        <v>3900.08</v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2:23" x14ac:dyDescent="0.25">
      <c r="B330" s="26" t="s">
        <v>84</v>
      </c>
      <c r="C330" s="27" t="s">
        <v>85</v>
      </c>
      <c r="D330" s="28">
        <v>35776.160000000003</v>
      </c>
      <c r="E330" s="51">
        <v>0</v>
      </c>
      <c r="F330" s="29">
        <f t="shared" si="13"/>
        <v>35776.160000000003</v>
      </c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2:23" x14ac:dyDescent="0.25">
      <c r="B331" s="26" t="s">
        <v>86</v>
      </c>
      <c r="C331" s="31" t="s">
        <v>87</v>
      </c>
      <c r="D331" s="52">
        <v>561.26</v>
      </c>
      <c r="E331" s="53">
        <v>0</v>
      </c>
      <c r="F331" s="29">
        <f t="shared" si="13"/>
        <v>561.26</v>
      </c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2:23" ht="15.75" thickBot="1" x14ac:dyDescent="0.3">
      <c r="B332" s="32" t="s">
        <v>88</v>
      </c>
      <c r="C332" s="33" t="s">
        <v>89</v>
      </c>
      <c r="D332" s="61">
        <v>0</v>
      </c>
      <c r="E332" s="62">
        <v>0</v>
      </c>
      <c r="F332" s="29">
        <f t="shared" si="13"/>
        <v>0</v>
      </c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2:23" ht="16.5" thickTop="1" thickBot="1" x14ac:dyDescent="0.3">
      <c r="B333" s="34"/>
      <c r="C333" s="63" t="s">
        <v>109</v>
      </c>
      <c r="D333" s="36">
        <f>SUM(D324:D332)</f>
        <v>1696661.8</v>
      </c>
      <c r="E333" s="36">
        <f>SUM(E324:E332)</f>
        <v>938573.47</v>
      </c>
      <c r="F333" s="36">
        <f>SUM(F324:F332)</f>
        <v>758088.33000000007</v>
      </c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2:23" x14ac:dyDescent="0.25">
      <c r="B334" s="39" t="s">
        <v>91</v>
      </c>
      <c r="C334" s="40" t="s">
        <v>92</v>
      </c>
      <c r="D334" s="64"/>
      <c r="E334" s="65"/>
      <c r="F334" s="43">
        <v>0</v>
      </c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2:23" x14ac:dyDescent="0.25">
      <c r="B335" s="26" t="s">
        <v>93</v>
      </c>
      <c r="C335" s="31" t="s">
        <v>191</v>
      </c>
      <c r="D335" s="66"/>
      <c r="E335" s="67"/>
      <c r="F335" s="68">
        <v>-10748.3</v>
      </c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2:23" x14ac:dyDescent="0.25">
      <c r="B336" s="26" t="s">
        <v>94</v>
      </c>
      <c r="C336" s="31" t="s">
        <v>95</v>
      </c>
      <c r="D336" s="66"/>
      <c r="E336" s="67"/>
      <c r="F336" s="68">
        <v>1500</v>
      </c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2:23" x14ac:dyDescent="0.25">
      <c r="B337" s="26" t="s">
        <v>96</v>
      </c>
      <c r="C337" s="47" t="s">
        <v>81</v>
      </c>
      <c r="D337" s="66"/>
      <c r="E337" s="67"/>
      <c r="F337" s="68">
        <v>714364.59</v>
      </c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2:23" x14ac:dyDescent="0.25">
      <c r="B338" s="26" t="s">
        <v>97</v>
      </c>
      <c r="C338" s="27" t="s">
        <v>98</v>
      </c>
      <c r="D338" s="69"/>
      <c r="E338" s="70"/>
      <c r="F338" s="71">
        <v>1764.08</v>
      </c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2:23" x14ac:dyDescent="0.25">
      <c r="B339" s="26" t="s">
        <v>99</v>
      </c>
      <c r="C339" s="50" t="s">
        <v>100</v>
      </c>
      <c r="D339" s="69"/>
      <c r="E339" s="70"/>
      <c r="F339" s="71">
        <v>50712.7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2:23" x14ac:dyDescent="0.25">
      <c r="B340" s="26" t="s">
        <v>101</v>
      </c>
      <c r="C340" s="47" t="s">
        <v>102</v>
      </c>
      <c r="D340" s="72"/>
      <c r="E340" s="73"/>
      <c r="F340" s="74">
        <v>0</v>
      </c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2:23" x14ac:dyDescent="0.25">
      <c r="B341" s="26" t="s">
        <v>103</v>
      </c>
      <c r="C341" s="47" t="s">
        <v>104</v>
      </c>
      <c r="D341" s="72"/>
      <c r="E341" s="73"/>
      <c r="F341" s="74">
        <v>495.26</v>
      </c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2:23" ht="15.75" thickBot="1" x14ac:dyDescent="0.3">
      <c r="B342" s="32" t="s">
        <v>105</v>
      </c>
      <c r="C342" s="47" t="s">
        <v>106</v>
      </c>
      <c r="D342" s="72"/>
      <c r="E342" s="73"/>
      <c r="F342" s="74">
        <v>0</v>
      </c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2:23" ht="16.5" thickTop="1" thickBot="1" x14ac:dyDescent="0.3">
      <c r="B343" s="34"/>
      <c r="C343" s="63" t="s">
        <v>110</v>
      </c>
      <c r="D343" s="75"/>
      <c r="E343" s="76"/>
      <c r="F343" s="77">
        <f>SUM(F334:F342)</f>
        <v>758088.32999999984</v>
      </c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5" spans="2:23" ht="15.75" customHeight="1" x14ac:dyDescent="0.25">
      <c r="C345" s="702" t="s">
        <v>121</v>
      </c>
      <c r="D345" s="702"/>
      <c r="E345" s="702"/>
      <c r="F345" s="70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2:23" ht="15.75" thickBot="1" x14ac:dyDescent="0.3">
      <c r="C346" s="20"/>
      <c r="D346" s="20"/>
      <c r="E346" s="20"/>
      <c r="F346" s="21" t="s">
        <v>67</v>
      </c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2:23" x14ac:dyDescent="0.25">
      <c r="B347" s="694"/>
      <c r="C347" s="696" t="s">
        <v>68</v>
      </c>
      <c r="D347" s="698" t="s">
        <v>468</v>
      </c>
      <c r="E347" s="699"/>
      <c r="F347" s="700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2:23" x14ac:dyDescent="0.25">
      <c r="B348" s="695"/>
      <c r="C348" s="697"/>
      <c r="D348" s="22" t="s">
        <v>69</v>
      </c>
      <c r="E348" s="23" t="s">
        <v>70</v>
      </c>
      <c r="F348" s="24" t="s">
        <v>71</v>
      </c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2:23" x14ac:dyDescent="0.25">
      <c r="B349" s="26" t="s">
        <v>72</v>
      </c>
      <c r="C349" s="27" t="s">
        <v>73</v>
      </c>
      <c r="D349" s="28">
        <v>0</v>
      </c>
      <c r="E349" s="51">
        <v>0</v>
      </c>
      <c r="F349" s="29">
        <f>D349-E349</f>
        <v>0</v>
      </c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2:23" x14ac:dyDescent="0.25">
      <c r="B350" s="26" t="s">
        <v>74</v>
      </c>
      <c r="C350" s="27" t="s">
        <v>75</v>
      </c>
      <c r="D350" s="28">
        <v>4313182.87</v>
      </c>
      <c r="E350" s="51">
        <v>1850824.13</v>
      </c>
      <c r="F350" s="29">
        <f t="shared" ref="F350:F357" si="14">D350-E350</f>
        <v>2462358.7400000002</v>
      </c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2:23" x14ac:dyDescent="0.25">
      <c r="B351" s="26" t="s">
        <v>76</v>
      </c>
      <c r="C351" s="27" t="s">
        <v>77</v>
      </c>
      <c r="D351" s="28">
        <v>0</v>
      </c>
      <c r="E351" s="51">
        <v>0</v>
      </c>
      <c r="F351" s="29">
        <f t="shared" si="14"/>
        <v>0</v>
      </c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2:23" x14ac:dyDescent="0.25">
      <c r="B352" s="26" t="s">
        <v>78</v>
      </c>
      <c r="C352" s="27" t="s">
        <v>79</v>
      </c>
      <c r="D352" s="28">
        <v>1547.57</v>
      </c>
      <c r="E352" s="51">
        <v>0</v>
      </c>
      <c r="F352" s="29">
        <f t="shared" si="14"/>
        <v>1547.57</v>
      </c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2:23" x14ac:dyDescent="0.25">
      <c r="B353" s="26" t="s">
        <v>80</v>
      </c>
      <c r="C353" s="27" t="s">
        <v>81</v>
      </c>
      <c r="D353" s="28">
        <v>0</v>
      </c>
      <c r="E353" s="51">
        <v>0</v>
      </c>
      <c r="F353" s="29">
        <f t="shared" si="14"/>
        <v>0</v>
      </c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2:23" x14ac:dyDescent="0.25">
      <c r="B354" s="26" t="s">
        <v>82</v>
      </c>
      <c r="C354" s="27" t="s">
        <v>83</v>
      </c>
      <c r="D354" s="28">
        <v>6483.38</v>
      </c>
      <c r="E354" s="51">
        <v>632.84</v>
      </c>
      <c r="F354" s="29">
        <f t="shared" si="14"/>
        <v>5850.54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2:23" x14ac:dyDescent="0.25">
      <c r="B355" s="26" t="s">
        <v>84</v>
      </c>
      <c r="C355" s="27" t="s">
        <v>85</v>
      </c>
      <c r="D355" s="28">
        <v>99754.31</v>
      </c>
      <c r="E355" s="51">
        <v>0</v>
      </c>
      <c r="F355" s="29">
        <f t="shared" si="14"/>
        <v>99754.31</v>
      </c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2:23" x14ac:dyDescent="0.25">
      <c r="B356" s="26" t="s">
        <v>86</v>
      </c>
      <c r="C356" s="31" t="s">
        <v>87</v>
      </c>
      <c r="D356" s="52">
        <v>2133.62</v>
      </c>
      <c r="E356" s="53">
        <v>0</v>
      </c>
      <c r="F356" s="29">
        <f t="shared" si="14"/>
        <v>2133.62</v>
      </c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2:23" ht="15.75" thickBot="1" x14ac:dyDescent="0.3">
      <c r="B357" s="32" t="s">
        <v>88</v>
      </c>
      <c r="C357" s="33" t="s">
        <v>89</v>
      </c>
      <c r="D357" s="61">
        <v>0</v>
      </c>
      <c r="E357" s="62">
        <v>0</v>
      </c>
      <c r="F357" s="29">
        <f t="shared" si="14"/>
        <v>0</v>
      </c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2:23" ht="16.5" thickTop="1" thickBot="1" x14ac:dyDescent="0.3">
      <c r="B358" s="34"/>
      <c r="C358" s="63" t="s">
        <v>109</v>
      </c>
      <c r="D358" s="36">
        <f>SUM(D349:D357)</f>
        <v>4423101.75</v>
      </c>
      <c r="E358" s="36">
        <f>SUM(E349:E357)</f>
        <v>1851456.97</v>
      </c>
      <c r="F358" s="36">
        <f>SUM(F349:F357)</f>
        <v>2571644.7800000003</v>
      </c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2:23" x14ac:dyDescent="0.25">
      <c r="B359" s="39" t="s">
        <v>91</v>
      </c>
      <c r="C359" s="40" t="s">
        <v>92</v>
      </c>
      <c r="D359" s="64"/>
      <c r="E359" s="65"/>
      <c r="F359" s="43">
        <v>0</v>
      </c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2:23" x14ac:dyDescent="0.25">
      <c r="B360" s="26" t="s">
        <v>93</v>
      </c>
      <c r="C360" s="31" t="s">
        <v>191</v>
      </c>
      <c r="D360" s="66"/>
      <c r="E360" s="67"/>
      <c r="F360" s="68">
        <v>-11275.34</v>
      </c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2:23" x14ac:dyDescent="0.25">
      <c r="B361" s="26" t="s">
        <v>94</v>
      </c>
      <c r="C361" s="31" t="s">
        <v>95</v>
      </c>
      <c r="D361" s="66"/>
      <c r="E361" s="67"/>
      <c r="F361" s="68">
        <v>0</v>
      </c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2:23" x14ac:dyDescent="0.25">
      <c r="B362" s="26" t="s">
        <v>96</v>
      </c>
      <c r="C362" s="47" t="s">
        <v>81</v>
      </c>
      <c r="D362" s="66"/>
      <c r="E362" s="67"/>
      <c r="F362" s="68">
        <v>2463264.91</v>
      </c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2:23" x14ac:dyDescent="0.25">
      <c r="B363" s="26" t="s">
        <v>97</v>
      </c>
      <c r="C363" s="27" t="s">
        <v>98</v>
      </c>
      <c r="D363" s="69"/>
      <c r="E363" s="70"/>
      <c r="F363" s="71">
        <v>1857.96</v>
      </c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2:23" x14ac:dyDescent="0.25">
      <c r="B364" s="26" t="s">
        <v>99</v>
      </c>
      <c r="C364" s="50" t="s">
        <v>100</v>
      </c>
      <c r="D364" s="69"/>
      <c r="E364" s="70"/>
      <c r="F364" s="71">
        <v>115663.63</v>
      </c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2:23" x14ac:dyDescent="0.25">
      <c r="B365" s="26" t="s">
        <v>101</v>
      </c>
      <c r="C365" s="47" t="s">
        <v>102</v>
      </c>
      <c r="D365" s="72"/>
      <c r="E365" s="73"/>
      <c r="F365" s="74">
        <v>0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2:23" x14ac:dyDescent="0.25">
      <c r="B366" s="26" t="s">
        <v>103</v>
      </c>
      <c r="C366" s="47" t="s">
        <v>104</v>
      </c>
      <c r="D366" s="72"/>
      <c r="E366" s="73"/>
      <c r="F366" s="74">
        <v>2133.62</v>
      </c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2:23" ht="15.75" thickBot="1" x14ac:dyDescent="0.3">
      <c r="B367" s="32" t="s">
        <v>105</v>
      </c>
      <c r="C367" s="47" t="s">
        <v>106</v>
      </c>
      <c r="D367" s="72"/>
      <c r="E367" s="73"/>
      <c r="F367" s="74">
        <v>0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2:23" ht="16.5" thickTop="1" thickBot="1" x14ac:dyDescent="0.3">
      <c r="B368" s="34"/>
      <c r="C368" s="63" t="s">
        <v>110</v>
      </c>
      <c r="D368" s="75"/>
      <c r="E368" s="76"/>
      <c r="F368" s="77">
        <f>SUM(F359:F367)</f>
        <v>2571644.7800000003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2:23" x14ac:dyDescent="0.2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2:23" x14ac:dyDescent="0.2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2:23" x14ac:dyDescent="0.2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2:23" x14ac:dyDescent="0.2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2:23" ht="15.75" customHeight="1" x14ac:dyDescent="0.25">
      <c r="C373" s="702" t="s">
        <v>122</v>
      </c>
      <c r="D373" s="702"/>
      <c r="E373" s="702"/>
      <c r="F373" s="70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2:23" ht="15.75" thickBot="1" x14ac:dyDescent="0.3">
      <c r="C374" s="20"/>
      <c r="D374" s="20"/>
      <c r="E374" s="20"/>
      <c r="F374" s="21" t="s">
        <v>67</v>
      </c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2:23" x14ac:dyDescent="0.25">
      <c r="B375" s="694"/>
      <c r="C375" s="696" t="s">
        <v>68</v>
      </c>
      <c r="D375" s="698" t="s">
        <v>468</v>
      </c>
      <c r="E375" s="699"/>
      <c r="F375" s="700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2:23" x14ac:dyDescent="0.25">
      <c r="B376" s="695"/>
      <c r="C376" s="697"/>
      <c r="D376" s="22" t="s">
        <v>69</v>
      </c>
      <c r="E376" s="23" t="s">
        <v>70</v>
      </c>
      <c r="F376" s="24" t="s">
        <v>71</v>
      </c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2:23" x14ac:dyDescent="0.25">
      <c r="B377" s="26" t="s">
        <v>72</v>
      </c>
      <c r="C377" s="27" t="s">
        <v>73</v>
      </c>
      <c r="D377" s="28">
        <v>0</v>
      </c>
      <c r="E377" s="51">
        <v>0</v>
      </c>
      <c r="F377" s="29">
        <f>D377-E377</f>
        <v>0</v>
      </c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2:23" x14ac:dyDescent="0.25">
      <c r="B378" s="26" t="s">
        <v>74</v>
      </c>
      <c r="C378" s="27" t="s">
        <v>75</v>
      </c>
      <c r="D378" s="28">
        <v>6157.44</v>
      </c>
      <c r="E378" s="51">
        <v>6157.44</v>
      </c>
      <c r="F378" s="29">
        <f t="shared" ref="F378:F385" si="15">D378-E378</f>
        <v>0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2:23" x14ac:dyDescent="0.25">
      <c r="B379" s="26" t="s">
        <v>76</v>
      </c>
      <c r="C379" s="27" t="s">
        <v>77</v>
      </c>
      <c r="D379" s="28">
        <v>0</v>
      </c>
      <c r="E379" s="51">
        <v>0</v>
      </c>
      <c r="F379" s="29">
        <f t="shared" si="15"/>
        <v>0</v>
      </c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2:23" x14ac:dyDescent="0.25">
      <c r="B380" s="26" t="s">
        <v>78</v>
      </c>
      <c r="C380" s="27" t="s">
        <v>79</v>
      </c>
      <c r="D380" s="28">
        <v>0</v>
      </c>
      <c r="E380" s="51">
        <v>0</v>
      </c>
      <c r="F380" s="29">
        <f t="shared" si="15"/>
        <v>0</v>
      </c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2:23" x14ac:dyDescent="0.25">
      <c r="B381" s="26" t="s">
        <v>80</v>
      </c>
      <c r="C381" s="27" t="s">
        <v>81</v>
      </c>
      <c r="D381" s="28">
        <v>0</v>
      </c>
      <c r="E381" s="51">
        <v>0</v>
      </c>
      <c r="F381" s="29">
        <f t="shared" si="15"/>
        <v>0</v>
      </c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2:23" x14ac:dyDescent="0.25">
      <c r="B382" s="26" t="s">
        <v>82</v>
      </c>
      <c r="C382" s="27" t="s">
        <v>83</v>
      </c>
      <c r="D382" s="28">
        <v>0</v>
      </c>
      <c r="E382" s="51">
        <v>0</v>
      </c>
      <c r="F382" s="29">
        <f t="shared" si="15"/>
        <v>0</v>
      </c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2:23" x14ac:dyDescent="0.25">
      <c r="B383" s="26" t="s">
        <v>84</v>
      </c>
      <c r="C383" s="27" t="s">
        <v>85</v>
      </c>
      <c r="D383" s="28">
        <v>87.61</v>
      </c>
      <c r="E383" s="51">
        <v>0</v>
      </c>
      <c r="F383" s="29">
        <f t="shared" si="15"/>
        <v>87.61</v>
      </c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2:23" x14ac:dyDescent="0.25">
      <c r="B384" s="26" t="s">
        <v>86</v>
      </c>
      <c r="C384" s="31" t="s">
        <v>87</v>
      </c>
      <c r="D384" s="52">
        <v>0</v>
      </c>
      <c r="E384" s="53">
        <v>0</v>
      </c>
      <c r="F384" s="29">
        <f t="shared" si="15"/>
        <v>0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2:24" ht="15.75" thickBot="1" x14ac:dyDescent="0.3">
      <c r="B385" s="32" t="s">
        <v>88</v>
      </c>
      <c r="C385" s="33" t="s">
        <v>89</v>
      </c>
      <c r="D385" s="61">
        <v>0</v>
      </c>
      <c r="E385" s="62">
        <v>0</v>
      </c>
      <c r="F385" s="29">
        <f t="shared" si="15"/>
        <v>0</v>
      </c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2:24" ht="16.5" thickTop="1" thickBot="1" x14ac:dyDescent="0.3">
      <c r="B386" s="34"/>
      <c r="C386" s="63" t="s">
        <v>109</v>
      </c>
      <c r="D386" s="36">
        <f>SUM(D377:D385)</f>
        <v>6245.0499999999993</v>
      </c>
      <c r="E386" s="36">
        <f>SUM(E377:E385)</f>
        <v>6157.44</v>
      </c>
      <c r="F386" s="36">
        <f>SUM(F377:F385)</f>
        <v>87.61</v>
      </c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2:24" x14ac:dyDescent="0.25">
      <c r="B387" s="39" t="s">
        <v>91</v>
      </c>
      <c r="C387" s="40" t="s">
        <v>92</v>
      </c>
      <c r="D387" s="41"/>
      <c r="E387" s="42"/>
      <c r="F387" s="43">
        <v>0</v>
      </c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2:24" x14ac:dyDescent="0.25">
      <c r="B388" s="26" t="s">
        <v>93</v>
      </c>
      <c r="C388" s="31" t="s">
        <v>191</v>
      </c>
      <c r="D388" s="66"/>
      <c r="E388" s="67"/>
      <c r="F388" s="68">
        <v>-11084.86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2:24" x14ac:dyDescent="0.25">
      <c r="B389" s="26" t="s">
        <v>94</v>
      </c>
      <c r="C389" s="31" t="s">
        <v>95</v>
      </c>
      <c r="D389" s="66"/>
      <c r="E389" s="67"/>
      <c r="F389" s="68">
        <v>4909</v>
      </c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2:24" x14ac:dyDescent="0.25">
      <c r="B390" s="26" t="s">
        <v>96</v>
      </c>
      <c r="C390" s="47" t="s">
        <v>81</v>
      </c>
      <c r="D390" s="66"/>
      <c r="E390" s="67"/>
      <c r="F390" s="68">
        <v>0</v>
      </c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2:24" x14ac:dyDescent="0.25">
      <c r="B391" s="26" t="s">
        <v>97</v>
      </c>
      <c r="C391" s="27" t="s">
        <v>98</v>
      </c>
      <c r="D391" s="69"/>
      <c r="E391" s="70"/>
      <c r="F391" s="71">
        <v>43.01</v>
      </c>
    </row>
    <row r="392" spans="2:24" x14ac:dyDescent="0.25">
      <c r="B392" s="26" t="s">
        <v>99</v>
      </c>
      <c r="C392" s="50" t="s">
        <v>100</v>
      </c>
      <c r="D392" s="69"/>
      <c r="E392" s="70"/>
      <c r="F392" s="71">
        <v>6220.46</v>
      </c>
    </row>
    <row r="393" spans="2:24" x14ac:dyDescent="0.25">
      <c r="B393" s="26" t="s">
        <v>101</v>
      </c>
      <c r="C393" s="47" t="s">
        <v>102</v>
      </c>
      <c r="D393" s="72"/>
      <c r="E393" s="73"/>
      <c r="F393" s="74">
        <v>0</v>
      </c>
    </row>
    <row r="394" spans="2:24" x14ac:dyDescent="0.25">
      <c r="B394" s="26" t="s">
        <v>103</v>
      </c>
      <c r="C394" s="47" t="s">
        <v>104</v>
      </c>
      <c r="D394" s="72"/>
      <c r="E394" s="73"/>
      <c r="F394" s="74">
        <v>0</v>
      </c>
    </row>
    <row r="395" spans="2:24" ht="15.75" thickBot="1" x14ac:dyDescent="0.3">
      <c r="B395" s="32" t="s">
        <v>105</v>
      </c>
      <c r="C395" s="47" t="s">
        <v>106</v>
      </c>
      <c r="D395" s="72"/>
      <c r="E395" s="73"/>
      <c r="F395" s="74">
        <v>0</v>
      </c>
    </row>
    <row r="396" spans="2:24" ht="16.5" thickTop="1" thickBot="1" x14ac:dyDescent="0.3">
      <c r="B396" s="34"/>
      <c r="C396" s="63" t="s">
        <v>110</v>
      </c>
      <c r="D396" s="75"/>
      <c r="E396" s="76"/>
      <c r="F396" s="77">
        <f>SUM(F387:F395)</f>
        <v>87.609999999999673</v>
      </c>
    </row>
    <row r="398" spans="2:24" ht="15.75" customHeight="1" x14ac:dyDescent="0.25">
      <c r="C398" s="702" t="s">
        <v>123</v>
      </c>
      <c r="D398" s="702"/>
      <c r="E398" s="702"/>
      <c r="F398" s="702"/>
    </row>
    <row r="399" spans="2:24" ht="15.75" thickBot="1" x14ac:dyDescent="0.3">
      <c r="C399" s="20"/>
      <c r="D399" s="20"/>
      <c r="E399" s="20"/>
      <c r="F399" s="21" t="s">
        <v>67</v>
      </c>
    </row>
    <row r="400" spans="2:24" x14ac:dyDescent="0.25">
      <c r="B400" s="694"/>
      <c r="C400" s="696" t="s">
        <v>68</v>
      </c>
      <c r="D400" s="698" t="s">
        <v>468</v>
      </c>
      <c r="E400" s="699"/>
      <c r="F400" s="700"/>
    </row>
    <row r="401" spans="2:23" x14ac:dyDescent="0.25">
      <c r="B401" s="695"/>
      <c r="C401" s="697"/>
      <c r="D401" s="22" t="s">
        <v>69</v>
      </c>
      <c r="E401" s="23" t="s">
        <v>70</v>
      </c>
      <c r="F401" s="24" t="s">
        <v>71</v>
      </c>
    </row>
    <row r="402" spans="2:23" x14ac:dyDescent="0.25">
      <c r="B402" s="26" t="s">
        <v>72</v>
      </c>
      <c r="C402" s="27" t="s">
        <v>73</v>
      </c>
      <c r="D402" s="28">
        <v>0</v>
      </c>
      <c r="E402" s="51">
        <v>0</v>
      </c>
      <c r="F402" s="29">
        <f>D402-E402</f>
        <v>0</v>
      </c>
    </row>
    <row r="403" spans="2:23" x14ac:dyDescent="0.25">
      <c r="B403" s="26" t="s">
        <v>74</v>
      </c>
      <c r="C403" s="27" t="s">
        <v>75</v>
      </c>
      <c r="D403" s="28">
        <v>665923.26</v>
      </c>
      <c r="E403" s="51">
        <v>355879.19</v>
      </c>
      <c r="F403" s="29">
        <f t="shared" ref="F403:F410" si="16">D403-E403</f>
        <v>310044.07</v>
      </c>
    </row>
    <row r="404" spans="2:23" x14ac:dyDescent="0.25">
      <c r="B404" s="26" t="s">
        <v>76</v>
      </c>
      <c r="C404" s="27" t="s">
        <v>77</v>
      </c>
      <c r="D404" s="28">
        <v>0</v>
      </c>
      <c r="E404" s="51">
        <v>0</v>
      </c>
      <c r="F404" s="29">
        <f t="shared" si="16"/>
        <v>0</v>
      </c>
    </row>
    <row r="405" spans="2:23" x14ac:dyDescent="0.25">
      <c r="B405" s="26" t="s">
        <v>78</v>
      </c>
      <c r="C405" s="27" t="s">
        <v>79</v>
      </c>
      <c r="D405" s="28">
        <v>0</v>
      </c>
      <c r="E405" s="51">
        <v>0</v>
      </c>
      <c r="F405" s="29">
        <f t="shared" si="16"/>
        <v>0</v>
      </c>
    </row>
    <row r="406" spans="2:23" x14ac:dyDescent="0.25">
      <c r="B406" s="26" t="s">
        <v>80</v>
      </c>
      <c r="C406" s="27" t="s">
        <v>81</v>
      </c>
      <c r="D406" s="28">
        <v>0</v>
      </c>
      <c r="E406" s="51">
        <v>0</v>
      </c>
      <c r="F406" s="29">
        <f t="shared" si="16"/>
        <v>0</v>
      </c>
    </row>
    <row r="407" spans="2:23" x14ac:dyDescent="0.25">
      <c r="B407" s="26" t="s">
        <v>82</v>
      </c>
      <c r="C407" s="27" t="s">
        <v>83</v>
      </c>
      <c r="D407" s="28">
        <v>0</v>
      </c>
      <c r="E407" s="51">
        <v>0</v>
      </c>
      <c r="F407" s="29">
        <f t="shared" si="16"/>
        <v>0</v>
      </c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2:23" x14ac:dyDescent="0.25">
      <c r="B408" s="26" t="s">
        <v>84</v>
      </c>
      <c r="C408" s="27" t="s">
        <v>85</v>
      </c>
      <c r="D408" s="28">
        <v>16229.79</v>
      </c>
      <c r="E408" s="51">
        <v>0</v>
      </c>
      <c r="F408" s="29">
        <f t="shared" si="16"/>
        <v>16229.79</v>
      </c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2:23" x14ac:dyDescent="0.25">
      <c r="B409" s="26" t="s">
        <v>86</v>
      </c>
      <c r="C409" s="31" t="s">
        <v>87</v>
      </c>
      <c r="D409" s="52">
        <v>126.22</v>
      </c>
      <c r="E409" s="53">
        <v>0</v>
      </c>
      <c r="F409" s="29">
        <f t="shared" si="16"/>
        <v>126.22</v>
      </c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2:23" ht="15.75" thickBot="1" x14ac:dyDescent="0.3">
      <c r="B410" s="32" t="s">
        <v>88</v>
      </c>
      <c r="C410" s="33" t="s">
        <v>89</v>
      </c>
      <c r="D410" s="61">
        <v>0</v>
      </c>
      <c r="E410" s="62">
        <v>0</v>
      </c>
      <c r="F410" s="29">
        <f t="shared" si="16"/>
        <v>0</v>
      </c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2:23" ht="16.5" thickTop="1" thickBot="1" x14ac:dyDescent="0.3">
      <c r="B411" s="34"/>
      <c r="C411" s="63" t="s">
        <v>109</v>
      </c>
      <c r="D411" s="36">
        <f>SUM(D402:D410)</f>
        <v>682279.27</v>
      </c>
      <c r="E411" s="36">
        <f>SUM(E402:E410)</f>
        <v>355879.19</v>
      </c>
      <c r="F411" s="36">
        <f>SUM(F402:F410)</f>
        <v>326400.07999999996</v>
      </c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2:23" x14ac:dyDescent="0.25">
      <c r="B412" s="39" t="s">
        <v>91</v>
      </c>
      <c r="C412" s="40" t="s">
        <v>92</v>
      </c>
      <c r="D412" s="64"/>
      <c r="E412" s="65"/>
      <c r="F412" s="43">
        <v>0</v>
      </c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2:23" x14ac:dyDescent="0.25">
      <c r="B413" s="26" t="s">
        <v>93</v>
      </c>
      <c r="C413" s="31" t="s">
        <v>191</v>
      </c>
      <c r="D413" s="69"/>
      <c r="E413" s="70"/>
      <c r="F413" s="68">
        <v>-37724.69</v>
      </c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2:23" x14ac:dyDescent="0.25">
      <c r="B414" s="26" t="s">
        <v>94</v>
      </c>
      <c r="C414" s="31" t="s">
        <v>95</v>
      </c>
      <c r="D414" s="69"/>
      <c r="E414" s="70"/>
      <c r="F414" s="68">
        <v>0</v>
      </c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2:23" x14ac:dyDescent="0.25">
      <c r="B415" s="26" t="s">
        <v>96</v>
      </c>
      <c r="C415" s="47" t="s">
        <v>81</v>
      </c>
      <c r="D415" s="69"/>
      <c r="E415" s="70"/>
      <c r="F415" s="68">
        <v>310044.07</v>
      </c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2:23" x14ac:dyDescent="0.25">
      <c r="B416" s="26" t="s">
        <v>97</v>
      </c>
      <c r="C416" s="27" t="s">
        <v>98</v>
      </c>
      <c r="D416" s="69"/>
      <c r="E416" s="70"/>
      <c r="F416" s="71">
        <v>802.29</v>
      </c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2:23" x14ac:dyDescent="0.25">
      <c r="B417" s="26" t="s">
        <v>99</v>
      </c>
      <c r="C417" s="50" t="s">
        <v>100</v>
      </c>
      <c r="D417" s="69"/>
      <c r="E417" s="70"/>
      <c r="F417" s="71">
        <v>53278.41</v>
      </c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2:23" x14ac:dyDescent="0.25">
      <c r="B418" s="26" t="s">
        <v>101</v>
      </c>
      <c r="C418" s="47" t="s">
        <v>102</v>
      </c>
      <c r="D418" s="72"/>
      <c r="E418" s="73"/>
      <c r="F418" s="74">
        <v>0</v>
      </c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2:23" x14ac:dyDescent="0.25">
      <c r="B419" s="26" t="s">
        <v>103</v>
      </c>
      <c r="C419" s="47" t="s">
        <v>104</v>
      </c>
      <c r="D419" s="72"/>
      <c r="E419" s="73"/>
      <c r="F419" s="74">
        <v>0</v>
      </c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2:23" ht="15.75" thickBot="1" x14ac:dyDescent="0.3">
      <c r="B420" s="32" t="s">
        <v>105</v>
      </c>
      <c r="C420" s="47" t="s">
        <v>106</v>
      </c>
      <c r="D420" s="72"/>
      <c r="E420" s="73"/>
      <c r="F420" s="74">
        <v>0</v>
      </c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2:23" ht="16.5" thickTop="1" thickBot="1" x14ac:dyDescent="0.3">
      <c r="B421" s="34"/>
      <c r="C421" s="63" t="s">
        <v>110</v>
      </c>
      <c r="D421" s="75"/>
      <c r="E421" s="76"/>
      <c r="F421" s="77">
        <f>SUM(F412:F420)</f>
        <v>326400.07999999996</v>
      </c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4" spans="2:23" ht="15.75" x14ac:dyDescent="0.25">
      <c r="C424" s="702" t="s">
        <v>469</v>
      </c>
      <c r="D424" s="702"/>
      <c r="E424" s="702"/>
      <c r="F424" s="702"/>
    </row>
    <row r="425" spans="2:23" ht="15.75" thickBot="1" x14ac:dyDescent="0.3">
      <c r="C425" s="20"/>
      <c r="D425" s="20"/>
      <c r="E425" s="20"/>
      <c r="F425" s="21" t="s">
        <v>67</v>
      </c>
    </row>
    <row r="426" spans="2:23" x14ac:dyDescent="0.25">
      <c r="B426" s="694"/>
      <c r="C426" s="696" t="s">
        <v>68</v>
      </c>
      <c r="D426" s="698" t="s">
        <v>468</v>
      </c>
      <c r="E426" s="699"/>
      <c r="F426" s="700"/>
    </row>
    <row r="427" spans="2:23" x14ac:dyDescent="0.25">
      <c r="B427" s="695"/>
      <c r="C427" s="697"/>
      <c r="D427" s="22" t="s">
        <v>69</v>
      </c>
      <c r="E427" s="23" t="s">
        <v>70</v>
      </c>
      <c r="F427" s="24" t="s">
        <v>71</v>
      </c>
    </row>
    <row r="428" spans="2:23" x14ac:dyDescent="0.25">
      <c r="B428" s="26" t="s">
        <v>72</v>
      </c>
      <c r="C428" s="27" t="s">
        <v>73</v>
      </c>
      <c r="D428" s="28">
        <v>0</v>
      </c>
      <c r="E428" s="51">
        <v>0</v>
      </c>
      <c r="F428" s="29">
        <f>D428-E428</f>
        <v>0</v>
      </c>
    </row>
    <row r="429" spans="2:23" x14ac:dyDescent="0.25">
      <c r="B429" s="26" t="s">
        <v>74</v>
      </c>
      <c r="C429" s="27" t="s">
        <v>75</v>
      </c>
      <c r="D429" s="28">
        <v>277789</v>
      </c>
      <c r="E429" s="51">
        <v>242395.58</v>
      </c>
      <c r="F429" s="29">
        <f t="shared" ref="F429:F436" si="17">D429-E429</f>
        <v>35393.420000000013</v>
      </c>
    </row>
    <row r="430" spans="2:23" x14ac:dyDescent="0.25">
      <c r="B430" s="26" t="s">
        <v>76</v>
      </c>
      <c r="C430" s="27" t="s">
        <v>77</v>
      </c>
      <c r="D430" s="28">
        <v>0</v>
      </c>
      <c r="E430" s="51">
        <v>0</v>
      </c>
      <c r="F430" s="29">
        <f t="shared" si="17"/>
        <v>0</v>
      </c>
    </row>
    <row r="431" spans="2:23" x14ac:dyDescent="0.25">
      <c r="B431" s="26" t="s">
        <v>78</v>
      </c>
      <c r="C431" s="27" t="s">
        <v>79</v>
      </c>
      <c r="D431" s="28">
        <v>0</v>
      </c>
      <c r="E431" s="51">
        <v>0</v>
      </c>
      <c r="F431" s="29">
        <f t="shared" si="17"/>
        <v>0</v>
      </c>
    </row>
    <row r="432" spans="2:23" x14ac:dyDescent="0.25">
      <c r="B432" s="26" t="s">
        <v>80</v>
      </c>
      <c r="C432" s="27" t="s">
        <v>81</v>
      </c>
      <c r="D432" s="28">
        <v>0</v>
      </c>
      <c r="E432" s="51">
        <v>0</v>
      </c>
      <c r="F432" s="29">
        <f t="shared" si="17"/>
        <v>0</v>
      </c>
    </row>
    <row r="433" spans="2:6" x14ac:dyDescent="0.25">
      <c r="B433" s="26" t="s">
        <v>82</v>
      </c>
      <c r="C433" s="27" t="s">
        <v>83</v>
      </c>
      <c r="D433" s="28">
        <v>0</v>
      </c>
      <c r="E433" s="51">
        <v>0</v>
      </c>
      <c r="F433" s="29">
        <f t="shared" si="17"/>
        <v>0</v>
      </c>
    </row>
    <row r="434" spans="2:6" x14ac:dyDescent="0.25">
      <c r="B434" s="26" t="s">
        <v>84</v>
      </c>
      <c r="C434" s="27" t="s">
        <v>85</v>
      </c>
      <c r="D434" s="28">
        <v>79.73</v>
      </c>
      <c r="E434" s="51">
        <v>0</v>
      </c>
      <c r="F434" s="29">
        <f t="shared" si="17"/>
        <v>79.73</v>
      </c>
    </row>
    <row r="435" spans="2:6" x14ac:dyDescent="0.25">
      <c r="B435" s="26" t="s">
        <v>86</v>
      </c>
      <c r="C435" s="31" t="s">
        <v>87</v>
      </c>
      <c r="D435" s="52">
        <v>0</v>
      </c>
      <c r="E435" s="53">
        <v>0</v>
      </c>
      <c r="F435" s="29">
        <f t="shared" si="17"/>
        <v>0</v>
      </c>
    </row>
    <row r="436" spans="2:6" ht="15.75" thickBot="1" x14ac:dyDescent="0.3">
      <c r="B436" s="32" t="s">
        <v>88</v>
      </c>
      <c r="C436" s="33" t="s">
        <v>89</v>
      </c>
      <c r="D436" s="61">
        <v>0</v>
      </c>
      <c r="E436" s="62">
        <v>0</v>
      </c>
      <c r="F436" s="29">
        <f t="shared" si="17"/>
        <v>0</v>
      </c>
    </row>
    <row r="437" spans="2:6" ht="16.5" thickTop="1" thickBot="1" x14ac:dyDescent="0.3">
      <c r="B437" s="34"/>
      <c r="C437" s="63" t="s">
        <v>109</v>
      </c>
      <c r="D437" s="36">
        <f>SUM(D428:D436)</f>
        <v>277868.73</v>
      </c>
      <c r="E437" s="36">
        <f>SUM(E428:E436)</f>
        <v>242395.58</v>
      </c>
      <c r="F437" s="36">
        <f>SUM(F428:F436)</f>
        <v>35473.150000000016</v>
      </c>
    </row>
    <row r="438" spans="2:6" x14ac:dyDescent="0.25">
      <c r="B438" s="39" t="s">
        <v>91</v>
      </c>
      <c r="C438" s="40" t="s">
        <v>92</v>
      </c>
      <c r="D438" s="64"/>
      <c r="E438" s="65"/>
      <c r="F438" s="43">
        <v>0</v>
      </c>
    </row>
    <row r="439" spans="2:6" x14ac:dyDescent="0.25">
      <c r="B439" s="26" t="s">
        <v>93</v>
      </c>
      <c r="C439" s="31" t="s">
        <v>191</v>
      </c>
      <c r="D439" s="69"/>
      <c r="E439" s="70"/>
      <c r="F439" s="68">
        <v>-22989.21</v>
      </c>
    </row>
    <row r="440" spans="2:6" x14ac:dyDescent="0.25">
      <c r="B440" s="26" t="s">
        <v>94</v>
      </c>
      <c r="C440" s="31" t="s">
        <v>95</v>
      </c>
      <c r="D440" s="69"/>
      <c r="E440" s="70"/>
      <c r="F440" s="68">
        <v>0</v>
      </c>
    </row>
    <row r="441" spans="2:6" x14ac:dyDescent="0.25">
      <c r="B441" s="26" t="s">
        <v>96</v>
      </c>
      <c r="C441" s="47" t="s">
        <v>81</v>
      </c>
      <c r="D441" s="69"/>
      <c r="E441" s="70"/>
      <c r="F441" s="68">
        <v>35393.42</v>
      </c>
    </row>
    <row r="442" spans="2:6" x14ac:dyDescent="0.25">
      <c r="B442" s="26" t="s">
        <v>97</v>
      </c>
      <c r="C442" s="27" t="s">
        <v>98</v>
      </c>
      <c r="D442" s="69"/>
      <c r="E442" s="70"/>
      <c r="F442" s="71">
        <v>79.73</v>
      </c>
    </row>
    <row r="443" spans="2:6" x14ac:dyDescent="0.25">
      <c r="B443" s="26" t="s">
        <v>99</v>
      </c>
      <c r="C443" s="50" t="s">
        <v>100</v>
      </c>
      <c r="D443" s="69"/>
      <c r="E443" s="70"/>
      <c r="F443" s="71">
        <v>22989.21</v>
      </c>
    </row>
    <row r="444" spans="2:6" x14ac:dyDescent="0.25">
      <c r="B444" s="26" t="s">
        <v>101</v>
      </c>
      <c r="C444" s="47" t="s">
        <v>102</v>
      </c>
      <c r="D444" s="72"/>
      <c r="E444" s="73"/>
      <c r="F444" s="74">
        <v>0</v>
      </c>
    </row>
    <row r="445" spans="2:6" x14ac:dyDescent="0.25">
      <c r="B445" s="26" t="s">
        <v>103</v>
      </c>
      <c r="C445" s="47" t="s">
        <v>104</v>
      </c>
      <c r="D445" s="72"/>
      <c r="E445" s="73"/>
      <c r="F445" s="74">
        <v>0</v>
      </c>
    </row>
    <row r="446" spans="2:6" ht="15.75" thickBot="1" x14ac:dyDescent="0.3">
      <c r="B446" s="32" t="s">
        <v>105</v>
      </c>
      <c r="C446" s="47" t="s">
        <v>106</v>
      </c>
      <c r="D446" s="72"/>
      <c r="E446" s="73"/>
      <c r="F446" s="74">
        <v>0</v>
      </c>
    </row>
    <row r="447" spans="2:6" ht="16.5" thickTop="1" thickBot="1" x14ac:dyDescent="0.3">
      <c r="B447" s="34"/>
      <c r="C447" s="63" t="s">
        <v>110</v>
      </c>
      <c r="D447" s="75"/>
      <c r="E447" s="76"/>
      <c r="F447" s="77">
        <f>SUM(F438:F446)</f>
        <v>35473.149999999994</v>
      </c>
    </row>
  </sheetData>
  <mergeCells count="64">
    <mergeCell ref="C424:F424"/>
    <mergeCell ref="B426:B427"/>
    <mergeCell ref="C426:C427"/>
    <mergeCell ref="D426:F426"/>
    <mergeCell ref="B375:B376"/>
    <mergeCell ref="C375:C376"/>
    <mergeCell ref="D375:F375"/>
    <mergeCell ref="C398:F398"/>
    <mergeCell ref="B400:B401"/>
    <mergeCell ref="C400:C401"/>
    <mergeCell ref="D400:F400"/>
    <mergeCell ref="C345:F345"/>
    <mergeCell ref="B347:B348"/>
    <mergeCell ref="C347:C348"/>
    <mergeCell ref="D347:F347"/>
    <mergeCell ref="C373:F373"/>
    <mergeCell ref="B294:B295"/>
    <mergeCell ref="C294:C295"/>
    <mergeCell ref="D294:F294"/>
    <mergeCell ref="C320:F320"/>
    <mergeCell ref="B322:B323"/>
    <mergeCell ref="C322:C323"/>
    <mergeCell ref="D322:F322"/>
    <mergeCell ref="C267:F267"/>
    <mergeCell ref="B269:B270"/>
    <mergeCell ref="C269:C270"/>
    <mergeCell ref="D269:F269"/>
    <mergeCell ref="C292:F292"/>
    <mergeCell ref="C241:F241"/>
    <mergeCell ref="B243:B244"/>
    <mergeCell ref="C243:C244"/>
    <mergeCell ref="D243:F243"/>
    <mergeCell ref="C215:F215"/>
    <mergeCell ref="B217:B218"/>
    <mergeCell ref="C217:C218"/>
    <mergeCell ref="D217:F217"/>
    <mergeCell ref="C186:F186"/>
    <mergeCell ref="B188:B189"/>
    <mergeCell ref="C188:C189"/>
    <mergeCell ref="D188:F188"/>
    <mergeCell ref="C132:F132"/>
    <mergeCell ref="B134:B135"/>
    <mergeCell ref="C134:C135"/>
    <mergeCell ref="D134:F134"/>
    <mergeCell ref="C162:C163"/>
    <mergeCell ref="D162:F162"/>
    <mergeCell ref="C160:F160"/>
    <mergeCell ref="B162:B163"/>
    <mergeCell ref="B109:B110"/>
    <mergeCell ref="C109:C110"/>
    <mergeCell ref="D109:F109"/>
    <mergeCell ref="C54:F54"/>
    <mergeCell ref="B56:B57"/>
    <mergeCell ref="C79:F79"/>
    <mergeCell ref="B81:B82"/>
    <mergeCell ref="C81:C82"/>
    <mergeCell ref="D81:F81"/>
    <mergeCell ref="C107:F107"/>
    <mergeCell ref="C2:F2"/>
    <mergeCell ref="B4:B5"/>
    <mergeCell ref="C4:C5"/>
    <mergeCell ref="D4:F4"/>
    <mergeCell ref="C56:C57"/>
    <mergeCell ref="D56:F56"/>
  </mergeCells>
  <phoneticPr fontId="6" type="noConversion"/>
  <pageMargins left="0.77" right="0.7" top="0.54" bottom="0.28000000000000003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40"/>
  <sheetViews>
    <sheetView workbookViewId="0"/>
  </sheetViews>
  <sheetFormatPr defaultRowHeight="15" x14ac:dyDescent="0.25"/>
  <cols>
    <col min="1" max="1" width="9.140625" style="215"/>
    <col min="2" max="2" width="6.85546875" style="215" customWidth="1"/>
    <col min="3" max="3" width="35.28515625" style="215" customWidth="1"/>
    <col min="4" max="4" width="47.140625" style="215" customWidth="1"/>
    <col min="5" max="5" width="11.85546875" style="215" customWidth="1"/>
    <col min="6" max="16384" width="9.140625" style="215"/>
  </cols>
  <sheetData>
    <row r="3" spans="2:5" ht="18.75" x14ac:dyDescent="0.25">
      <c r="B3" s="719" t="s">
        <v>523</v>
      </c>
      <c r="C3" s="719"/>
      <c r="D3" s="719"/>
      <c r="E3" s="719"/>
    </row>
    <row r="4" spans="2:5" ht="15.75" thickBot="1" x14ac:dyDescent="0.3"/>
    <row r="5" spans="2:5" ht="28.5" customHeight="1" x14ac:dyDescent="0.25">
      <c r="B5" s="352" t="s">
        <v>147</v>
      </c>
      <c r="C5" s="353" t="s">
        <v>148</v>
      </c>
      <c r="D5" s="353" t="s">
        <v>149</v>
      </c>
      <c r="E5" s="354" t="s">
        <v>150</v>
      </c>
    </row>
    <row r="6" spans="2:5" s="85" customFormat="1" x14ac:dyDescent="0.25">
      <c r="B6" s="483">
        <v>7</v>
      </c>
      <c r="C6" s="484" t="s">
        <v>501</v>
      </c>
      <c r="D6" s="359" t="s">
        <v>534</v>
      </c>
      <c r="E6" s="604">
        <v>995</v>
      </c>
    </row>
    <row r="7" spans="2:5" s="85" customFormat="1" x14ac:dyDescent="0.25">
      <c r="B7" s="483">
        <v>8</v>
      </c>
      <c r="C7" s="366" t="s">
        <v>430</v>
      </c>
      <c r="D7" s="484" t="s">
        <v>525</v>
      </c>
      <c r="E7" s="604">
        <v>200</v>
      </c>
    </row>
    <row r="8" spans="2:5" s="85" customFormat="1" x14ac:dyDescent="0.25">
      <c r="B8" s="483">
        <v>9</v>
      </c>
      <c r="C8" s="366" t="s">
        <v>430</v>
      </c>
      <c r="D8" s="366" t="s">
        <v>526</v>
      </c>
      <c r="E8" s="604">
        <v>490</v>
      </c>
    </row>
    <row r="9" spans="2:5" s="85" customFormat="1" ht="25.5" x14ac:dyDescent="0.25">
      <c r="B9" s="483">
        <v>10</v>
      </c>
      <c r="C9" s="367" t="s">
        <v>527</v>
      </c>
      <c r="D9" s="366" t="s">
        <v>528</v>
      </c>
      <c r="E9" s="604">
        <v>300</v>
      </c>
    </row>
    <row r="10" spans="2:5" s="85" customFormat="1" ht="25.5" x14ac:dyDescent="0.25">
      <c r="B10" s="483">
        <v>11</v>
      </c>
      <c r="C10" s="484" t="s">
        <v>529</v>
      </c>
      <c r="D10" s="359" t="s">
        <v>530</v>
      </c>
      <c r="E10" s="604">
        <v>990</v>
      </c>
    </row>
    <row r="11" spans="2:5" s="85" customFormat="1" ht="25.5" x14ac:dyDescent="0.25">
      <c r="B11" s="483">
        <v>12</v>
      </c>
      <c r="C11" s="484" t="s">
        <v>531</v>
      </c>
      <c r="D11" s="359" t="s">
        <v>532</v>
      </c>
      <c r="E11" s="604">
        <v>390</v>
      </c>
    </row>
    <row r="12" spans="2:5" s="85" customFormat="1" ht="25.5" x14ac:dyDescent="0.25">
      <c r="B12" s="483">
        <v>13</v>
      </c>
      <c r="C12" s="484" t="s">
        <v>533</v>
      </c>
      <c r="D12" s="359" t="s">
        <v>524</v>
      </c>
      <c r="E12" s="605">
        <v>990</v>
      </c>
    </row>
    <row r="13" spans="2:5" s="85" customFormat="1" x14ac:dyDescent="0.25">
      <c r="B13" s="483">
        <v>14</v>
      </c>
      <c r="C13" s="484" t="s">
        <v>510</v>
      </c>
      <c r="D13" s="484" t="s">
        <v>535</v>
      </c>
      <c r="E13" s="604">
        <v>585</v>
      </c>
    </row>
    <row r="14" spans="2:5" s="85" customFormat="1" ht="25.5" x14ac:dyDescent="0.25">
      <c r="B14" s="483">
        <v>15</v>
      </c>
      <c r="C14" s="359" t="s">
        <v>536</v>
      </c>
      <c r="D14" s="484" t="s">
        <v>537</v>
      </c>
      <c r="E14" s="604">
        <v>380</v>
      </c>
    </row>
    <row r="15" spans="2:5" s="85" customFormat="1" ht="25.5" x14ac:dyDescent="0.25">
      <c r="B15" s="483">
        <v>16</v>
      </c>
      <c r="C15" s="359" t="s">
        <v>538</v>
      </c>
      <c r="D15" s="484" t="s">
        <v>539</v>
      </c>
      <c r="E15" s="604">
        <v>380</v>
      </c>
    </row>
    <row r="16" spans="2:5" s="85" customFormat="1" ht="25.5" x14ac:dyDescent="0.25">
      <c r="B16" s="483">
        <v>17</v>
      </c>
      <c r="C16" s="484" t="s">
        <v>540</v>
      </c>
      <c r="D16" s="359" t="s">
        <v>541</v>
      </c>
      <c r="E16" s="604">
        <v>340</v>
      </c>
    </row>
    <row r="17" spans="1:5" s="85" customFormat="1" x14ac:dyDescent="0.25">
      <c r="B17" s="483">
        <v>18</v>
      </c>
      <c r="C17" s="484" t="s">
        <v>540</v>
      </c>
      <c r="D17" s="484" t="s">
        <v>542</v>
      </c>
      <c r="E17" s="604">
        <v>250</v>
      </c>
    </row>
    <row r="18" spans="1:5" s="85" customFormat="1" ht="25.5" x14ac:dyDescent="0.25">
      <c r="B18" s="483">
        <v>19</v>
      </c>
      <c r="C18" s="484" t="s">
        <v>543</v>
      </c>
      <c r="D18" s="359" t="s">
        <v>544</v>
      </c>
      <c r="E18" s="604">
        <v>990</v>
      </c>
    </row>
    <row r="19" spans="1:5" s="85" customFormat="1" x14ac:dyDescent="0.25">
      <c r="B19" s="483">
        <v>20</v>
      </c>
      <c r="C19" s="484" t="s">
        <v>545</v>
      </c>
      <c r="D19" s="484" t="s">
        <v>546</v>
      </c>
      <c r="E19" s="606">
        <v>1980</v>
      </c>
    </row>
    <row r="20" spans="1:5" s="85" customFormat="1" x14ac:dyDescent="0.25">
      <c r="B20" s="483">
        <v>21</v>
      </c>
      <c r="C20" s="366" t="s">
        <v>547</v>
      </c>
      <c r="D20" s="367" t="s">
        <v>548</v>
      </c>
      <c r="E20" s="604">
        <v>490</v>
      </c>
    </row>
    <row r="21" spans="1:5" s="85" customFormat="1" x14ac:dyDescent="0.25">
      <c r="B21" s="483">
        <v>22</v>
      </c>
      <c r="C21" s="366" t="s">
        <v>429</v>
      </c>
      <c r="D21" s="366" t="s">
        <v>549</v>
      </c>
      <c r="E21" s="604">
        <v>200</v>
      </c>
    </row>
    <row r="22" spans="1:5" ht="23.25" customHeight="1" thickBot="1" x14ac:dyDescent="0.3">
      <c r="B22" s="415"/>
      <c r="C22" s="776" t="s">
        <v>139</v>
      </c>
      <c r="D22" s="776"/>
      <c r="E22" s="590">
        <f>SUM(E6:E21)</f>
        <v>9950</v>
      </c>
    </row>
    <row r="23" spans="1:5" x14ac:dyDescent="0.25">
      <c r="B23" s="414"/>
      <c r="C23" s="414"/>
      <c r="D23" s="414"/>
      <c r="E23" s="414"/>
    </row>
    <row r="24" spans="1:5" ht="15.75" thickBot="1" x14ac:dyDescent="0.3">
      <c r="B24" s="414"/>
      <c r="C24" s="414"/>
      <c r="D24" s="414"/>
      <c r="E24" s="414"/>
    </row>
    <row r="25" spans="1:5" ht="30" customHeight="1" x14ac:dyDescent="0.25">
      <c r="B25" s="352" t="s">
        <v>147</v>
      </c>
      <c r="C25" s="353" t="s">
        <v>148</v>
      </c>
      <c r="D25" s="353" t="s">
        <v>149</v>
      </c>
      <c r="E25" s="354" t="s">
        <v>150</v>
      </c>
    </row>
    <row r="26" spans="1:5" s="85" customFormat="1" x14ac:dyDescent="0.25">
      <c r="B26" s="355">
        <v>1</v>
      </c>
      <c r="C26" s="362" t="s">
        <v>550</v>
      </c>
      <c r="D26" s="362" t="s">
        <v>551</v>
      </c>
      <c r="E26" s="607">
        <v>487</v>
      </c>
    </row>
    <row r="27" spans="1:5" s="85" customFormat="1" x14ac:dyDescent="0.25">
      <c r="B27" s="355">
        <v>2</v>
      </c>
      <c r="C27" s="362" t="s">
        <v>552</v>
      </c>
      <c r="D27" s="362" t="s">
        <v>553</v>
      </c>
      <c r="E27" s="607">
        <v>500</v>
      </c>
    </row>
    <row r="28" spans="1:5" s="85" customFormat="1" x14ac:dyDescent="0.25">
      <c r="B28" s="355">
        <v>3</v>
      </c>
      <c r="C28" s="362" t="s">
        <v>554</v>
      </c>
      <c r="D28" s="362" t="s">
        <v>555</v>
      </c>
      <c r="E28" s="607">
        <v>575</v>
      </c>
    </row>
    <row r="29" spans="1:5" s="85" customFormat="1" x14ac:dyDescent="0.25">
      <c r="B29" s="355">
        <v>4</v>
      </c>
      <c r="C29" s="362" t="s">
        <v>556</v>
      </c>
      <c r="D29" s="362" t="s">
        <v>557</v>
      </c>
      <c r="E29" s="607">
        <v>549</v>
      </c>
    </row>
    <row r="30" spans="1:5" s="85" customFormat="1" x14ac:dyDescent="0.25">
      <c r="B30" s="355">
        <v>5</v>
      </c>
      <c r="C30" s="362" t="s">
        <v>558</v>
      </c>
      <c r="D30" s="362" t="s">
        <v>559</v>
      </c>
      <c r="E30" s="607">
        <v>549</v>
      </c>
    </row>
    <row r="31" spans="1:5" s="85" customFormat="1" x14ac:dyDescent="0.25">
      <c r="B31" s="355">
        <v>6</v>
      </c>
      <c r="C31" s="362" t="s">
        <v>435</v>
      </c>
      <c r="D31" s="362" t="s">
        <v>560</v>
      </c>
      <c r="E31" s="607">
        <v>450</v>
      </c>
    </row>
    <row r="32" spans="1:5" s="85" customFormat="1" x14ac:dyDescent="0.25">
      <c r="A32" s="413"/>
      <c r="B32" s="355">
        <v>7</v>
      </c>
      <c r="C32" s="362" t="s">
        <v>561</v>
      </c>
      <c r="D32" s="362" t="s">
        <v>562</v>
      </c>
      <c r="E32" s="607">
        <v>300</v>
      </c>
    </row>
    <row r="33" spans="1:5" s="85" customFormat="1" x14ac:dyDescent="0.25">
      <c r="A33" s="413"/>
      <c r="B33" s="355">
        <v>8</v>
      </c>
      <c r="C33" s="362" t="s">
        <v>563</v>
      </c>
      <c r="D33" s="362" t="s">
        <v>564</v>
      </c>
      <c r="E33" s="607">
        <v>456</v>
      </c>
    </row>
    <row r="34" spans="1:5" s="85" customFormat="1" x14ac:dyDescent="0.25">
      <c r="A34" s="413"/>
      <c r="B34" s="355">
        <v>9</v>
      </c>
      <c r="C34" s="362" t="s">
        <v>565</v>
      </c>
      <c r="D34" s="362" t="s">
        <v>566</v>
      </c>
      <c r="E34" s="607">
        <v>616</v>
      </c>
    </row>
    <row r="35" spans="1:5" s="85" customFormat="1" ht="25.5" x14ac:dyDescent="0.25">
      <c r="A35" s="413"/>
      <c r="B35" s="355">
        <v>10</v>
      </c>
      <c r="C35" s="362" t="s">
        <v>567</v>
      </c>
      <c r="D35" s="362" t="s">
        <v>568</v>
      </c>
      <c r="E35" s="607">
        <v>518</v>
      </c>
    </row>
    <row r="36" spans="1:5" ht="21" customHeight="1" thickBot="1" x14ac:dyDescent="0.3">
      <c r="B36" s="415"/>
      <c r="C36" s="776" t="s">
        <v>139</v>
      </c>
      <c r="D36" s="776"/>
      <c r="E36" s="590">
        <f>SUM(E26:E35)</f>
        <v>5000</v>
      </c>
    </row>
    <row r="39" spans="1:5" x14ac:dyDescent="0.25">
      <c r="E39" s="4"/>
    </row>
    <row r="40" spans="1:5" x14ac:dyDescent="0.25">
      <c r="E40" s="4"/>
    </row>
  </sheetData>
  <mergeCells count="3">
    <mergeCell ref="B3:E3"/>
    <mergeCell ref="C22:D22"/>
    <mergeCell ref="C36:D36"/>
  </mergeCells>
  <pageMargins left="0.31496062992125984" right="0.23622047244094491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3"/>
  <sheetViews>
    <sheetView workbookViewId="0"/>
  </sheetViews>
  <sheetFormatPr defaultRowHeight="15" x14ac:dyDescent="0.25"/>
  <cols>
    <col min="1" max="1" width="4" style="5" customWidth="1"/>
    <col min="2" max="2" width="4.28515625" style="5" customWidth="1"/>
    <col min="3" max="3" width="44.85546875" style="5" customWidth="1"/>
    <col min="4" max="4" width="44.42578125" style="5" customWidth="1"/>
    <col min="5" max="5" width="13" style="579" customWidth="1"/>
    <col min="6" max="16384" width="9.140625" style="5"/>
  </cols>
  <sheetData>
    <row r="1" spans="1:5" x14ac:dyDescent="0.25">
      <c r="A1" s="485"/>
    </row>
    <row r="2" spans="1:5" x14ac:dyDescent="0.25">
      <c r="C2" s="215"/>
      <c r="E2" s="586" t="s">
        <v>867</v>
      </c>
    </row>
    <row r="3" spans="1:5" x14ac:dyDescent="0.25">
      <c r="B3" s="197"/>
      <c r="C3" s="196"/>
      <c r="D3" s="196"/>
      <c r="E3" s="608"/>
    </row>
    <row r="4" spans="1:5" ht="18.75" x14ac:dyDescent="0.25">
      <c r="B4" s="777" t="s">
        <v>591</v>
      </c>
      <c r="C4" s="777"/>
      <c r="D4" s="777"/>
      <c r="E4" s="777"/>
    </row>
    <row r="5" spans="1:5" ht="5.25" customHeight="1" thickBot="1" x14ac:dyDescent="0.3">
      <c r="B5" s="486"/>
      <c r="C5" s="487"/>
      <c r="D5" s="488"/>
      <c r="E5" s="609"/>
    </row>
    <row r="6" spans="1:5" ht="30" x14ac:dyDescent="0.25">
      <c r="B6" s="352" t="s">
        <v>147</v>
      </c>
      <c r="C6" s="353" t="s">
        <v>148</v>
      </c>
      <c r="D6" s="353" t="s">
        <v>149</v>
      </c>
      <c r="E6" s="610" t="s">
        <v>150</v>
      </c>
    </row>
    <row r="7" spans="1:5" s="6" customFormat="1" x14ac:dyDescent="0.25">
      <c r="B7" s="483">
        <v>1</v>
      </c>
      <c r="C7" s="490" t="s">
        <v>664</v>
      </c>
      <c r="D7" s="489" t="s">
        <v>708</v>
      </c>
      <c r="E7" s="611">
        <v>100</v>
      </c>
    </row>
    <row r="8" spans="1:5" s="6" customFormat="1" x14ac:dyDescent="0.25">
      <c r="B8" s="483">
        <v>2</v>
      </c>
      <c r="C8" s="490" t="s">
        <v>665</v>
      </c>
      <c r="D8" s="491" t="s">
        <v>709</v>
      </c>
      <c r="E8" s="611">
        <v>200</v>
      </c>
    </row>
    <row r="9" spans="1:5" s="6" customFormat="1" x14ac:dyDescent="0.25">
      <c r="B9" s="483">
        <v>3</v>
      </c>
      <c r="C9" s="490" t="s">
        <v>665</v>
      </c>
      <c r="D9" s="489" t="s">
        <v>710</v>
      </c>
      <c r="E9" s="611">
        <v>200</v>
      </c>
    </row>
    <row r="10" spans="1:5" s="6" customFormat="1" x14ac:dyDescent="0.25">
      <c r="B10" s="483">
        <v>4</v>
      </c>
      <c r="C10" s="492" t="s">
        <v>666</v>
      </c>
      <c r="D10" s="493" t="s">
        <v>711</v>
      </c>
      <c r="E10" s="612">
        <v>200</v>
      </c>
    </row>
    <row r="11" spans="1:5" s="6" customFormat="1" x14ac:dyDescent="0.25">
      <c r="B11" s="483">
        <v>5</v>
      </c>
      <c r="C11" s="492" t="s">
        <v>666</v>
      </c>
      <c r="D11" s="493" t="s">
        <v>712</v>
      </c>
      <c r="E11" s="612">
        <v>150</v>
      </c>
    </row>
    <row r="12" spans="1:5" s="6" customFormat="1" x14ac:dyDescent="0.25">
      <c r="B12" s="483">
        <v>6</v>
      </c>
      <c r="C12" s="492" t="s">
        <v>667</v>
      </c>
      <c r="D12" s="493" t="s">
        <v>713</v>
      </c>
      <c r="E12" s="612">
        <v>200</v>
      </c>
    </row>
    <row r="13" spans="1:5" s="6" customFormat="1" x14ac:dyDescent="0.25">
      <c r="B13" s="483">
        <v>7</v>
      </c>
      <c r="C13" s="492" t="s">
        <v>667</v>
      </c>
      <c r="D13" s="493" t="s">
        <v>714</v>
      </c>
      <c r="E13" s="612">
        <v>200</v>
      </c>
    </row>
    <row r="14" spans="1:5" s="6" customFormat="1" x14ac:dyDescent="0.25">
      <c r="B14" s="483">
        <v>8</v>
      </c>
      <c r="C14" s="492" t="s">
        <v>668</v>
      </c>
      <c r="D14" s="493" t="s">
        <v>715</v>
      </c>
      <c r="E14" s="612">
        <v>300</v>
      </c>
    </row>
    <row r="15" spans="1:5" s="6" customFormat="1" x14ac:dyDescent="0.25">
      <c r="B15" s="483">
        <v>9</v>
      </c>
      <c r="C15" s="492" t="s">
        <v>668</v>
      </c>
      <c r="D15" s="493" t="s">
        <v>716</v>
      </c>
      <c r="E15" s="612">
        <v>200</v>
      </c>
    </row>
    <row r="16" spans="1:5" s="6" customFormat="1" x14ac:dyDescent="0.25">
      <c r="B16" s="483">
        <v>10</v>
      </c>
      <c r="C16" s="492" t="s">
        <v>668</v>
      </c>
      <c r="D16" s="493" t="s">
        <v>717</v>
      </c>
      <c r="E16" s="612">
        <v>100</v>
      </c>
    </row>
    <row r="17" spans="2:5" s="6" customFormat="1" x14ac:dyDescent="0.25">
      <c r="B17" s="483">
        <v>11</v>
      </c>
      <c r="C17" s="492" t="s">
        <v>668</v>
      </c>
      <c r="D17" s="493" t="s">
        <v>718</v>
      </c>
      <c r="E17" s="612">
        <v>250</v>
      </c>
    </row>
    <row r="18" spans="2:5" s="6" customFormat="1" x14ac:dyDescent="0.25">
      <c r="B18" s="483">
        <v>12</v>
      </c>
      <c r="C18" s="492" t="s">
        <v>668</v>
      </c>
      <c r="D18" s="493" t="s">
        <v>719</v>
      </c>
      <c r="E18" s="612">
        <v>350</v>
      </c>
    </row>
    <row r="19" spans="2:5" s="6" customFormat="1" x14ac:dyDescent="0.25">
      <c r="B19" s="483">
        <v>13</v>
      </c>
      <c r="C19" s="492" t="s">
        <v>669</v>
      </c>
      <c r="D19" s="493" t="s">
        <v>720</v>
      </c>
      <c r="E19" s="612">
        <v>100</v>
      </c>
    </row>
    <row r="20" spans="2:5" s="6" customFormat="1" x14ac:dyDescent="0.25">
      <c r="B20" s="483">
        <v>14</v>
      </c>
      <c r="C20" s="492" t="s">
        <v>670</v>
      </c>
      <c r="D20" s="493" t="s">
        <v>721</v>
      </c>
      <c r="E20" s="612">
        <v>250</v>
      </c>
    </row>
    <row r="21" spans="2:5" s="6" customFormat="1" x14ac:dyDescent="0.25">
      <c r="B21" s="483">
        <v>15</v>
      </c>
      <c r="C21" s="492" t="s">
        <v>670</v>
      </c>
      <c r="D21" s="493" t="s">
        <v>722</v>
      </c>
      <c r="E21" s="611">
        <v>100</v>
      </c>
    </row>
    <row r="22" spans="2:5" s="6" customFormat="1" x14ac:dyDescent="0.25">
      <c r="B22" s="483">
        <v>16</v>
      </c>
      <c r="C22" s="492" t="s">
        <v>670</v>
      </c>
      <c r="D22" s="493" t="s">
        <v>723</v>
      </c>
      <c r="E22" s="611">
        <v>100</v>
      </c>
    </row>
    <row r="23" spans="2:5" s="6" customFormat="1" ht="15" customHeight="1" x14ac:dyDescent="0.25">
      <c r="B23" s="483">
        <v>17</v>
      </c>
      <c r="C23" s="492" t="s">
        <v>671</v>
      </c>
      <c r="D23" s="493" t="s">
        <v>724</v>
      </c>
      <c r="E23" s="612">
        <v>200</v>
      </c>
    </row>
    <row r="24" spans="2:5" s="6" customFormat="1" x14ac:dyDescent="0.25">
      <c r="B24" s="483">
        <v>18</v>
      </c>
      <c r="C24" s="492" t="s">
        <v>671</v>
      </c>
      <c r="D24" s="493" t="s">
        <v>725</v>
      </c>
      <c r="E24" s="612">
        <v>900</v>
      </c>
    </row>
    <row r="25" spans="2:5" s="6" customFormat="1" x14ac:dyDescent="0.25">
      <c r="B25" s="483">
        <v>19</v>
      </c>
      <c r="C25" s="492" t="s">
        <v>672</v>
      </c>
      <c r="D25" s="493" t="s">
        <v>726</v>
      </c>
      <c r="E25" s="612">
        <v>150</v>
      </c>
    </row>
    <row r="26" spans="2:5" s="6" customFormat="1" x14ac:dyDescent="0.25">
      <c r="B26" s="483">
        <v>20</v>
      </c>
      <c r="C26" s="492" t="s">
        <v>673</v>
      </c>
      <c r="D26" s="493" t="s">
        <v>727</v>
      </c>
      <c r="E26" s="611">
        <v>100</v>
      </c>
    </row>
    <row r="27" spans="2:5" s="6" customFormat="1" x14ac:dyDescent="0.25">
      <c r="B27" s="483">
        <v>21</v>
      </c>
      <c r="C27" s="490" t="s">
        <v>674</v>
      </c>
      <c r="D27" s="489" t="s">
        <v>728</v>
      </c>
      <c r="E27" s="611">
        <v>200</v>
      </c>
    </row>
    <row r="28" spans="2:5" s="6" customFormat="1" x14ac:dyDescent="0.25">
      <c r="B28" s="483">
        <v>22</v>
      </c>
      <c r="C28" s="490" t="s">
        <v>674</v>
      </c>
      <c r="D28" s="489" t="s">
        <v>729</v>
      </c>
      <c r="E28" s="611">
        <v>100</v>
      </c>
    </row>
    <row r="29" spans="2:5" s="6" customFormat="1" ht="15" customHeight="1" x14ac:dyDescent="0.25">
      <c r="B29" s="483">
        <v>23</v>
      </c>
      <c r="C29" s="490" t="s">
        <v>674</v>
      </c>
      <c r="D29" s="489" t="s">
        <v>730</v>
      </c>
      <c r="E29" s="611">
        <v>200</v>
      </c>
    </row>
    <row r="30" spans="2:5" s="6" customFormat="1" x14ac:dyDescent="0.25">
      <c r="B30" s="483">
        <v>24</v>
      </c>
      <c r="C30" s="490" t="s">
        <v>674</v>
      </c>
      <c r="D30" s="489" t="s">
        <v>731</v>
      </c>
      <c r="E30" s="611">
        <v>200</v>
      </c>
    </row>
    <row r="31" spans="2:5" s="6" customFormat="1" x14ac:dyDescent="0.25">
      <c r="B31" s="483">
        <v>25</v>
      </c>
      <c r="C31" s="492" t="s">
        <v>675</v>
      </c>
      <c r="D31" s="493" t="s">
        <v>732</v>
      </c>
      <c r="E31" s="611">
        <v>250</v>
      </c>
    </row>
    <row r="32" spans="2:5" s="6" customFormat="1" x14ac:dyDescent="0.25">
      <c r="B32" s="483">
        <v>26</v>
      </c>
      <c r="C32" s="492" t="s">
        <v>676</v>
      </c>
      <c r="D32" s="493" t="s">
        <v>733</v>
      </c>
      <c r="E32" s="611">
        <v>100</v>
      </c>
    </row>
    <row r="33" spans="2:5" s="6" customFormat="1" x14ac:dyDescent="0.25">
      <c r="B33" s="483">
        <v>27</v>
      </c>
      <c r="C33" s="490" t="s">
        <v>677</v>
      </c>
      <c r="D33" s="489" t="s">
        <v>734</v>
      </c>
      <c r="E33" s="611">
        <v>900</v>
      </c>
    </row>
    <row r="34" spans="2:5" s="6" customFormat="1" x14ac:dyDescent="0.25">
      <c r="B34" s="483">
        <v>28</v>
      </c>
      <c r="C34" s="492" t="s">
        <v>678</v>
      </c>
      <c r="D34" s="493" t="s">
        <v>735</v>
      </c>
      <c r="E34" s="611">
        <v>200</v>
      </c>
    </row>
    <row r="35" spans="2:5" s="6" customFormat="1" x14ac:dyDescent="0.25">
      <c r="B35" s="483">
        <v>29</v>
      </c>
      <c r="C35" s="492" t="s">
        <v>678</v>
      </c>
      <c r="D35" s="493" t="s">
        <v>736</v>
      </c>
      <c r="E35" s="611">
        <v>400</v>
      </c>
    </row>
    <row r="36" spans="2:5" s="6" customFormat="1" x14ac:dyDescent="0.25">
      <c r="B36" s="483">
        <v>30</v>
      </c>
      <c r="C36" s="492" t="s">
        <v>679</v>
      </c>
      <c r="D36" s="493" t="s">
        <v>737</v>
      </c>
      <c r="E36" s="611">
        <v>300</v>
      </c>
    </row>
    <row r="37" spans="2:5" s="6" customFormat="1" x14ac:dyDescent="0.25">
      <c r="B37" s="483">
        <v>31</v>
      </c>
      <c r="C37" s="492" t="s">
        <v>679</v>
      </c>
      <c r="D37" s="493" t="s">
        <v>738</v>
      </c>
      <c r="E37" s="611">
        <v>250</v>
      </c>
    </row>
    <row r="38" spans="2:5" s="6" customFormat="1" x14ac:dyDescent="0.25">
      <c r="B38" s="483">
        <v>32</v>
      </c>
      <c r="C38" s="492" t="s">
        <v>679</v>
      </c>
      <c r="D38" s="493" t="s">
        <v>739</v>
      </c>
      <c r="E38" s="611">
        <v>300</v>
      </c>
    </row>
    <row r="39" spans="2:5" s="6" customFormat="1" x14ac:dyDescent="0.25">
      <c r="B39" s="483">
        <v>33</v>
      </c>
      <c r="C39" s="492" t="s">
        <v>679</v>
      </c>
      <c r="D39" s="493" t="s">
        <v>740</v>
      </c>
      <c r="E39" s="611">
        <v>400</v>
      </c>
    </row>
    <row r="40" spans="2:5" s="6" customFormat="1" x14ac:dyDescent="0.25">
      <c r="B40" s="483">
        <v>34</v>
      </c>
      <c r="C40" s="492" t="s">
        <v>680</v>
      </c>
      <c r="D40" s="493" t="s">
        <v>741</v>
      </c>
      <c r="E40" s="611">
        <v>500</v>
      </c>
    </row>
    <row r="41" spans="2:5" s="6" customFormat="1" ht="15" customHeight="1" x14ac:dyDescent="0.25">
      <c r="B41" s="483">
        <v>35</v>
      </c>
      <c r="C41" s="492" t="s">
        <v>681</v>
      </c>
      <c r="D41" s="493" t="s">
        <v>742</v>
      </c>
      <c r="E41" s="611">
        <v>250</v>
      </c>
    </row>
    <row r="42" spans="2:5" s="6" customFormat="1" x14ac:dyDescent="0.25">
      <c r="B42" s="483">
        <v>36</v>
      </c>
      <c r="C42" s="490" t="s">
        <v>682</v>
      </c>
      <c r="D42" s="489" t="s">
        <v>743</v>
      </c>
      <c r="E42" s="611">
        <v>400</v>
      </c>
    </row>
    <row r="43" spans="2:5" s="6" customFormat="1" x14ac:dyDescent="0.25">
      <c r="B43" s="483">
        <v>37</v>
      </c>
      <c r="C43" s="490" t="s">
        <v>682</v>
      </c>
      <c r="D43" s="489" t="s">
        <v>744</v>
      </c>
      <c r="E43" s="611">
        <v>1700</v>
      </c>
    </row>
    <row r="44" spans="2:5" s="6" customFormat="1" x14ac:dyDescent="0.25">
      <c r="B44" s="483">
        <v>38</v>
      </c>
      <c r="C44" s="492" t="s">
        <v>683</v>
      </c>
      <c r="D44" s="493" t="s">
        <v>745</v>
      </c>
      <c r="E44" s="611">
        <v>250</v>
      </c>
    </row>
    <row r="45" spans="2:5" s="6" customFormat="1" x14ac:dyDescent="0.25">
      <c r="B45" s="483">
        <v>39</v>
      </c>
      <c r="C45" s="492" t="s">
        <v>683</v>
      </c>
      <c r="D45" s="493" t="s">
        <v>746</v>
      </c>
      <c r="E45" s="611">
        <v>300</v>
      </c>
    </row>
    <row r="46" spans="2:5" s="6" customFormat="1" ht="15" customHeight="1" x14ac:dyDescent="0.25">
      <c r="B46" s="483">
        <v>40</v>
      </c>
      <c r="C46" s="492" t="s">
        <v>684</v>
      </c>
      <c r="D46" s="493" t="s">
        <v>747</v>
      </c>
      <c r="E46" s="611">
        <v>250</v>
      </c>
    </row>
    <row r="47" spans="2:5" s="6" customFormat="1" x14ac:dyDescent="0.25">
      <c r="B47" s="483">
        <v>41</v>
      </c>
      <c r="C47" s="492" t="s">
        <v>684</v>
      </c>
      <c r="D47" s="493" t="s">
        <v>748</v>
      </c>
      <c r="E47" s="611">
        <v>300</v>
      </c>
    </row>
    <row r="48" spans="2:5" s="6" customFormat="1" x14ac:dyDescent="0.25">
      <c r="B48" s="483">
        <v>42</v>
      </c>
      <c r="C48" s="492" t="s">
        <v>685</v>
      </c>
      <c r="D48" s="493" t="s">
        <v>749</v>
      </c>
      <c r="E48" s="611">
        <v>275</v>
      </c>
    </row>
    <row r="49" spans="2:5" s="6" customFormat="1" x14ac:dyDescent="0.25">
      <c r="B49" s="483">
        <v>43</v>
      </c>
      <c r="C49" s="492" t="s">
        <v>686</v>
      </c>
      <c r="D49" s="493" t="s">
        <v>750</v>
      </c>
      <c r="E49" s="611">
        <v>300</v>
      </c>
    </row>
    <row r="50" spans="2:5" s="6" customFormat="1" x14ac:dyDescent="0.25">
      <c r="B50" s="483">
        <v>44</v>
      </c>
      <c r="C50" s="490" t="s">
        <v>687</v>
      </c>
      <c r="D50" s="489" t="s">
        <v>751</v>
      </c>
      <c r="E50" s="611">
        <v>275</v>
      </c>
    </row>
    <row r="51" spans="2:5" s="6" customFormat="1" x14ac:dyDescent="0.25">
      <c r="B51" s="483">
        <v>45</v>
      </c>
      <c r="C51" s="490" t="s">
        <v>688</v>
      </c>
      <c r="D51" s="489" t="s">
        <v>752</v>
      </c>
      <c r="E51" s="611">
        <v>300</v>
      </c>
    </row>
    <row r="52" spans="2:5" s="6" customFormat="1" x14ac:dyDescent="0.25">
      <c r="B52" s="483">
        <v>46</v>
      </c>
      <c r="C52" s="490" t="s">
        <v>688</v>
      </c>
      <c r="D52" s="489" t="s">
        <v>753</v>
      </c>
      <c r="E52" s="611">
        <v>200</v>
      </c>
    </row>
    <row r="53" spans="2:5" s="6" customFormat="1" x14ac:dyDescent="0.25">
      <c r="B53" s="483">
        <v>47</v>
      </c>
      <c r="C53" s="492" t="s">
        <v>689</v>
      </c>
      <c r="D53" s="493" t="s">
        <v>754</v>
      </c>
      <c r="E53" s="611">
        <v>800</v>
      </c>
    </row>
    <row r="54" spans="2:5" s="6" customFormat="1" x14ac:dyDescent="0.25">
      <c r="B54" s="483">
        <v>48</v>
      </c>
      <c r="C54" s="492" t="s">
        <v>690</v>
      </c>
      <c r="D54" s="493" t="s">
        <v>755</v>
      </c>
      <c r="E54" s="611">
        <v>1300</v>
      </c>
    </row>
    <row r="55" spans="2:5" s="6" customFormat="1" x14ac:dyDescent="0.25">
      <c r="B55" s="483">
        <v>49</v>
      </c>
      <c r="C55" s="492" t="s">
        <v>690</v>
      </c>
      <c r="D55" s="493" t="s">
        <v>756</v>
      </c>
      <c r="E55" s="611">
        <v>250</v>
      </c>
    </row>
    <row r="56" spans="2:5" s="6" customFormat="1" x14ac:dyDescent="0.25">
      <c r="B56" s="483">
        <v>50</v>
      </c>
      <c r="C56" s="492" t="s">
        <v>691</v>
      </c>
      <c r="D56" s="493" t="s">
        <v>757</v>
      </c>
      <c r="E56" s="611">
        <v>950</v>
      </c>
    </row>
    <row r="57" spans="2:5" s="6" customFormat="1" x14ac:dyDescent="0.25">
      <c r="B57" s="483">
        <v>51</v>
      </c>
      <c r="C57" s="492" t="s">
        <v>692</v>
      </c>
      <c r="D57" s="493" t="s">
        <v>758</v>
      </c>
      <c r="E57" s="611">
        <v>300</v>
      </c>
    </row>
    <row r="58" spans="2:5" s="6" customFormat="1" x14ac:dyDescent="0.25">
      <c r="B58" s="483">
        <v>52</v>
      </c>
      <c r="C58" s="492" t="s">
        <v>692</v>
      </c>
      <c r="D58" s="493" t="s">
        <v>759</v>
      </c>
      <c r="E58" s="611">
        <v>500</v>
      </c>
    </row>
    <row r="59" spans="2:5" s="6" customFormat="1" x14ac:dyDescent="0.25">
      <c r="B59" s="483">
        <v>54</v>
      </c>
      <c r="C59" s="492" t="s">
        <v>693</v>
      </c>
      <c r="D59" s="493" t="s">
        <v>760</v>
      </c>
      <c r="E59" s="611">
        <v>400</v>
      </c>
    </row>
    <row r="60" spans="2:5" s="6" customFormat="1" x14ac:dyDescent="0.25">
      <c r="B60" s="483">
        <v>55</v>
      </c>
      <c r="C60" s="492" t="s">
        <v>694</v>
      </c>
      <c r="D60" s="493" t="s">
        <v>761</v>
      </c>
      <c r="E60" s="611">
        <v>300</v>
      </c>
    </row>
    <row r="61" spans="2:5" s="6" customFormat="1" x14ac:dyDescent="0.25">
      <c r="B61" s="483">
        <v>56</v>
      </c>
      <c r="C61" s="492" t="s">
        <v>695</v>
      </c>
      <c r="D61" s="493" t="s">
        <v>762</v>
      </c>
      <c r="E61" s="611">
        <v>1800</v>
      </c>
    </row>
    <row r="62" spans="2:5" s="6" customFormat="1" x14ac:dyDescent="0.25">
      <c r="B62" s="483">
        <v>57</v>
      </c>
      <c r="C62" s="492" t="s">
        <v>696</v>
      </c>
      <c r="D62" s="493" t="s">
        <v>763</v>
      </c>
      <c r="E62" s="611">
        <v>300</v>
      </c>
    </row>
    <row r="63" spans="2:5" s="6" customFormat="1" x14ac:dyDescent="0.25">
      <c r="B63" s="483">
        <v>58</v>
      </c>
      <c r="C63" s="492" t="s">
        <v>697</v>
      </c>
      <c r="D63" s="493" t="s">
        <v>764</v>
      </c>
      <c r="E63" s="611">
        <v>200</v>
      </c>
    </row>
    <row r="64" spans="2:5" s="6" customFormat="1" x14ac:dyDescent="0.25">
      <c r="B64" s="483">
        <v>59</v>
      </c>
      <c r="C64" s="492" t="s">
        <v>697</v>
      </c>
      <c r="D64" s="493" t="s">
        <v>765</v>
      </c>
      <c r="E64" s="611">
        <v>100</v>
      </c>
    </row>
    <row r="65" spans="2:5" s="6" customFormat="1" x14ac:dyDescent="0.25">
      <c r="B65" s="483">
        <v>60</v>
      </c>
      <c r="C65" s="492" t="s">
        <v>697</v>
      </c>
      <c r="D65" s="493" t="s">
        <v>766</v>
      </c>
      <c r="E65" s="611">
        <v>200</v>
      </c>
    </row>
    <row r="66" spans="2:5" s="6" customFormat="1" x14ac:dyDescent="0.25">
      <c r="B66" s="483">
        <v>61</v>
      </c>
      <c r="C66" s="492" t="s">
        <v>697</v>
      </c>
      <c r="D66" s="493" t="s">
        <v>767</v>
      </c>
      <c r="E66" s="611">
        <v>300</v>
      </c>
    </row>
    <row r="67" spans="2:5" s="6" customFormat="1" x14ac:dyDescent="0.25">
      <c r="B67" s="483">
        <v>62</v>
      </c>
      <c r="C67" s="492" t="s">
        <v>698</v>
      </c>
      <c r="D67" s="493" t="s">
        <v>768</v>
      </c>
      <c r="E67" s="611">
        <v>200</v>
      </c>
    </row>
    <row r="68" spans="2:5" s="6" customFormat="1" x14ac:dyDescent="0.25">
      <c r="B68" s="483">
        <v>63</v>
      </c>
      <c r="C68" s="492" t="s">
        <v>698</v>
      </c>
      <c r="D68" s="493" t="s">
        <v>769</v>
      </c>
      <c r="E68" s="611">
        <v>800</v>
      </c>
    </row>
    <row r="69" spans="2:5" s="6" customFormat="1" x14ac:dyDescent="0.25">
      <c r="B69" s="483">
        <v>64</v>
      </c>
      <c r="C69" s="492" t="s">
        <v>699</v>
      </c>
      <c r="D69" s="493" t="s">
        <v>770</v>
      </c>
      <c r="E69" s="611">
        <v>500</v>
      </c>
    </row>
    <row r="70" spans="2:5" s="6" customFormat="1" x14ac:dyDescent="0.25">
      <c r="B70" s="483">
        <v>65</v>
      </c>
      <c r="C70" s="492" t="s">
        <v>700</v>
      </c>
      <c r="D70" s="493" t="s">
        <v>771</v>
      </c>
      <c r="E70" s="611">
        <v>400</v>
      </c>
    </row>
    <row r="71" spans="2:5" s="6" customFormat="1" x14ac:dyDescent="0.25">
      <c r="B71" s="483">
        <v>66</v>
      </c>
      <c r="C71" s="492" t="s">
        <v>700</v>
      </c>
      <c r="D71" s="493" t="s">
        <v>772</v>
      </c>
      <c r="E71" s="611">
        <v>600</v>
      </c>
    </row>
    <row r="72" spans="2:5" s="6" customFormat="1" x14ac:dyDescent="0.25">
      <c r="B72" s="483">
        <v>67</v>
      </c>
      <c r="C72" s="492" t="s">
        <v>701</v>
      </c>
      <c r="D72" s="493" t="s">
        <v>773</v>
      </c>
      <c r="E72" s="611">
        <v>200</v>
      </c>
    </row>
    <row r="73" spans="2:5" s="6" customFormat="1" x14ac:dyDescent="0.25">
      <c r="B73" s="483">
        <v>68</v>
      </c>
      <c r="C73" s="492" t="s">
        <v>701</v>
      </c>
      <c r="D73" s="493" t="s">
        <v>774</v>
      </c>
      <c r="E73" s="611">
        <v>300</v>
      </c>
    </row>
    <row r="74" spans="2:5" s="6" customFormat="1" x14ac:dyDescent="0.25">
      <c r="B74" s="483">
        <v>69</v>
      </c>
      <c r="C74" s="492" t="s">
        <v>702</v>
      </c>
      <c r="D74" s="493" t="s">
        <v>775</v>
      </c>
      <c r="E74" s="611">
        <v>1500</v>
      </c>
    </row>
    <row r="75" spans="2:5" s="6" customFormat="1" x14ac:dyDescent="0.25">
      <c r="B75" s="483">
        <v>70</v>
      </c>
      <c r="C75" s="492" t="s">
        <v>703</v>
      </c>
      <c r="D75" s="493" t="s">
        <v>776</v>
      </c>
      <c r="E75" s="611">
        <v>400</v>
      </c>
    </row>
    <row r="76" spans="2:5" s="6" customFormat="1" x14ac:dyDescent="0.25">
      <c r="B76" s="483">
        <v>71</v>
      </c>
      <c r="C76" s="492" t="s">
        <v>703</v>
      </c>
      <c r="D76" s="493" t="s">
        <v>777</v>
      </c>
      <c r="E76" s="611">
        <v>200</v>
      </c>
    </row>
    <row r="77" spans="2:5" s="6" customFormat="1" x14ac:dyDescent="0.25">
      <c r="B77" s="483">
        <v>72</v>
      </c>
      <c r="C77" s="492" t="s">
        <v>703</v>
      </c>
      <c r="D77" s="493" t="s">
        <v>778</v>
      </c>
      <c r="E77" s="611">
        <v>200</v>
      </c>
    </row>
    <row r="78" spans="2:5" s="6" customFormat="1" ht="15.75" thickBot="1" x14ac:dyDescent="0.3">
      <c r="B78" s="483">
        <v>73</v>
      </c>
      <c r="C78" s="492" t="s">
        <v>435</v>
      </c>
      <c r="D78" s="493" t="s">
        <v>779</v>
      </c>
      <c r="E78" s="611">
        <v>300</v>
      </c>
    </row>
    <row r="79" spans="2:5" s="6" customFormat="1" ht="17.25" thickTop="1" thickBot="1" x14ac:dyDescent="0.3">
      <c r="B79" s="356"/>
      <c r="C79" s="778" t="s">
        <v>139</v>
      </c>
      <c r="D79" s="778"/>
      <c r="E79" s="357">
        <f>SUM(E7:E78)</f>
        <v>26750</v>
      </c>
    </row>
    <row r="80" spans="2:5" s="6" customFormat="1" ht="27.75" customHeight="1" x14ac:dyDescent="0.2">
      <c r="B80" s="494"/>
      <c r="C80" s="194"/>
      <c r="D80" s="194"/>
      <c r="E80" s="195"/>
    </row>
    <row r="81" spans="2:5" s="6" customFormat="1" x14ac:dyDescent="0.2">
      <c r="B81" s="494"/>
      <c r="C81" s="194"/>
      <c r="D81" s="194"/>
      <c r="E81" s="195"/>
    </row>
    <row r="82" spans="2:5" s="6" customFormat="1" x14ac:dyDescent="0.2">
      <c r="B82" s="494"/>
      <c r="C82" s="194"/>
      <c r="D82" s="194"/>
      <c r="E82" s="195"/>
    </row>
    <row r="83" spans="2:5" s="6" customFormat="1" x14ac:dyDescent="0.2">
      <c r="B83" s="494"/>
      <c r="C83" s="194"/>
      <c r="D83" s="194"/>
      <c r="E83" s="195"/>
    </row>
    <row r="84" spans="2:5" s="6" customFormat="1" x14ac:dyDescent="0.2">
      <c r="B84" s="494"/>
      <c r="C84" s="194"/>
      <c r="D84" s="194"/>
      <c r="E84" s="195"/>
    </row>
    <row r="85" spans="2:5" s="6" customFormat="1" x14ac:dyDescent="0.2">
      <c r="B85" s="494"/>
      <c r="C85" s="194"/>
      <c r="D85" s="194"/>
      <c r="E85" s="195"/>
    </row>
    <row r="86" spans="2:5" s="6" customFormat="1" x14ac:dyDescent="0.2">
      <c r="B86" s="494"/>
      <c r="C86" s="194"/>
      <c r="D86" s="194"/>
      <c r="E86" s="195"/>
    </row>
    <row r="87" spans="2:5" s="6" customFormat="1" x14ac:dyDescent="0.2">
      <c r="B87" s="494"/>
      <c r="C87" s="194"/>
      <c r="D87" s="194"/>
      <c r="E87" s="195"/>
    </row>
    <row r="88" spans="2:5" s="6" customFormat="1" x14ac:dyDescent="0.2">
      <c r="B88" s="494"/>
      <c r="C88" s="194"/>
      <c r="D88" s="194"/>
      <c r="E88" s="195"/>
    </row>
    <row r="89" spans="2:5" s="6" customFormat="1" x14ac:dyDescent="0.2">
      <c r="B89" s="494"/>
      <c r="C89" s="194"/>
      <c r="D89" s="194"/>
      <c r="E89" s="195"/>
    </row>
    <row r="90" spans="2:5" s="6" customFormat="1" x14ac:dyDescent="0.2">
      <c r="B90" s="494"/>
      <c r="C90" s="194"/>
      <c r="D90" s="194"/>
      <c r="E90" s="195"/>
    </row>
    <row r="91" spans="2:5" s="6" customFormat="1" x14ac:dyDescent="0.2">
      <c r="B91" s="494"/>
      <c r="C91" s="194"/>
      <c r="D91" s="194"/>
      <c r="E91" s="195"/>
    </row>
    <row r="92" spans="2:5" s="6" customFormat="1" x14ac:dyDescent="0.2">
      <c r="B92" s="494"/>
      <c r="C92" s="194"/>
      <c r="D92" s="194"/>
      <c r="E92" s="195"/>
    </row>
    <row r="93" spans="2:5" s="6" customFormat="1" x14ac:dyDescent="0.2">
      <c r="B93" s="494"/>
      <c r="C93" s="194"/>
      <c r="D93" s="194"/>
      <c r="E93" s="195"/>
    </row>
    <row r="94" spans="2:5" s="6" customFormat="1" x14ac:dyDescent="0.2">
      <c r="B94" s="494"/>
      <c r="C94" s="194"/>
      <c r="D94" s="194"/>
      <c r="E94" s="195"/>
    </row>
    <row r="95" spans="2:5" s="6" customFormat="1" x14ac:dyDescent="0.2">
      <c r="B95" s="494"/>
      <c r="C95" s="194"/>
      <c r="D95" s="194"/>
      <c r="E95" s="195"/>
    </row>
    <row r="96" spans="2:5" s="6" customFormat="1" x14ac:dyDescent="0.2">
      <c r="B96" s="494"/>
      <c r="C96" s="194"/>
      <c r="D96" s="194"/>
      <c r="E96" s="195"/>
    </row>
    <row r="97" spans="2:5" s="6" customFormat="1" x14ac:dyDescent="0.2">
      <c r="B97" s="494"/>
      <c r="C97" s="194"/>
      <c r="D97" s="194"/>
      <c r="E97" s="195"/>
    </row>
    <row r="98" spans="2:5" s="6" customFormat="1" x14ac:dyDescent="0.2">
      <c r="B98" s="494"/>
      <c r="C98" s="194"/>
      <c r="D98" s="194"/>
      <c r="E98" s="195"/>
    </row>
    <row r="99" spans="2:5" s="6" customFormat="1" x14ac:dyDescent="0.2">
      <c r="B99" s="494"/>
      <c r="C99" s="194"/>
      <c r="D99" s="194"/>
      <c r="E99" s="195"/>
    </row>
    <row r="100" spans="2:5" s="6" customFormat="1" x14ac:dyDescent="0.2">
      <c r="B100" s="494"/>
      <c r="C100" s="194"/>
      <c r="D100" s="194"/>
      <c r="E100" s="195"/>
    </row>
    <row r="101" spans="2:5" s="6" customFormat="1" x14ac:dyDescent="0.2">
      <c r="B101" s="494"/>
      <c r="C101" s="194"/>
      <c r="D101" s="194"/>
      <c r="E101" s="195"/>
    </row>
    <row r="102" spans="2:5" s="6" customFormat="1" x14ac:dyDescent="0.2">
      <c r="B102" s="494"/>
      <c r="C102" s="194"/>
      <c r="D102" s="194"/>
      <c r="E102" s="195"/>
    </row>
    <row r="103" spans="2:5" x14ac:dyDescent="0.25">
      <c r="C103" s="215"/>
    </row>
  </sheetData>
  <mergeCells count="2">
    <mergeCell ref="B4:E4"/>
    <mergeCell ref="C79:D79"/>
  </mergeCells>
  <phoneticPr fontId="6" type="noConversion"/>
  <pageMargins left="0.31496062992125984" right="0.19685039370078741" top="0.43307086614173229" bottom="0.47244094488188981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27"/>
  <sheetViews>
    <sheetView workbookViewId="0"/>
  </sheetViews>
  <sheetFormatPr defaultRowHeight="15" x14ac:dyDescent="0.25"/>
  <cols>
    <col min="1" max="1" width="9.140625" style="5" customWidth="1"/>
    <col min="2" max="2" width="4.28515625" style="5" customWidth="1"/>
    <col min="3" max="3" width="33.5703125" style="5" customWidth="1"/>
    <col min="4" max="4" width="44.7109375" style="5" customWidth="1"/>
    <col min="5" max="5" width="14.5703125" style="5" customWidth="1"/>
    <col min="6" max="16384" width="9.140625" style="5"/>
  </cols>
  <sheetData>
    <row r="2" spans="2:5" x14ac:dyDescent="0.25">
      <c r="E2" s="584" t="s">
        <v>861</v>
      </c>
    </row>
    <row r="3" spans="2:5" x14ac:dyDescent="0.25">
      <c r="B3" s="197"/>
      <c r="C3" s="196"/>
      <c r="D3" s="196"/>
    </row>
    <row r="4" spans="2:5" ht="17.25" x14ac:dyDescent="0.25">
      <c r="B4" s="779" t="s">
        <v>497</v>
      </c>
      <c r="C4" s="779"/>
      <c r="D4" s="779"/>
      <c r="E4" s="779"/>
    </row>
    <row r="5" spans="2:5" ht="15.75" thickBot="1" x14ac:dyDescent="0.3">
      <c r="B5" s="197"/>
      <c r="C5" s="196"/>
      <c r="D5" s="196"/>
      <c r="E5" s="198" t="s">
        <v>67</v>
      </c>
    </row>
    <row r="6" spans="2:5" ht="30" x14ac:dyDescent="0.25">
      <c r="B6" s="352" t="s">
        <v>147</v>
      </c>
      <c r="C6" s="353" t="s">
        <v>148</v>
      </c>
      <c r="D6" s="353" t="s">
        <v>149</v>
      </c>
      <c r="E6" s="354" t="s">
        <v>150</v>
      </c>
    </row>
    <row r="7" spans="2:5" s="6" customFormat="1" ht="25.5" customHeight="1" x14ac:dyDescent="0.25">
      <c r="B7" s="355">
        <v>1</v>
      </c>
      <c r="C7" s="363" t="s">
        <v>442</v>
      </c>
      <c r="D7" s="587" t="s">
        <v>426</v>
      </c>
      <c r="E7" s="588">
        <v>1077</v>
      </c>
    </row>
    <row r="8" spans="2:5" s="6" customFormat="1" ht="26.25" customHeight="1" x14ac:dyDescent="0.25">
      <c r="B8" s="355">
        <v>2</v>
      </c>
      <c r="C8" s="364" t="s">
        <v>443</v>
      </c>
      <c r="D8" s="365" t="s">
        <v>427</v>
      </c>
      <c r="E8" s="588">
        <v>1940</v>
      </c>
    </row>
    <row r="9" spans="2:5" s="6" customFormat="1" ht="25.5" customHeight="1" x14ac:dyDescent="0.25">
      <c r="B9" s="355">
        <v>3</v>
      </c>
      <c r="C9" s="364" t="s">
        <v>453</v>
      </c>
      <c r="D9" s="587" t="s">
        <v>461</v>
      </c>
      <c r="E9" s="589">
        <v>1020</v>
      </c>
    </row>
    <row r="10" spans="2:5" s="6" customFormat="1" ht="25.5" x14ac:dyDescent="0.25">
      <c r="B10" s="355">
        <v>4</v>
      </c>
      <c r="C10" s="366" t="s">
        <v>454</v>
      </c>
      <c r="D10" s="587" t="s">
        <v>461</v>
      </c>
      <c r="E10" s="588">
        <v>1798</v>
      </c>
    </row>
    <row r="11" spans="2:5" s="6" customFormat="1" ht="25.5" x14ac:dyDescent="0.25">
      <c r="B11" s="355">
        <v>5</v>
      </c>
      <c r="C11" s="366" t="s">
        <v>455</v>
      </c>
      <c r="D11" s="587" t="s">
        <v>461</v>
      </c>
      <c r="E11" s="588">
        <v>399</v>
      </c>
    </row>
    <row r="12" spans="2:5" s="6" customFormat="1" ht="25.5" x14ac:dyDescent="0.25">
      <c r="B12" s="355">
        <v>6</v>
      </c>
      <c r="C12" s="366" t="s">
        <v>456</v>
      </c>
      <c r="D12" s="587" t="s">
        <v>461</v>
      </c>
      <c r="E12" s="588">
        <v>2611</v>
      </c>
    </row>
    <row r="13" spans="2:5" s="6" customFormat="1" ht="25.5" x14ac:dyDescent="0.25">
      <c r="B13" s="355">
        <v>7</v>
      </c>
      <c r="C13" s="366" t="s">
        <v>457</v>
      </c>
      <c r="D13" s="587" t="s">
        <v>461</v>
      </c>
      <c r="E13" s="588">
        <v>392</v>
      </c>
    </row>
    <row r="14" spans="2:5" s="6" customFormat="1" ht="25.5" x14ac:dyDescent="0.25">
      <c r="B14" s="355">
        <v>8</v>
      </c>
      <c r="C14" s="366" t="s">
        <v>458</v>
      </c>
      <c r="D14" s="587" t="s">
        <v>461</v>
      </c>
      <c r="E14" s="588">
        <v>1505</v>
      </c>
    </row>
    <row r="15" spans="2:5" s="6" customFormat="1" ht="25.5" x14ac:dyDescent="0.25">
      <c r="B15" s="355">
        <v>9</v>
      </c>
      <c r="C15" s="366" t="s">
        <v>459</v>
      </c>
      <c r="D15" s="587" t="s">
        <v>461</v>
      </c>
      <c r="E15" s="588">
        <v>457</v>
      </c>
    </row>
    <row r="16" spans="2:5" s="6" customFormat="1" x14ac:dyDescent="0.25">
      <c r="B16" s="355">
        <v>10</v>
      </c>
      <c r="C16" s="366" t="s">
        <v>460</v>
      </c>
      <c r="D16" s="365" t="s">
        <v>661</v>
      </c>
      <c r="E16" s="588">
        <v>300</v>
      </c>
    </row>
    <row r="17" spans="2:5" s="6" customFormat="1" ht="25.5" customHeight="1" x14ac:dyDescent="0.25">
      <c r="B17" s="355">
        <v>11</v>
      </c>
      <c r="C17" s="366" t="s">
        <v>447</v>
      </c>
      <c r="D17" s="367" t="s">
        <v>462</v>
      </c>
      <c r="E17" s="588">
        <v>300</v>
      </c>
    </row>
    <row r="18" spans="2:5" s="6" customFormat="1" x14ac:dyDescent="0.25">
      <c r="B18" s="355">
        <v>12</v>
      </c>
      <c r="C18" s="366" t="s">
        <v>444</v>
      </c>
      <c r="D18" s="366" t="s">
        <v>463</v>
      </c>
      <c r="E18" s="588">
        <v>300</v>
      </c>
    </row>
    <row r="19" spans="2:5" s="6" customFormat="1" x14ac:dyDescent="0.25">
      <c r="B19" s="355">
        <v>13</v>
      </c>
      <c r="C19" s="366" t="s">
        <v>445</v>
      </c>
      <c r="D19" s="484" t="s">
        <v>662</v>
      </c>
      <c r="E19" s="588">
        <v>1000</v>
      </c>
    </row>
    <row r="20" spans="2:5" s="6" customFormat="1" x14ac:dyDescent="0.25">
      <c r="B20" s="355">
        <v>14</v>
      </c>
      <c r="C20" s="366" t="s">
        <v>459</v>
      </c>
      <c r="D20" s="367" t="s">
        <v>663</v>
      </c>
      <c r="E20" s="588">
        <v>1100</v>
      </c>
    </row>
    <row r="21" spans="2:5" s="6" customFormat="1" ht="25.5" x14ac:dyDescent="0.25">
      <c r="B21" s="355">
        <v>16</v>
      </c>
      <c r="C21" s="368" t="s">
        <v>446</v>
      </c>
      <c r="D21" s="365" t="s">
        <v>464</v>
      </c>
      <c r="E21" s="588">
        <v>2000</v>
      </c>
    </row>
    <row r="22" spans="2:5" ht="25.5" customHeight="1" thickBot="1" x14ac:dyDescent="0.3">
      <c r="B22" s="415"/>
      <c r="C22" s="776" t="s">
        <v>139</v>
      </c>
      <c r="D22" s="776"/>
      <c r="E22" s="590">
        <f>SUM(E7:E21)</f>
        <v>16199</v>
      </c>
    </row>
    <row r="24" spans="2:5" x14ac:dyDescent="0.25">
      <c r="C24" s="199"/>
    </row>
    <row r="25" spans="2:5" x14ac:dyDescent="0.25">
      <c r="C25" s="7"/>
    </row>
    <row r="27" spans="2:5" x14ac:dyDescent="0.25">
      <c r="C27" s="215"/>
    </row>
  </sheetData>
  <mergeCells count="2">
    <mergeCell ref="B4:E4"/>
    <mergeCell ref="C22:D22"/>
  </mergeCells>
  <phoneticPr fontId="6" type="noConversion"/>
  <pageMargins left="0.39370078740157483" right="0.15748031496062992" top="1.0236220472440944" bottom="0.98425196850393704" header="0.27559055118110237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G18"/>
  <sheetViews>
    <sheetView workbookViewId="0"/>
  </sheetViews>
  <sheetFormatPr defaultRowHeight="15" x14ac:dyDescent="0.25"/>
  <cols>
    <col min="1" max="1" width="9.140625" style="215"/>
    <col min="2" max="2" width="6" style="215" customWidth="1"/>
    <col min="3" max="3" width="30.28515625" style="215" customWidth="1"/>
    <col min="4" max="4" width="34.140625" style="215" customWidth="1"/>
    <col min="5" max="5" width="12" style="215" customWidth="1"/>
    <col min="6" max="16384" width="9.140625" style="215"/>
  </cols>
  <sheetData>
    <row r="3" spans="2:7" x14ac:dyDescent="0.25">
      <c r="E3" s="583" t="s">
        <v>862</v>
      </c>
    </row>
    <row r="5" spans="2:7" ht="17.25" x14ac:dyDescent="0.25">
      <c r="B5" s="779" t="s">
        <v>496</v>
      </c>
      <c r="C5" s="779"/>
      <c r="D5" s="779"/>
      <c r="E5" s="779"/>
    </row>
    <row r="6" spans="2:7" ht="15.75" thickBot="1" x14ac:dyDescent="0.3">
      <c r="B6" s="197"/>
      <c r="C6" s="196"/>
      <c r="D6" s="196"/>
      <c r="E6" s="198"/>
    </row>
    <row r="7" spans="2:7" ht="30" x14ac:dyDescent="0.25">
      <c r="B7" s="352" t="s">
        <v>147</v>
      </c>
      <c r="C7" s="353" t="s">
        <v>148</v>
      </c>
      <c r="D7" s="353" t="s">
        <v>149</v>
      </c>
      <c r="E7" s="354" t="s">
        <v>150</v>
      </c>
      <c r="G7" s="502"/>
    </row>
    <row r="8" spans="2:7" x14ac:dyDescent="0.25">
      <c r="B8" s="483">
        <v>1</v>
      </c>
      <c r="C8" s="358" t="s">
        <v>569</v>
      </c>
      <c r="D8" s="359" t="s">
        <v>570</v>
      </c>
      <c r="E8" s="619">
        <v>507</v>
      </c>
    </row>
    <row r="9" spans="2:7" x14ac:dyDescent="0.25">
      <c r="B9" s="483">
        <v>2</v>
      </c>
      <c r="C9" s="358" t="s">
        <v>571</v>
      </c>
      <c r="D9" s="359" t="s">
        <v>572</v>
      </c>
      <c r="E9" s="619">
        <v>480</v>
      </c>
    </row>
    <row r="10" spans="2:7" ht="17.25" customHeight="1" x14ac:dyDescent="0.25">
      <c r="B10" s="483">
        <v>3</v>
      </c>
      <c r="C10" s="358" t="s">
        <v>573</v>
      </c>
      <c r="D10" s="359" t="s">
        <v>574</v>
      </c>
      <c r="E10" s="619">
        <v>387</v>
      </c>
    </row>
    <row r="11" spans="2:7" x14ac:dyDescent="0.25">
      <c r="B11" s="483">
        <v>4</v>
      </c>
      <c r="C11" s="358" t="s">
        <v>575</v>
      </c>
      <c r="D11" s="359" t="s">
        <v>576</v>
      </c>
      <c r="E11" s="619">
        <v>612</v>
      </c>
    </row>
    <row r="12" spans="2:7" x14ac:dyDescent="0.25">
      <c r="B12" s="483">
        <v>5</v>
      </c>
      <c r="C12" s="358" t="s">
        <v>433</v>
      </c>
      <c r="D12" s="359" t="s">
        <v>577</v>
      </c>
      <c r="E12" s="619">
        <v>500</v>
      </c>
    </row>
    <row r="13" spans="2:7" ht="25.5" x14ac:dyDescent="0.25">
      <c r="B13" s="483">
        <v>6</v>
      </c>
      <c r="C13" s="484" t="s">
        <v>578</v>
      </c>
      <c r="D13" s="359" t="s">
        <v>579</v>
      </c>
      <c r="E13" s="619">
        <v>485</v>
      </c>
    </row>
    <row r="14" spans="2:7" ht="27" customHeight="1" x14ac:dyDescent="0.25">
      <c r="B14" s="483">
        <v>7</v>
      </c>
      <c r="C14" s="358" t="s">
        <v>448</v>
      </c>
      <c r="D14" s="359" t="s">
        <v>580</v>
      </c>
      <c r="E14" s="619">
        <v>550</v>
      </c>
    </row>
    <row r="15" spans="2:7" ht="33" customHeight="1" x14ac:dyDescent="0.25">
      <c r="B15" s="483">
        <v>8</v>
      </c>
      <c r="C15" s="358" t="s">
        <v>581</v>
      </c>
      <c r="D15" s="359" t="s">
        <v>582</v>
      </c>
      <c r="E15" s="619">
        <v>280</v>
      </c>
    </row>
    <row r="16" spans="2:7" x14ac:dyDescent="0.25">
      <c r="B16" s="483">
        <v>9</v>
      </c>
      <c r="C16" s="358" t="s">
        <v>583</v>
      </c>
      <c r="D16" s="359" t="s">
        <v>584</v>
      </c>
      <c r="E16" s="619">
        <v>563</v>
      </c>
    </row>
    <row r="17" spans="2:5" ht="34.5" customHeight="1" x14ac:dyDescent="0.25">
      <c r="B17" s="483">
        <v>10</v>
      </c>
      <c r="C17" s="359" t="s">
        <v>585</v>
      </c>
      <c r="D17" s="359" t="s">
        <v>586</v>
      </c>
      <c r="E17" s="619">
        <v>200</v>
      </c>
    </row>
    <row r="18" spans="2:5" ht="27" customHeight="1" thickBot="1" x14ac:dyDescent="0.3">
      <c r="B18" s="415"/>
      <c r="C18" s="776" t="s">
        <v>139</v>
      </c>
      <c r="D18" s="776"/>
      <c r="E18" s="590">
        <f>SUM(E8:E17)</f>
        <v>4564</v>
      </c>
    </row>
  </sheetData>
  <mergeCells count="2">
    <mergeCell ref="B5:E5"/>
    <mergeCell ref="C18:D18"/>
  </mergeCells>
  <pageMargins left="0.61" right="0.5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8"/>
  <sheetViews>
    <sheetView workbookViewId="0"/>
  </sheetViews>
  <sheetFormatPr defaultRowHeight="15" x14ac:dyDescent="0.25"/>
  <cols>
    <col min="1" max="1" width="3.5703125" style="5" customWidth="1"/>
    <col min="2" max="2" width="39" style="5" customWidth="1"/>
    <col min="3" max="3" width="16.140625" style="5" customWidth="1"/>
    <col min="4" max="4" width="14.85546875" style="5" customWidth="1"/>
    <col min="5" max="5" width="14" style="5" customWidth="1"/>
    <col min="6" max="16384" width="9.140625" style="5"/>
  </cols>
  <sheetData>
    <row r="1" spans="2:8" x14ac:dyDescent="0.25">
      <c r="E1" s="207" t="s">
        <v>415</v>
      </c>
    </row>
    <row r="2" spans="2:8" x14ac:dyDescent="0.25">
      <c r="B2" s="119"/>
      <c r="C2" s="190"/>
      <c r="D2" s="190"/>
      <c r="F2" s="190"/>
      <c r="G2" s="190"/>
    </row>
    <row r="3" spans="2:8" ht="18.75" x14ac:dyDescent="0.3">
      <c r="B3" s="729" t="s">
        <v>592</v>
      </c>
      <c r="C3" s="729"/>
      <c r="D3" s="729"/>
      <c r="E3" s="729"/>
      <c r="F3" s="190"/>
      <c r="G3" s="190"/>
    </row>
    <row r="4" spans="2:8" ht="15.75" thickBot="1" x14ac:dyDescent="0.3">
      <c r="B4" s="119"/>
      <c r="C4" s="190"/>
      <c r="D4" s="190"/>
      <c r="E4" s="190"/>
      <c r="F4" s="190"/>
      <c r="G4" s="190"/>
      <c r="H4" s="215"/>
    </row>
    <row r="5" spans="2:8" x14ac:dyDescent="0.25">
      <c r="B5" s="780" t="s">
        <v>83</v>
      </c>
      <c r="C5" s="782" t="s">
        <v>593</v>
      </c>
      <c r="D5" s="782" t="s">
        <v>434</v>
      </c>
      <c r="E5" s="369" t="s">
        <v>339</v>
      </c>
      <c r="F5" s="190"/>
      <c r="G5" s="119"/>
    </row>
    <row r="6" spans="2:8" x14ac:dyDescent="0.25">
      <c r="B6" s="781"/>
      <c r="C6" s="783"/>
      <c r="D6" s="783"/>
      <c r="E6" s="370" t="s">
        <v>340</v>
      </c>
      <c r="F6" s="190"/>
      <c r="G6" s="119"/>
    </row>
    <row r="7" spans="2:8" ht="13.5" customHeight="1" x14ac:dyDescent="0.25">
      <c r="B7" s="375" t="s">
        <v>341</v>
      </c>
      <c r="C7" s="376">
        <v>1011434.31</v>
      </c>
      <c r="D7" s="376">
        <v>875045.97</v>
      </c>
      <c r="E7" s="377">
        <f>C7-D7</f>
        <v>136388.34000000008</v>
      </c>
      <c r="F7" s="190"/>
      <c r="G7" s="119"/>
    </row>
    <row r="8" spans="2:8" ht="14.25" customHeight="1" x14ac:dyDescent="0.25">
      <c r="B8" s="375" t="s">
        <v>342</v>
      </c>
      <c r="C8" s="376">
        <v>22896.07</v>
      </c>
      <c r="D8" s="376">
        <v>23495.14</v>
      </c>
      <c r="E8" s="377">
        <f t="shared" ref="E8:E24" si="0">C8-D8</f>
        <v>-599.06999999999971</v>
      </c>
      <c r="F8" s="190"/>
      <c r="G8" s="119"/>
    </row>
    <row r="9" spans="2:8" ht="25.5" x14ac:dyDescent="0.25">
      <c r="B9" s="381" t="s">
        <v>343</v>
      </c>
      <c r="C9" s="382">
        <v>-348.07</v>
      </c>
      <c r="D9" s="382">
        <v>-348.07</v>
      </c>
      <c r="E9" s="383">
        <f t="shared" si="0"/>
        <v>0</v>
      </c>
      <c r="F9" s="190"/>
      <c r="G9" s="119"/>
    </row>
    <row r="10" spans="2:8" ht="12.75" customHeight="1" x14ac:dyDescent="0.25">
      <c r="B10" s="375" t="s">
        <v>344</v>
      </c>
      <c r="C10" s="376">
        <v>242.27</v>
      </c>
      <c r="D10" s="376">
        <v>242.27</v>
      </c>
      <c r="E10" s="377">
        <f t="shared" si="0"/>
        <v>0</v>
      </c>
      <c r="F10" s="190"/>
      <c r="G10" s="119"/>
    </row>
    <row r="11" spans="2:8" x14ac:dyDescent="0.25">
      <c r="B11" s="375" t="s">
        <v>345</v>
      </c>
      <c r="C11" s="376">
        <v>274537.92</v>
      </c>
      <c r="D11" s="376">
        <v>395619.09</v>
      </c>
      <c r="E11" s="377">
        <f t="shared" si="0"/>
        <v>-121081.17000000004</v>
      </c>
      <c r="F11" s="190"/>
      <c r="G11" s="119"/>
    </row>
    <row r="12" spans="2:8" x14ac:dyDescent="0.25">
      <c r="B12" s="375" t="s">
        <v>346</v>
      </c>
      <c r="C12" s="376">
        <v>-26.54</v>
      </c>
      <c r="D12" s="376">
        <v>-26.54</v>
      </c>
      <c r="E12" s="377">
        <f t="shared" si="0"/>
        <v>0</v>
      </c>
      <c r="F12" s="190"/>
      <c r="G12" s="119"/>
    </row>
    <row r="13" spans="2:8" x14ac:dyDescent="0.25">
      <c r="B13" s="375" t="s">
        <v>355</v>
      </c>
      <c r="C13" s="376">
        <v>6705</v>
      </c>
      <c r="D13" s="376">
        <v>3147.5</v>
      </c>
      <c r="E13" s="377">
        <f t="shared" si="0"/>
        <v>3557.5</v>
      </c>
      <c r="F13" s="190"/>
      <c r="G13" s="119"/>
    </row>
    <row r="14" spans="2:8" ht="15" customHeight="1" x14ac:dyDescent="0.25">
      <c r="B14" s="375" t="s">
        <v>347</v>
      </c>
      <c r="C14" s="376">
        <v>1182166.1299999999</v>
      </c>
      <c r="D14" s="376">
        <v>1047578.5</v>
      </c>
      <c r="E14" s="377">
        <f t="shared" si="0"/>
        <v>134587.62999999989</v>
      </c>
      <c r="F14" s="190"/>
      <c r="G14" s="119"/>
    </row>
    <row r="15" spans="2:8" ht="14.25" customHeight="1" x14ac:dyDescent="0.25">
      <c r="B15" s="375" t="s">
        <v>348</v>
      </c>
      <c r="C15" s="376">
        <v>701354.81</v>
      </c>
      <c r="D15" s="376">
        <v>725107.63</v>
      </c>
      <c r="E15" s="377">
        <f t="shared" si="0"/>
        <v>-23752.819999999949</v>
      </c>
      <c r="F15" s="190"/>
      <c r="G15" s="119"/>
    </row>
    <row r="16" spans="2:8" ht="15.75" customHeight="1" x14ac:dyDescent="0.25">
      <c r="B16" s="381" t="s">
        <v>349</v>
      </c>
      <c r="C16" s="382">
        <v>157287.45000000001</v>
      </c>
      <c r="D16" s="382">
        <v>146830.13</v>
      </c>
      <c r="E16" s="383">
        <f t="shared" si="0"/>
        <v>10457.320000000007</v>
      </c>
      <c r="F16" s="190"/>
      <c r="G16" s="119"/>
    </row>
    <row r="17" spans="2:7" ht="13.5" customHeight="1" x14ac:dyDescent="0.25">
      <c r="B17" s="375" t="s">
        <v>350</v>
      </c>
      <c r="C17" s="376">
        <v>68283.34</v>
      </c>
      <c r="D17" s="376">
        <v>66319.16</v>
      </c>
      <c r="E17" s="377">
        <f t="shared" si="0"/>
        <v>1964.179999999993</v>
      </c>
      <c r="F17" s="190"/>
      <c r="G17" s="119"/>
    </row>
    <row r="18" spans="2:7" ht="13.5" customHeight="1" x14ac:dyDescent="0.25">
      <c r="B18" s="375" t="s">
        <v>351</v>
      </c>
      <c r="C18" s="376">
        <v>318.67</v>
      </c>
      <c r="D18" s="376">
        <v>318.67</v>
      </c>
      <c r="E18" s="377">
        <f t="shared" si="0"/>
        <v>0</v>
      </c>
      <c r="F18" s="190"/>
      <c r="G18" s="119"/>
    </row>
    <row r="19" spans="2:7" ht="15" customHeight="1" x14ac:dyDescent="0.25">
      <c r="B19" s="375" t="s">
        <v>352</v>
      </c>
      <c r="C19" s="376">
        <v>324.79000000000002</v>
      </c>
      <c r="D19" s="376">
        <v>444.15</v>
      </c>
      <c r="E19" s="377">
        <f t="shared" si="0"/>
        <v>-119.35999999999996</v>
      </c>
      <c r="F19" s="190"/>
      <c r="G19" s="119"/>
    </row>
    <row r="20" spans="2:7" ht="14.25" customHeight="1" x14ac:dyDescent="0.25">
      <c r="B20" s="375" t="s">
        <v>353</v>
      </c>
      <c r="C20" s="376">
        <v>518.79999999999995</v>
      </c>
      <c r="D20" s="376">
        <v>518.45000000000005</v>
      </c>
      <c r="E20" s="377">
        <f t="shared" si="0"/>
        <v>0.34999999999990905</v>
      </c>
      <c r="F20" s="190"/>
      <c r="G20" s="119"/>
    </row>
    <row r="21" spans="2:7" ht="14.25" customHeight="1" x14ac:dyDescent="0.25">
      <c r="B21" s="378" t="s">
        <v>437</v>
      </c>
      <c r="C21" s="379">
        <v>100853.15</v>
      </c>
      <c r="D21" s="379">
        <v>119146.11</v>
      </c>
      <c r="E21" s="377">
        <f t="shared" si="0"/>
        <v>-18292.960000000006</v>
      </c>
      <c r="F21" s="190"/>
      <c r="G21" s="119"/>
    </row>
    <row r="22" spans="2:7" ht="14.25" customHeight="1" x14ac:dyDescent="0.25">
      <c r="B22" s="378" t="s">
        <v>438</v>
      </c>
      <c r="C22" s="379">
        <v>0</v>
      </c>
      <c r="D22" s="379">
        <v>1489.24</v>
      </c>
      <c r="E22" s="377">
        <f t="shared" si="0"/>
        <v>-1489.24</v>
      </c>
      <c r="F22" s="190"/>
      <c r="G22" s="119"/>
    </row>
    <row r="23" spans="2:7" ht="14.25" customHeight="1" x14ac:dyDescent="0.25">
      <c r="B23" s="378" t="s">
        <v>439</v>
      </c>
      <c r="C23" s="379">
        <v>177.26</v>
      </c>
      <c r="D23" s="379">
        <v>1169.8</v>
      </c>
      <c r="E23" s="377">
        <f t="shared" si="0"/>
        <v>-992.54</v>
      </c>
      <c r="F23" s="190"/>
      <c r="G23" s="119"/>
    </row>
    <row r="24" spans="2:7" ht="15" customHeight="1" thickBot="1" x14ac:dyDescent="0.3">
      <c r="B24" s="378" t="s">
        <v>354</v>
      </c>
      <c r="C24" s="379">
        <v>164879.31</v>
      </c>
      <c r="D24" s="379">
        <v>195877.52</v>
      </c>
      <c r="E24" s="380">
        <f t="shared" si="0"/>
        <v>-30998.209999999992</v>
      </c>
      <c r="F24" s="190"/>
      <c r="G24" s="119"/>
    </row>
    <row r="25" spans="2:7" s="6" customFormat="1" ht="27.75" customHeight="1" thickTop="1" thickBot="1" x14ac:dyDescent="0.3">
      <c r="B25" s="371" t="s">
        <v>26</v>
      </c>
      <c r="C25" s="372">
        <f>SUM(C7:C24)</f>
        <v>3691604.6699999995</v>
      </c>
      <c r="D25" s="373">
        <f>SUM(D7:D24)</f>
        <v>3601974.72</v>
      </c>
      <c r="E25" s="374">
        <f>C25-D25</f>
        <v>89629.949999999255</v>
      </c>
      <c r="F25" s="208"/>
      <c r="G25" s="209"/>
    </row>
    <row r="27" spans="2:7" x14ac:dyDescent="0.25">
      <c r="B27" s="119"/>
      <c r="C27" s="190"/>
      <c r="D27" s="190"/>
      <c r="E27" s="190"/>
      <c r="F27" s="190"/>
      <c r="G27" s="190"/>
    </row>
    <row r="28" spans="2:7" x14ac:dyDescent="0.25">
      <c r="B28" s="225"/>
      <c r="C28" s="190"/>
      <c r="D28" s="190"/>
      <c r="E28" s="190"/>
      <c r="F28" s="190"/>
      <c r="G28" s="119"/>
    </row>
  </sheetData>
  <mergeCells count="4">
    <mergeCell ref="B3:E3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workbookViewId="0"/>
  </sheetViews>
  <sheetFormatPr defaultRowHeight="12.75" x14ac:dyDescent="0.2"/>
  <cols>
    <col min="1" max="1" width="1" style="320" customWidth="1"/>
    <col min="2" max="2" width="16.7109375" style="315" customWidth="1"/>
    <col min="3" max="3" width="14.42578125" style="315" customWidth="1"/>
    <col min="4" max="4" width="15.140625" style="320" customWidth="1"/>
    <col min="5" max="5" width="11" style="216" customWidth="1"/>
    <col min="6" max="6" width="12.85546875" style="216" customWidth="1"/>
    <col min="7" max="7" width="26.140625" style="216" customWidth="1"/>
    <col min="8" max="8" width="12" style="216" customWidth="1"/>
    <col min="9" max="9" width="12.28515625" style="216" customWidth="1"/>
    <col min="10" max="10" width="11.7109375" style="321" customWidth="1"/>
    <col min="11" max="11" width="21.140625" style="315" customWidth="1"/>
    <col min="12" max="250" width="9.140625" style="315"/>
    <col min="251" max="251" width="11.7109375" style="315" customWidth="1"/>
    <col min="252" max="252" width="16.7109375" style="315" customWidth="1"/>
    <col min="253" max="253" width="14.42578125" style="315" customWidth="1"/>
    <col min="254" max="254" width="15.140625" style="315" customWidth="1"/>
    <col min="255" max="255" width="11" style="315" customWidth="1"/>
    <col min="256" max="256" width="12.85546875" style="315" customWidth="1"/>
    <col min="257" max="257" width="20.140625" style="315" customWidth="1"/>
    <col min="258" max="258" width="12" style="315" customWidth="1"/>
    <col min="259" max="259" width="12.28515625" style="315" customWidth="1"/>
    <col min="260" max="260" width="11.7109375" style="315" customWidth="1"/>
    <col min="261" max="261" width="21.140625" style="315" customWidth="1"/>
    <col min="262" max="262" width="6.42578125" style="315" customWidth="1"/>
    <col min="263" max="263" width="29.28515625" style="315" customWidth="1"/>
    <col min="264" max="264" width="18.85546875" style="315" customWidth="1"/>
    <col min="265" max="506" width="9.140625" style="315"/>
    <col min="507" max="507" width="11.7109375" style="315" customWidth="1"/>
    <col min="508" max="508" width="16.7109375" style="315" customWidth="1"/>
    <col min="509" max="509" width="14.42578125" style="315" customWidth="1"/>
    <col min="510" max="510" width="15.140625" style="315" customWidth="1"/>
    <col min="511" max="511" width="11" style="315" customWidth="1"/>
    <col min="512" max="512" width="12.85546875" style="315" customWidth="1"/>
    <col min="513" max="513" width="20.140625" style="315" customWidth="1"/>
    <col min="514" max="514" width="12" style="315" customWidth="1"/>
    <col min="515" max="515" width="12.28515625" style="315" customWidth="1"/>
    <col min="516" max="516" width="11.7109375" style="315" customWidth="1"/>
    <col min="517" max="517" width="21.140625" style="315" customWidth="1"/>
    <col min="518" max="518" width="6.42578125" style="315" customWidth="1"/>
    <col min="519" max="519" width="29.28515625" style="315" customWidth="1"/>
    <col min="520" max="520" width="18.85546875" style="315" customWidth="1"/>
    <col min="521" max="762" width="9.140625" style="315"/>
    <col min="763" max="763" width="11.7109375" style="315" customWidth="1"/>
    <col min="764" max="764" width="16.7109375" style="315" customWidth="1"/>
    <col min="765" max="765" width="14.42578125" style="315" customWidth="1"/>
    <col min="766" max="766" width="15.140625" style="315" customWidth="1"/>
    <col min="767" max="767" width="11" style="315" customWidth="1"/>
    <col min="768" max="768" width="12.85546875" style="315" customWidth="1"/>
    <col min="769" max="769" width="20.140625" style="315" customWidth="1"/>
    <col min="770" max="770" width="12" style="315" customWidth="1"/>
    <col min="771" max="771" width="12.28515625" style="315" customWidth="1"/>
    <col min="772" max="772" width="11.7109375" style="315" customWidth="1"/>
    <col min="773" max="773" width="21.140625" style="315" customWidth="1"/>
    <col min="774" max="774" width="6.42578125" style="315" customWidth="1"/>
    <col min="775" max="775" width="29.28515625" style="315" customWidth="1"/>
    <col min="776" max="776" width="18.85546875" style="315" customWidth="1"/>
    <col min="777" max="1018" width="9.140625" style="315"/>
    <col min="1019" max="1019" width="11.7109375" style="315" customWidth="1"/>
    <col min="1020" max="1020" width="16.7109375" style="315" customWidth="1"/>
    <col min="1021" max="1021" width="14.42578125" style="315" customWidth="1"/>
    <col min="1022" max="1022" width="15.140625" style="315" customWidth="1"/>
    <col min="1023" max="1023" width="11" style="315" customWidth="1"/>
    <col min="1024" max="1024" width="12.85546875" style="315" customWidth="1"/>
    <col min="1025" max="1025" width="20.140625" style="315" customWidth="1"/>
    <col min="1026" max="1026" width="12" style="315" customWidth="1"/>
    <col min="1027" max="1027" width="12.28515625" style="315" customWidth="1"/>
    <col min="1028" max="1028" width="11.7109375" style="315" customWidth="1"/>
    <col min="1029" max="1029" width="21.140625" style="315" customWidth="1"/>
    <col min="1030" max="1030" width="6.42578125" style="315" customWidth="1"/>
    <col min="1031" max="1031" width="29.28515625" style="315" customWidth="1"/>
    <col min="1032" max="1032" width="18.85546875" style="315" customWidth="1"/>
    <col min="1033" max="1274" width="9.140625" style="315"/>
    <col min="1275" max="1275" width="11.7109375" style="315" customWidth="1"/>
    <col min="1276" max="1276" width="16.7109375" style="315" customWidth="1"/>
    <col min="1277" max="1277" width="14.42578125" style="315" customWidth="1"/>
    <col min="1278" max="1278" width="15.140625" style="315" customWidth="1"/>
    <col min="1279" max="1279" width="11" style="315" customWidth="1"/>
    <col min="1280" max="1280" width="12.85546875" style="315" customWidth="1"/>
    <col min="1281" max="1281" width="20.140625" style="315" customWidth="1"/>
    <col min="1282" max="1282" width="12" style="315" customWidth="1"/>
    <col min="1283" max="1283" width="12.28515625" style="315" customWidth="1"/>
    <col min="1284" max="1284" width="11.7109375" style="315" customWidth="1"/>
    <col min="1285" max="1285" width="21.140625" style="315" customWidth="1"/>
    <col min="1286" max="1286" width="6.42578125" style="315" customWidth="1"/>
    <col min="1287" max="1287" width="29.28515625" style="315" customWidth="1"/>
    <col min="1288" max="1288" width="18.85546875" style="315" customWidth="1"/>
    <col min="1289" max="1530" width="9.140625" style="315"/>
    <col min="1531" max="1531" width="11.7109375" style="315" customWidth="1"/>
    <col min="1532" max="1532" width="16.7109375" style="315" customWidth="1"/>
    <col min="1533" max="1533" width="14.42578125" style="315" customWidth="1"/>
    <col min="1534" max="1534" width="15.140625" style="315" customWidth="1"/>
    <col min="1535" max="1535" width="11" style="315" customWidth="1"/>
    <col min="1536" max="1536" width="12.85546875" style="315" customWidth="1"/>
    <col min="1537" max="1537" width="20.140625" style="315" customWidth="1"/>
    <col min="1538" max="1538" width="12" style="315" customWidth="1"/>
    <col min="1539" max="1539" width="12.28515625" style="315" customWidth="1"/>
    <col min="1540" max="1540" width="11.7109375" style="315" customWidth="1"/>
    <col min="1541" max="1541" width="21.140625" style="315" customWidth="1"/>
    <col min="1542" max="1542" width="6.42578125" style="315" customWidth="1"/>
    <col min="1543" max="1543" width="29.28515625" style="315" customWidth="1"/>
    <col min="1544" max="1544" width="18.85546875" style="315" customWidth="1"/>
    <col min="1545" max="1786" width="9.140625" style="315"/>
    <col min="1787" max="1787" width="11.7109375" style="315" customWidth="1"/>
    <col min="1788" max="1788" width="16.7109375" style="315" customWidth="1"/>
    <col min="1789" max="1789" width="14.42578125" style="315" customWidth="1"/>
    <col min="1790" max="1790" width="15.140625" style="315" customWidth="1"/>
    <col min="1791" max="1791" width="11" style="315" customWidth="1"/>
    <col min="1792" max="1792" width="12.85546875" style="315" customWidth="1"/>
    <col min="1793" max="1793" width="20.140625" style="315" customWidth="1"/>
    <col min="1794" max="1794" width="12" style="315" customWidth="1"/>
    <col min="1795" max="1795" width="12.28515625" style="315" customWidth="1"/>
    <col min="1796" max="1796" width="11.7109375" style="315" customWidth="1"/>
    <col min="1797" max="1797" width="21.140625" style="315" customWidth="1"/>
    <col min="1798" max="1798" width="6.42578125" style="315" customWidth="1"/>
    <col min="1799" max="1799" width="29.28515625" style="315" customWidth="1"/>
    <col min="1800" max="1800" width="18.85546875" style="315" customWidth="1"/>
    <col min="1801" max="2042" width="9.140625" style="315"/>
    <col min="2043" max="2043" width="11.7109375" style="315" customWidth="1"/>
    <col min="2044" max="2044" width="16.7109375" style="315" customWidth="1"/>
    <col min="2045" max="2045" width="14.42578125" style="315" customWidth="1"/>
    <col min="2046" max="2046" width="15.140625" style="315" customWidth="1"/>
    <col min="2047" max="2047" width="11" style="315" customWidth="1"/>
    <col min="2048" max="2048" width="12.85546875" style="315" customWidth="1"/>
    <col min="2049" max="2049" width="20.140625" style="315" customWidth="1"/>
    <col min="2050" max="2050" width="12" style="315" customWidth="1"/>
    <col min="2051" max="2051" width="12.28515625" style="315" customWidth="1"/>
    <col min="2052" max="2052" width="11.7109375" style="315" customWidth="1"/>
    <col min="2053" max="2053" width="21.140625" style="315" customWidth="1"/>
    <col min="2054" max="2054" width="6.42578125" style="315" customWidth="1"/>
    <col min="2055" max="2055" width="29.28515625" style="315" customWidth="1"/>
    <col min="2056" max="2056" width="18.85546875" style="315" customWidth="1"/>
    <col min="2057" max="2298" width="9.140625" style="315"/>
    <col min="2299" max="2299" width="11.7109375" style="315" customWidth="1"/>
    <col min="2300" max="2300" width="16.7109375" style="315" customWidth="1"/>
    <col min="2301" max="2301" width="14.42578125" style="315" customWidth="1"/>
    <col min="2302" max="2302" width="15.140625" style="315" customWidth="1"/>
    <col min="2303" max="2303" width="11" style="315" customWidth="1"/>
    <col min="2304" max="2304" width="12.85546875" style="315" customWidth="1"/>
    <col min="2305" max="2305" width="20.140625" style="315" customWidth="1"/>
    <col min="2306" max="2306" width="12" style="315" customWidth="1"/>
    <col min="2307" max="2307" width="12.28515625" style="315" customWidth="1"/>
    <col min="2308" max="2308" width="11.7109375" style="315" customWidth="1"/>
    <col min="2309" max="2309" width="21.140625" style="315" customWidth="1"/>
    <col min="2310" max="2310" width="6.42578125" style="315" customWidth="1"/>
    <col min="2311" max="2311" width="29.28515625" style="315" customWidth="1"/>
    <col min="2312" max="2312" width="18.85546875" style="315" customWidth="1"/>
    <col min="2313" max="2554" width="9.140625" style="315"/>
    <col min="2555" max="2555" width="11.7109375" style="315" customWidth="1"/>
    <col min="2556" max="2556" width="16.7109375" style="315" customWidth="1"/>
    <col min="2557" max="2557" width="14.42578125" style="315" customWidth="1"/>
    <col min="2558" max="2558" width="15.140625" style="315" customWidth="1"/>
    <col min="2559" max="2559" width="11" style="315" customWidth="1"/>
    <col min="2560" max="2560" width="12.85546875" style="315" customWidth="1"/>
    <col min="2561" max="2561" width="20.140625" style="315" customWidth="1"/>
    <col min="2562" max="2562" width="12" style="315" customWidth="1"/>
    <col min="2563" max="2563" width="12.28515625" style="315" customWidth="1"/>
    <col min="2564" max="2564" width="11.7109375" style="315" customWidth="1"/>
    <col min="2565" max="2565" width="21.140625" style="315" customWidth="1"/>
    <col min="2566" max="2566" width="6.42578125" style="315" customWidth="1"/>
    <col min="2567" max="2567" width="29.28515625" style="315" customWidth="1"/>
    <col min="2568" max="2568" width="18.85546875" style="315" customWidth="1"/>
    <col min="2569" max="2810" width="9.140625" style="315"/>
    <col min="2811" max="2811" width="11.7109375" style="315" customWidth="1"/>
    <col min="2812" max="2812" width="16.7109375" style="315" customWidth="1"/>
    <col min="2813" max="2813" width="14.42578125" style="315" customWidth="1"/>
    <col min="2814" max="2814" width="15.140625" style="315" customWidth="1"/>
    <col min="2815" max="2815" width="11" style="315" customWidth="1"/>
    <col min="2816" max="2816" width="12.85546875" style="315" customWidth="1"/>
    <col min="2817" max="2817" width="20.140625" style="315" customWidth="1"/>
    <col min="2818" max="2818" width="12" style="315" customWidth="1"/>
    <col min="2819" max="2819" width="12.28515625" style="315" customWidth="1"/>
    <col min="2820" max="2820" width="11.7109375" style="315" customWidth="1"/>
    <col min="2821" max="2821" width="21.140625" style="315" customWidth="1"/>
    <col min="2822" max="2822" width="6.42578125" style="315" customWidth="1"/>
    <col min="2823" max="2823" width="29.28515625" style="315" customWidth="1"/>
    <col min="2824" max="2824" width="18.85546875" style="315" customWidth="1"/>
    <col min="2825" max="3066" width="9.140625" style="315"/>
    <col min="3067" max="3067" width="11.7109375" style="315" customWidth="1"/>
    <col min="3068" max="3068" width="16.7109375" style="315" customWidth="1"/>
    <col min="3069" max="3069" width="14.42578125" style="315" customWidth="1"/>
    <col min="3070" max="3070" width="15.140625" style="315" customWidth="1"/>
    <col min="3071" max="3071" width="11" style="315" customWidth="1"/>
    <col min="3072" max="3072" width="12.85546875" style="315" customWidth="1"/>
    <col min="3073" max="3073" width="20.140625" style="315" customWidth="1"/>
    <col min="3074" max="3074" width="12" style="315" customWidth="1"/>
    <col min="3075" max="3075" width="12.28515625" style="315" customWidth="1"/>
    <col min="3076" max="3076" width="11.7109375" style="315" customWidth="1"/>
    <col min="3077" max="3077" width="21.140625" style="315" customWidth="1"/>
    <col min="3078" max="3078" width="6.42578125" style="315" customWidth="1"/>
    <col min="3079" max="3079" width="29.28515625" style="315" customWidth="1"/>
    <col min="3080" max="3080" width="18.85546875" style="315" customWidth="1"/>
    <col min="3081" max="3322" width="9.140625" style="315"/>
    <col min="3323" max="3323" width="11.7109375" style="315" customWidth="1"/>
    <col min="3324" max="3324" width="16.7109375" style="315" customWidth="1"/>
    <col min="3325" max="3325" width="14.42578125" style="315" customWidth="1"/>
    <col min="3326" max="3326" width="15.140625" style="315" customWidth="1"/>
    <col min="3327" max="3327" width="11" style="315" customWidth="1"/>
    <col min="3328" max="3328" width="12.85546875" style="315" customWidth="1"/>
    <col min="3329" max="3329" width="20.140625" style="315" customWidth="1"/>
    <col min="3330" max="3330" width="12" style="315" customWidth="1"/>
    <col min="3331" max="3331" width="12.28515625" style="315" customWidth="1"/>
    <col min="3332" max="3332" width="11.7109375" style="315" customWidth="1"/>
    <col min="3333" max="3333" width="21.140625" style="315" customWidth="1"/>
    <col min="3334" max="3334" width="6.42578125" style="315" customWidth="1"/>
    <col min="3335" max="3335" width="29.28515625" style="315" customWidth="1"/>
    <col min="3336" max="3336" width="18.85546875" style="315" customWidth="1"/>
    <col min="3337" max="3578" width="9.140625" style="315"/>
    <col min="3579" max="3579" width="11.7109375" style="315" customWidth="1"/>
    <col min="3580" max="3580" width="16.7109375" style="315" customWidth="1"/>
    <col min="3581" max="3581" width="14.42578125" style="315" customWidth="1"/>
    <col min="3582" max="3582" width="15.140625" style="315" customWidth="1"/>
    <col min="3583" max="3583" width="11" style="315" customWidth="1"/>
    <col min="3584" max="3584" width="12.85546875" style="315" customWidth="1"/>
    <col min="3585" max="3585" width="20.140625" style="315" customWidth="1"/>
    <col min="3586" max="3586" width="12" style="315" customWidth="1"/>
    <col min="3587" max="3587" width="12.28515625" style="315" customWidth="1"/>
    <col min="3588" max="3588" width="11.7109375" style="315" customWidth="1"/>
    <col min="3589" max="3589" width="21.140625" style="315" customWidth="1"/>
    <col min="3590" max="3590" width="6.42578125" style="315" customWidth="1"/>
    <col min="3591" max="3591" width="29.28515625" style="315" customWidth="1"/>
    <col min="3592" max="3592" width="18.85546875" style="315" customWidth="1"/>
    <col min="3593" max="3834" width="9.140625" style="315"/>
    <col min="3835" max="3835" width="11.7109375" style="315" customWidth="1"/>
    <col min="3836" max="3836" width="16.7109375" style="315" customWidth="1"/>
    <col min="3837" max="3837" width="14.42578125" style="315" customWidth="1"/>
    <col min="3838" max="3838" width="15.140625" style="315" customWidth="1"/>
    <col min="3839" max="3839" width="11" style="315" customWidth="1"/>
    <col min="3840" max="3840" width="12.85546875" style="315" customWidth="1"/>
    <col min="3841" max="3841" width="20.140625" style="315" customWidth="1"/>
    <col min="3842" max="3842" width="12" style="315" customWidth="1"/>
    <col min="3843" max="3843" width="12.28515625" style="315" customWidth="1"/>
    <col min="3844" max="3844" width="11.7109375" style="315" customWidth="1"/>
    <col min="3845" max="3845" width="21.140625" style="315" customWidth="1"/>
    <col min="3846" max="3846" width="6.42578125" style="315" customWidth="1"/>
    <col min="3847" max="3847" width="29.28515625" style="315" customWidth="1"/>
    <col min="3848" max="3848" width="18.85546875" style="315" customWidth="1"/>
    <col min="3849" max="4090" width="9.140625" style="315"/>
    <col min="4091" max="4091" width="11.7109375" style="315" customWidth="1"/>
    <col min="4092" max="4092" width="16.7109375" style="315" customWidth="1"/>
    <col min="4093" max="4093" width="14.42578125" style="315" customWidth="1"/>
    <col min="4094" max="4094" width="15.140625" style="315" customWidth="1"/>
    <col min="4095" max="4095" width="11" style="315" customWidth="1"/>
    <col min="4096" max="4096" width="12.85546875" style="315" customWidth="1"/>
    <col min="4097" max="4097" width="20.140625" style="315" customWidth="1"/>
    <col min="4098" max="4098" width="12" style="315" customWidth="1"/>
    <col min="4099" max="4099" width="12.28515625" style="315" customWidth="1"/>
    <col min="4100" max="4100" width="11.7109375" style="315" customWidth="1"/>
    <col min="4101" max="4101" width="21.140625" style="315" customWidth="1"/>
    <col min="4102" max="4102" width="6.42578125" style="315" customWidth="1"/>
    <col min="4103" max="4103" width="29.28515625" style="315" customWidth="1"/>
    <col min="4104" max="4104" width="18.85546875" style="315" customWidth="1"/>
    <col min="4105" max="4346" width="9.140625" style="315"/>
    <col min="4347" max="4347" width="11.7109375" style="315" customWidth="1"/>
    <col min="4348" max="4348" width="16.7109375" style="315" customWidth="1"/>
    <col min="4349" max="4349" width="14.42578125" style="315" customWidth="1"/>
    <col min="4350" max="4350" width="15.140625" style="315" customWidth="1"/>
    <col min="4351" max="4351" width="11" style="315" customWidth="1"/>
    <col min="4352" max="4352" width="12.85546875" style="315" customWidth="1"/>
    <col min="4353" max="4353" width="20.140625" style="315" customWidth="1"/>
    <col min="4354" max="4354" width="12" style="315" customWidth="1"/>
    <col min="4355" max="4355" width="12.28515625" style="315" customWidth="1"/>
    <col min="4356" max="4356" width="11.7109375" style="315" customWidth="1"/>
    <col min="4357" max="4357" width="21.140625" style="315" customWidth="1"/>
    <col min="4358" max="4358" width="6.42578125" style="315" customWidth="1"/>
    <col min="4359" max="4359" width="29.28515625" style="315" customWidth="1"/>
    <col min="4360" max="4360" width="18.85546875" style="315" customWidth="1"/>
    <col min="4361" max="4602" width="9.140625" style="315"/>
    <col min="4603" max="4603" width="11.7109375" style="315" customWidth="1"/>
    <col min="4604" max="4604" width="16.7109375" style="315" customWidth="1"/>
    <col min="4605" max="4605" width="14.42578125" style="315" customWidth="1"/>
    <col min="4606" max="4606" width="15.140625" style="315" customWidth="1"/>
    <col min="4607" max="4607" width="11" style="315" customWidth="1"/>
    <col min="4608" max="4608" width="12.85546875" style="315" customWidth="1"/>
    <col min="4609" max="4609" width="20.140625" style="315" customWidth="1"/>
    <col min="4610" max="4610" width="12" style="315" customWidth="1"/>
    <col min="4611" max="4611" width="12.28515625" style="315" customWidth="1"/>
    <col min="4612" max="4612" width="11.7109375" style="315" customWidth="1"/>
    <col min="4613" max="4613" width="21.140625" style="315" customWidth="1"/>
    <col min="4614" max="4614" width="6.42578125" style="315" customWidth="1"/>
    <col min="4615" max="4615" width="29.28515625" style="315" customWidth="1"/>
    <col min="4616" max="4616" width="18.85546875" style="315" customWidth="1"/>
    <col min="4617" max="4858" width="9.140625" style="315"/>
    <col min="4859" max="4859" width="11.7109375" style="315" customWidth="1"/>
    <col min="4860" max="4860" width="16.7109375" style="315" customWidth="1"/>
    <col min="4861" max="4861" width="14.42578125" style="315" customWidth="1"/>
    <col min="4862" max="4862" width="15.140625" style="315" customWidth="1"/>
    <col min="4863" max="4863" width="11" style="315" customWidth="1"/>
    <col min="4864" max="4864" width="12.85546875" style="315" customWidth="1"/>
    <col min="4865" max="4865" width="20.140625" style="315" customWidth="1"/>
    <col min="4866" max="4866" width="12" style="315" customWidth="1"/>
    <col min="4867" max="4867" width="12.28515625" style="315" customWidth="1"/>
    <col min="4868" max="4868" width="11.7109375" style="315" customWidth="1"/>
    <col min="4869" max="4869" width="21.140625" style="315" customWidth="1"/>
    <col min="4870" max="4870" width="6.42578125" style="315" customWidth="1"/>
    <col min="4871" max="4871" width="29.28515625" style="315" customWidth="1"/>
    <col min="4872" max="4872" width="18.85546875" style="315" customWidth="1"/>
    <col min="4873" max="5114" width="9.140625" style="315"/>
    <col min="5115" max="5115" width="11.7109375" style="315" customWidth="1"/>
    <col min="5116" max="5116" width="16.7109375" style="315" customWidth="1"/>
    <col min="5117" max="5117" width="14.42578125" style="315" customWidth="1"/>
    <col min="5118" max="5118" width="15.140625" style="315" customWidth="1"/>
    <col min="5119" max="5119" width="11" style="315" customWidth="1"/>
    <col min="5120" max="5120" width="12.85546875" style="315" customWidth="1"/>
    <col min="5121" max="5121" width="20.140625" style="315" customWidth="1"/>
    <col min="5122" max="5122" width="12" style="315" customWidth="1"/>
    <col min="5123" max="5123" width="12.28515625" style="315" customWidth="1"/>
    <col min="5124" max="5124" width="11.7109375" style="315" customWidth="1"/>
    <col min="5125" max="5125" width="21.140625" style="315" customWidth="1"/>
    <col min="5126" max="5126" width="6.42578125" style="315" customWidth="1"/>
    <col min="5127" max="5127" width="29.28515625" style="315" customWidth="1"/>
    <col min="5128" max="5128" width="18.85546875" style="315" customWidth="1"/>
    <col min="5129" max="5370" width="9.140625" style="315"/>
    <col min="5371" max="5371" width="11.7109375" style="315" customWidth="1"/>
    <col min="5372" max="5372" width="16.7109375" style="315" customWidth="1"/>
    <col min="5373" max="5373" width="14.42578125" style="315" customWidth="1"/>
    <col min="5374" max="5374" width="15.140625" style="315" customWidth="1"/>
    <col min="5375" max="5375" width="11" style="315" customWidth="1"/>
    <col min="5376" max="5376" width="12.85546875" style="315" customWidth="1"/>
    <col min="5377" max="5377" width="20.140625" style="315" customWidth="1"/>
    <col min="5378" max="5378" width="12" style="315" customWidth="1"/>
    <col min="5379" max="5379" width="12.28515625" style="315" customWidth="1"/>
    <col min="5380" max="5380" width="11.7109375" style="315" customWidth="1"/>
    <col min="5381" max="5381" width="21.140625" style="315" customWidth="1"/>
    <col min="5382" max="5382" width="6.42578125" style="315" customWidth="1"/>
    <col min="5383" max="5383" width="29.28515625" style="315" customWidth="1"/>
    <col min="5384" max="5384" width="18.85546875" style="315" customWidth="1"/>
    <col min="5385" max="5626" width="9.140625" style="315"/>
    <col min="5627" max="5627" width="11.7109375" style="315" customWidth="1"/>
    <col min="5628" max="5628" width="16.7109375" style="315" customWidth="1"/>
    <col min="5629" max="5629" width="14.42578125" style="315" customWidth="1"/>
    <col min="5630" max="5630" width="15.140625" style="315" customWidth="1"/>
    <col min="5631" max="5631" width="11" style="315" customWidth="1"/>
    <col min="5632" max="5632" width="12.85546875" style="315" customWidth="1"/>
    <col min="5633" max="5633" width="20.140625" style="315" customWidth="1"/>
    <col min="5634" max="5634" width="12" style="315" customWidth="1"/>
    <col min="5635" max="5635" width="12.28515625" style="315" customWidth="1"/>
    <col min="5636" max="5636" width="11.7109375" style="315" customWidth="1"/>
    <col min="5637" max="5637" width="21.140625" style="315" customWidth="1"/>
    <col min="5638" max="5638" width="6.42578125" style="315" customWidth="1"/>
    <col min="5639" max="5639" width="29.28515625" style="315" customWidth="1"/>
    <col min="5640" max="5640" width="18.85546875" style="315" customWidth="1"/>
    <col min="5641" max="5882" width="9.140625" style="315"/>
    <col min="5883" max="5883" width="11.7109375" style="315" customWidth="1"/>
    <col min="5884" max="5884" width="16.7109375" style="315" customWidth="1"/>
    <col min="5885" max="5885" width="14.42578125" style="315" customWidth="1"/>
    <col min="5886" max="5886" width="15.140625" style="315" customWidth="1"/>
    <col min="5887" max="5887" width="11" style="315" customWidth="1"/>
    <col min="5888" max="5888" width="12.85546875" style="315" customWidth="1"/>
    <col min="5889" max="5889" width="20.140625" style="315" customWidth="1"/>
    <col min="5890" max="5890" width="12" style="315" customWidth="1"/>
    <col min="5891" max="5891" width="12.28515625" style="315" customWidth="1"/>
    <col min="5892" max="5892" width="11.7109375" style="315" customWidth="1"/>
    <col min="5893" max="5893" width="21.140625" style="315" customWidth="1"/>
    <col min="5894" max="5894" width="6.42578125" style="315" customWidth="1"/>
    <col min="5895" max="5895" width="29.28515625" style="315" customWidth="1"/>
    <col min="5896" max="5896" width="18.85546875" style="315" customWidth="1"/>
    <col min="5897" max="6138" width="9.140625" style="315"/>
    <col min="6139" max="6139" width="11.7109375" style="315" customWidth="1"/>
    <col min="6140" max="6140" width="16.7109375" style="315" customWidth="1"/>
    <col min="6141" max="6141" width="14.42578125" style="315" customWidth="1"/>
    <col min="6142" max="6142" width="15.140625" style="315" customWidth="1"/>
    <col min="6143" max="6143" width="11" style="315" customWidth="1"/>
    <col min="6144" max="6144" width="12.85546875" style="315" customWidth="1"/>
    <col min="6145" max="6145" width="20.140625" style="315" customWidth="1"/>
    <col min="6146" max="6146" width="12" style="315" customWidth="1"/>
    <col min="6147" max="6147" width="12.28515625" style="315" customWidth="1"/>
    <col min="6148" max="6148" width="11.7109375" style="315" customWidth="1"/>
    <col min="6149" max="6149" width="21.140625" style="315" customWidth="1"/>
    <col min="6150" max="6150" width="6.42578125" style="315" customWidth="1"/>
    <col min="6151" max="6151" width="29.28515625" style="315" customWidth="1"/>
    <col min="6152" max="6152" width="18.85546875" style="315" customWidth="1"/>
    <col min="6153" max="6394" width="9.140625" style="315"/>
    <col min="6395" max="6395" width="11.7109375" style="315" customWidth="1"/>
    <col min="6396" max="6396" width="16.7109375" style="315" customWidth="1"/>
    <col min="6397" max="6397" width="14.42578125" style="315" customWidth="1"/>
    <col min="6398" max="6398" width="15.140625" style="315" customWidth="1"/>
    <col min="6399" max="6399" width="11" style="315" customWidth="1"/>
    <col min="6400" max="6400" width="12.85546875" style="315" customWidth="1"/>
    <col min="6401" max="6401" width="20.140625" style="315" customWidth="1"/>
    <col min="6402" max="6402" width="12" style="315" customWidth="1"/>
    <col min="6403" max="6403" width="12.28515625" style="315" customWidth="1"/>
    <col min="6404" max="6404" width="11.7109375" style="315" customWidth="1"/>
    <col min="6405" max="6405" width="21.140625" style="315" customWidth="1"/>
    <col min="6406" max="6406" width="6.42578125" style="315" customWidth="1"/>
    <col min="6407" max="6407" width="29.28515625" style="315" customWidth="1"/>
    <col min="6408" max="6408" width="18.85546875" style="315" customWidth="1"/>
    <col min="6409" max="6650" width="9.140625" style="315"/>
    <col min="6651" max="6651" width="11.7109375" style="315" customWidth="1"/>
    <col min="6652" max="6652" width="16.7109375" style="315" customWidth="1"/>
    <col min="6653" max="6653" width="14.42578125" style="315" customWidth="1"/>
    <col min="6654" max="6654" width="15.140625" style="315" customWidth="1"/>
    <col min="6655" max="6655" width="11" style="315" customWidth="1"/>
    <col min="6656" max="6656" width="12.85546875" style="315" customWidth="1"/>
    <col min="6657" max="6657" width="20.140625" style="315" customWidth="1"/>
    <col min="6658" max="6658" width="12" style="315" customWidth="1"/>
    <col min="6659" max="6659" width="12.28515625" style="315" customWidth="1"/>
    <col min="6660" max="6660" width="11.7109375" style="315" customWidth="1"/>
    <col min="6661" max="6661" width="21.140625" style="315" customWidth="1"/>
    <col min="6662" max="6662" width="6.42578125" style="315" customWidth="1"/>
    <col min="6663" max="6663" width="29.28515625" style="315" customWidth="1"/>
    <col min="6664" max="6664" width="18.85546875" style="315" customWidth="1"/>
    <col min="6665" max="6906" width="9.140625" style="315"/>
    <col min="6907" max="6907" width="11.7109375" style="315" customWidth="1"/>
    <col min="6908" max="6908" width="16.7109375" style="315" customWidth="1"/>
    <col min="6909" max="6909" width="14.42578125" style="315" customWidth="1"/>
    <col min="6910" max="6910" width="15.140625" style="315" customWidth="1"/>
    <col min="6911" max="6911" width="11" style="315" customWidth="1"/>
    <col min="6912" max="6912" width="12.85546875" style="315" customWidth="1"/>
    <col min="6913" max="6913" width="20.140625" style="315" customWidth="1"/>
    <col min="6914" max="6914" width="12" style="315" customWidth="1"/>
    <col min="6915" max="6915" width="12.28515625" style="315" customWidth="1"/>
    <col min="6916" max="6916" width="11.7109375" style="315" customWidth="1"/>
    <col min="6917" max="6917" width="21.140625" style="315" customWidth="1"/>
    <col min="6918" max="6918" width="6.42578125" style="315" customWidth="1"/>
    <col min="6919" max="6919" width="29.28515625" style="315" customWidth="1"/>
    <col min="6920" max="6920" width="18.85546875" style="315" customWidth="1"/>
    <col min="6921" max="7162" width="9.140625" style="315"/>
    <col min="7163" max="7163" width="11.7109375" style="315" customWidth="1"/>
    <col min="7164" max="7164" width="16.7109375" style="315" customWidth="1"/>
    <col min="7165" max="7165" width="14.42578125" style="315" customWidth="1"/>
    <col min="7166" max="7166" width="15.140625" style="315" customWidth="1"/>
    <col min="7167" max="7167" width="11" style="315" customWidth="1"/>
    <col min="7168" max="7168" width="12.85546875" style="315" customWidth="1"/>
    <col min="7169" max="7169" width="20.140625" style="315" customWidth="1"/>
    <col min="7170" max="7170" width="12" style="315" customWidth="1"/>
    <col min="7171" max="7171" width="12.28515625" style="315" customWidth="1"/>
    <col min="7172" max="7172" width="11.7109375" style="315" customWidth="1"/>
    <col min="7173" max="7173" width="21.140625" style="315" customWidth="1"/>
    <col min="7174" max="7174" width="6.42578125" style="315" customWidth="1"/>
    <col min="7175" max="7175" width="29.28515625" style="315" customWidth="1"/>
    <col min="7176" max="7176" width="18.85546875" style="315" customWidth="1"/>
    <col min="7177" max="7418" width="9.140625" style="315"/>
    <col min="7419" max="7419" width="11.7109375" style="315" customWidth="1"/>
    <col min="7420" max="7420" width="16.7109375" style="315" customWidth="1"/>
    <col min="7421" max="7421" width="14.42578125" style="315" customWidth="1"/>
    <col min="7422" max="7422" width="15.140625" style="315" customWidth="1"/>
    <col min="7423" max="7423" width="11" style="315" customWidth="1"/>
    <col min="7424" max="7424" width="12.85546875" style="315" customWidth="1"/>
    <col min="7425" max="7425" width="20.140625" style="315" customWidth="1"/>
    <col min="7426" max="7426" width="12" style="315" customWidth="1"/>
    <col min="7427" max="7427" width="12.28515625" style="315" customWidth="1"/>
    <col min="7428" max="7428" width="11.7109375" style="315" customWidth="1"/>
    <col min="7429" max="7429" width="21.140625" style="315" customWidth="1"/>
    <col min="7430" max="7430" width="6.42578125" style="315" customWidth="1"/>
    <col min="7431" max="7431" width="29.28515625" style="315" customWidth="1"/>
    <col min="7432" max="7432" width="18.85546875" style="315" customWidth="1"/>
    <col min="7433" max="7674" width="9.140625" style="315"/>
    <col min="7675" max="7675" width="11.7109375" style="315" customWidth="1"/>
    <col min="7676" max="7676" width="16.7109375" style="315" customWidth="1"/>
    <col min="7677" max="7677" width="14.42578125" style="315" customWidth="1"/>
    <col min="7678" max="7678" width="15.140625" style="315" customWidth="1"/>
    <col min="7679" max="7679" width="11" style="315" customWidth="1"/>
    <col min="7680" max="7680" width="12.85546875" style="315" customWidth="1"/>
    <col min="7681" max="7681" width="20.140625" style="315" customWidth="1"/>
    <col min="7682" max="7682" width="12" style="315" customWidth="1"/>
    <col min="7683" max="7683" width="12.28515625" style="315" customWidth="1"/>
    <col min="7684" max="7684" width="11.7109375" style="315" customWidth="1"/>
    <col min="7685" max="7685" width="21.140625" style="315" customWidth="1"/>
    <col min="7686" max="7686" width="6.42578125" style="315" customWidth="1"/>
    <col min="7687" max="7687" width="29.28515625" style="315" customWidth="1"/>
    <col min="7688" max="7688" width="18.85546875" style="315" customWidth="1"/>
    <col min="7689" max="7930" width="9.140625" style="315"/>
    <col min="7931" max="7931" width="11.7109375" style="315" customWidth="1"/>
    <col min="7932" max="7932" width="16.7109375" style="315" customWidth="1"/>
    <col min="7933" max="7933" width="14.42578125" style="315" customWidth="1"/>
    <col min="7934" max="7934" width="15.140625" style="315" customWidth="1"/>
    <col min="7935" max="7935" width="11" style="315" customWidth="1"/>
    <col min="7936" max="7936" width="12.85546875" style="315" customWidth="1"/>
    <col min="7937" max="7937" width="20.140625" style="315" customWidth="1"/>
    <col min="7938" max="7938" width="12" style="315" customWidth="1"/>
    <col min="7939" max="7939" width="12.28515625" style="315" customWidth="1"/>
    <col min="7940" max="7940" width="11.7109375" style="315" customWidth="1"/>
    <col min="7941" max="7941" width="21.140625" style="315" customWidth="1"/>
    <col min="7942" max="7942" width="6.42578125" style="315" customWidth="1"/>
    <col min="7943" max="7943" width="29.28515625" style="315" customWidth="1"/>
    <col min="7944" max="7944" width="18.85546875" style="315" customWidth="1"/>
    <col min="7945" max="8186" width="9.140625" style="315"/>
    <col min="8187" max="8187" width="11.7109375" style="315" customWidth="1"/>
    <col min="8188" max="8188" width="16.7109375" style="315" customWidth="1"/>
    <col min="8189" max="8189" width="14.42578125" style="315" customWidth="1"/>
    <col min="8190" max="8190" width="15.140625" style="315" customWidth="1"/>
    <col min="8191" max="8191" width="11" style="315" customWidth="1"/>
    <col min="8192" max="8192" width="12.85546875" style="315" customWidth="1"/>
    <col min="8193" max="8193" width="20.140625" style="315" customWidth="1"/>
    <col min="8194" max="8194" width="12" style="315" customWidth="1"/>
    <col min="8195" max="8195" width="12.28515625" style="315" customWidth="1"/>
    <col min="8196" max="8196" width="11.7109375" style="315" customWidth="1"/>
    <col min="8197" max="8197" width="21.140625" style="315" customWidth="1"/>
    <col min="8198" max="8198" width="6.42578125" style="315" customWidth="1"/>
    <col min="8199" max="8199" width="29.28515625" style="315" customWidth="1"/>
    <col min="8200" max="8200" width="18.85546875" style="315" customWidth="1"/>
    <col min="8201" max="8442" width="9.140625" style="315"/>
    <col min="8443" max="8443" width="11.7109375" style="315" customWidth="1"/>
    <col min="8444" max="8444" width="16.7109375" style="315" customWidth="1"/>
    <col min="8445" max="8445" width="14.42578125" style="315" customWidth="1"/>
    <col min="8446" max="8446" width="15.140625" style="315" customWidth="1"/>
    <col min="8447" max="8447" width="11" style="315" customWidth="1"/>
    <col min="8448" max="8448" width="12.85546875" style="315" customWidth="1"/>
    <col min="8449" max="8449" width="20.140625" style="315" customWidth="1"/>
    <col min="8450" max="8450" width="12" style="315" customWidth="1"/>
    <col min="8451" max="8451" width="12.28515625" style="315" customWidth="1"/>
    <col min="8452" max="8452" width="11.7109375" style="315" customWidth="1"/>
    <col min="8453" max="8453" width="21.140625" style="315" customWidth="1"/>
    <col min="8454" max="8454" width="6.42578125" style="315" customWidth="1"/>
    <col min="8455" max="8455" width="29.28515625" style="315" customWidth="1"/>
    <col min="8456" max="8456" width="18.85546875" style="315" customWidth="1"/>
    <col min="8457" max="8698" width="9.140625" style="315"/>
    <col min="8699" max="8699" width="11.7109375" style="315" customWidth="1"/>
    <col min="8700" max="8700" width="16.7109375" style="315" customWidth="1"/>
    <col min="8701" max="8701" width="14.42578125" style="315" customWidth="1"/>
    <col min="8702" max="8702" width="15.140625" style="315" customWidth="1"/>
    <col min="8703" max="8703" width="11" style="315" customWidth="1"/>
    <col min="8704" max="8704" width="12.85546875" style="315" customWidth="1"/>
    <col min="8705" max="8705" width="20.140625" style="315" customWidth="1"/>
    <col min="8706" max="8706" width="12" style="315" customWidth="1"/>
    <col min="8707" max="8707" width="12.28515625" style="315" customWidth="1"/>
    <col min="8708" max="8708" width="11.7109375" style="315" customWidth="1"/>
    <col min="8709" max="8709" width="21.140625" style="315" customWidth="1"/>
    <col min="8710" max="8710" width="6.42578125" style="315" customWidth="1"/>
    <col min="8711" max="8711" width="29.28515625" style="315" customWidth="1"/>
    <col min="8712" max="8712" width="18.85546875" style="315" customWidth="1"/>
    <col min="8713" max="8954" width="9.140625" style="315"/>
    <col min="8955" max="8955" width="11.7109375" style="315" customWidth="1"/>
    <col min="8956" max="8956" width="16.7109375" style="315" customWidth="1"/>
    <col min="8957" max="8957" width="14.42578125" style="315" customWidth="1"/>
    <col min="8958" max="8958" width="15.140625" style="315" customWidth="1"/>
    <col min="8959" max="8959" width="11" style="315" customWidth="1"/>
    <col min="8960" max="8960" width="12.85546875" style="315" customWidth="1"/>
    <col min="8961" max="8961" width="20.140625" style="315" customWidth="1"/>
    <col min="8962" max="8962" width="12" style="315" customWidth="1"/>
    <col min="8963" max="8963" width="12.28515625" style="315" customWidth="1"/>
    <col min="8964" max="8964" width="11.7109375" style="315" customWidth="1"/>
    <col min="8965" max="8965" width="21.140625" style="315" customWidth="1"/>
    <col min="8966" max="8966" width="6.42578125" style="315" customWidth="1"/>
    <col min="8967" max="8967" width="29.28515625" style="315" customWidth="1"/>
    <col min="8968" max="8968" width="18.85546875" style="315" customWidth="1"/>
    <col min="8969" max="9210" width="9.140625" style="315"/>
    <col min="9211" max="9211" width="11.7109375" style="315" customWidth="1"/>
    <col min="9212" max="9212" width="16.7109375" style="315" customWidth="1"/>
    <col min="9213" max="9213" width="14.42578125" style="315" customWidth="1"/>
    <col min="9214" max="9214" width="15.140625" style="315" customWidth="1"/>
    <col min="9215" max="9215" width="11" style="315" customWidth="1"/>
    <col min="9216" max="9216" width="12.85546875" style="315" customWidth="1"/>
    <col min="9217" max="9217" width="20.140625" style="315" customWidth="1"/>
    <col min="9218" max="9218" width="12" style="315" customWidth="1"/>
    <col min="9219" max="9219" width="12.28515625" style="315" customWidth="1"/>
    <col min="9220" max="9220" width="11.7109375" style="315" customWidth="1"/>
    <col min="9221" max="9221" width="21.140625" style="315" customWidth="1"/>
    <col min="9222" max="9222" width="6.42578125" style="315" customWidth="1"/>
    <col min="9223" max="9223" width="29.28515625" style="315" customWidth="1"/>
    <col min="9224" max="9224" width="18.85546875" style="315" customWidth="1"/>
    <col min="9225" max="9466" width="9.140625" style="315"/>
    <col min="9467" max="9467" width="11.7109375" style="315" customWidth="1"/>
    <col min="9468" max="9468" width="16.7109375" style="315" customWidth="1"/>
    <col min="9469" max="9469" width="14.42578125" style="315" customWidth="1"/>
    <col min="9470" max="9470" width="15.140625" style="315" customWidth="1"/>
    <col min="9471" max="9471" width="11" style="315" customWidth="1"/>
    <col min="9472" max="9472" width="12.85546875" style="315" customWidth="1"/>
    <col min="9473" max="9473" width="20.140625" style="315" customWidth="1"/>
    <col min="9474" max="9474" width="12" style="315" customWidth="1"/>
    <col min="9475" max="9475" width="12.28515625" style="315" customWidth="1"/>
    <col min="9476" max="9476" width="11.7109375" style="315" customWidth="1"/>
    <col min="9477" max="9477" width="21.140625" style="315" customWidth="1"/>
    <col min="9478" max="9478" width="6.42578125" style="315" customWidth="1"/>
    <col min="9479" max="9479" width="29.28515625" style="315" customWidth="1"/>
    <col min="9480" max="9480" width="18.85546875" style="315" customWidth="1"/>
    <col min="9481" max="9722" width="9.140625" style="315"/>
    <col min="9723" max="9723" width="11.7109375" style="315" customWidth="1"/>
    <col min="9724" max="9724" width="16.7109375" style="315" customWidth="1"/>
    <col min="9725" max="9725" width="14.42578125" style="315" customWidth="1"/>
    <col min="9726" max="9726" width="15.140625" style="315" customWidth="1"/>
    <col min="9727" max="9727" width="11" style="315" customWidth="1"/>
    <col min="9728" max="9728" width="12.85546875" style="315" customWidth="1"/>
    <col min="9729" max="9729" width="20.140625" style="315" customWidth="1"/>
    <col min="9730" max="9730" width="12" style="315" customWidth="1"/>
    <col min="9731" max="9731" width="12.28515625" style="315" customWidth="1"/>
    <col min="9732" max="9732" width="11.7109375" style="315" customWidth="1"/>
    <col min="9733" max="9733" width="21.140625" style="315" customWidth="1"/>
    <col min="9734" max="9734" width="6.42578125" style="315" customWidth="1"/>
    <col min="9735" max="9735" width="29.28515625" style="315" customWidth="1"/>
    <col min="9736" max="9736" width="18.85546875" style="315" customWidth="1"/>
    <col min="9737" max="9978" width="9.140625" style="315"/>
    <col min="9979" max="9979" width="11.7109375" style="315" customWidth="1"/>
    <col min="9980" max="9980" width="16.7109375" style="315" customWidth="1"/>
    <col min="9981" max="9981" width="14.42578125" style="315" customWidth="1"/>
    <col min="9982" max="9982" width="15.140625" style="315" customWidth="1"/>
    <col min="9983" max="9983" width="11" style="315" customWidth="1"/>
    <col min="9984" max="9984" width="12.85546875" style="315" customWidth="1"/>
    <col min="9985" max="9985" width="20.140625" style="315" customWidth="1"/>
    <col min="9986" max="9986" width="12" style="315" customWidth="1"/>
    <col min="9987" max="9987" width="12.28515625" style="315" customWidth="1"/>
    <col min="9988" max="9988" width="11.7109375" style="315" customWidth="1"/>
    <col min="9989" max="9989" width="21.140625" style="315" customWidth="1"/>
    <col min="9990" max="9990" width="6.42578125" style="315" customWidth="1"/>
    <col min="9991" max="9991" width="29.28515625" style="315" customWidth="1"/>
    <col min="9992" max="9992" width="18.85546875" style="315" customWidth="1"/>
    <col min="9993" max="10234" width="9.140625" style="315"/>
    <col min="10235" max="10235" width="11.7109375" style="315" customWidth="1"/>
    <col min="10236" max="10236" width="16.7109375" style="315" customWidth="1"/>
    <col min="10237" max="10237" width="14.42578125" style="315" customWidth="1"/>
    <col min="10238" max="10238" width="15.140625" style="315" customWidth="1"/>
    <col min="10239" max="10239" width="11" style="315" customWidth="1"/>
    <col min="10240" max="10240" width="12.85546875" style="315" customWidth="1"/>
    <col min="10241" max="10241" width="20.140625" style="315" customWidth="1"/>
    <col min="10242" max="10242" width="12" style="315" customWidth="1"/>
    <col min="10243" max="10243" width="12.28515625" style="315" customWidth="1"/>
    <col min="10244" max="10244" width="11.7109375" style="315" customWidth="1"/>
    <col min="10245" max="10245" width="21.140625" style="315" customWidth="1"/>
    <col min="10246" max="10246" width="6.42578125" style="315" customWidth="1"/>
    <col min="10247" max="10247" width="29.28515625" style="315" customWidth="1"/>
    <col min="10248" max="10248" width="18.85546875" style="315" customWidth="1"/>
    <col min="10249" max="10490" width="9.140625" style="315"/>
    <col min="10491" max="10491" width="11.7109375" style="315" customWidth="1"/>
    <col min="10492" max="10492" width="16.7109375" style="315" customWidth="1"/>
    <col min="10493" max="10493" width="14.42578125" style="315" customWidth="1"/>
    <col min="10494" max="10494" width="15.140625" style="315" customWidth="1"/>
    <col min="10495" max="10495" width="11" style="315" customWidth="1"/>
    <col min="10496" max="10496" width="12.85546875" style="315" customWidth="1"/>
    <col min="10497" max="10497" width="20.140625" style="315" customWidth="1"/>
    <col min="10498" max="10498" width="12" style="315" customWidth="1"/>
    <col min="10499" max="10499" width="12.28515625" style="315" customWidth="1"/>
    <col min="10500" max="10500" width="11.7109375" style="315" customWidth="1"/>
    <col min="10501" max="10501" width="21.140625" style="315" customWidth="1"/>
    <col min="10502" max="10502" width="6.42578125" style="315" customWidth="1"/>
    <col min="10503" max="10503" width="29.28515625" style="315" customWidth="1"/>
    <col min="10504" max="10504" width="18.85546875" style="315" customWidth="1"/>
    <col min="10505" max="10746" width="9.140625" style="315"/>
    <col min="10747" max="10747" width="11.7109375" style="315" customWidth="1"/>
    <col min="10748" max="10748" width="16.7109375" style="315" customWidth="1"/>
    <col min="10749" max="10749" width="14.42578125" style="315" customWidth="1"/>
    <col min="10750" max="10750" width="15.140625" style="315" customWidth="1"/>
    <col min="10751" max="10751" width="11" style="315" customWidth="1"/>
    <col min="10752" max="10752" width="12.85546875" style="315" customWidth="1"/>
    <col min="10753" max="10753" width="20.140625" style="315" customWidth="1"/>
    <col min="10754" max="10754" width="12" style="315" customWidth="1"/>
    <col min="10755" max="10755" width="12.28515625" style="315" customWidth="1"/>
    <col min="10756" max="10756" width="11.7109375" style="315" customWidth="1"/>
    <col min="10757" max="10757" width="21.140625" style="315" customWidth="1"/>
    <col min="10758" max="10758" width="6.42578125" style="315" customWidth="1"/>
    <col min="10759" max="10759" width="29.28515625" style="315" customWidth="1"/>
    <col min="10760" max="10760" width="18.85546875" style="315" customWidth="1"/>
    <col min="10761" max="11002" width="9.140625" style="315"/>
    <col min="11003" max="11003" width="11.7109375" style="315" customWidth="1"/>
    <col min="11004" max="11004" width="16.7109375" style="315" customWidth="1"/>
    <col min="11005" max="11005" width="14.42578125" style="315" customWidth="1"/>
    <col min="11006" max="11006" width="15.140625" style="315" customWidth="1"/>
    <col min="11007" max="11007" width="11" style="315" customWidth="1"/>
    <col min="11008" max="11008" width="12.85546875" style="315" customWidth="1"/>
    <col min="11009" max="11009" width="20.140625" style="315" customWidth="1"/>
    <col min="11010" max="11010" width="12" style="315" customWidth="1"/>
    <col min="11011" max="11011" width="12.28515625" style="315" customWidth="1"/>
    <col min="11012" max="11012" width="11.7109375" style="315" customWidth="1"/>
    <col min="11013" max="11013" width="21.140625" style="315" customWidth="1"/>
    <col min="11014" max="11014" width="6.42578125" style="315" customWidth="1"/>
    <col min="11015" max="11015" width="29.28515625" style="315" customWidth="1"/>
    <col min="11016" max="11016" width="18.85546875" style="315" customWidth="1"/>
    <col min="11017" max="11258" width="9.140625" style="315"/>
    <col min="11259" max="11259" width="11.7109375" style="315" customWidth="1"/>
    <col min="11260" max="11260" width="16.7109375" style="315" customWidth="1"/>
    <col min="11261" max="11261" width="14.42578125" style="315" customWidth="1"/>
    <col min="11262" max="11262" width="15.140625" style="315" customWidth="1"/>
    <col min="11263" max="11263" width="11" style="315" customWidth="1"/>
    <col min="11264" max="11264" width="12.85546875" style="315" customWidth="1"/>
    <col min="11265" max="11265" width="20.140625" style="315" customWidth="1"/>
    <col min="11266" max="11266" width="12" style="315" customWidth="1"/>
    <col min="11267" max="11267" width="12.28515625" style="315" customWidth="1"/>
    <col min="11268" max="11268" width="11.7109375" style="315" customWidth="1"/>
    <col min="11269" max="11269" width="21.140625" style="315" customWidth="1"/>
    <col min="11270" max="11270" width="6.42578125" style="315" customWidth="1"/>
    <col min="11271" max="11271" width="29.28515625" style="315" customWidth="1"/>
    <col min="11272" max="11272" width="18.85546875" style="315" customWidth="1"/>
    <col min="11273" max="11514" width="9.140625" style="315"/>
    <col min="11515" max="11515" width="11.7109375" style="315" customWidth="1"/>
    <col min="11516" max="11516" width="16.7109375" style="315" customWidth="1"/>
    <col min="11517" max="11517" width="14.42578125" style="315" customWidth="1"/>
    <col min="11518" max="11518" width="15.140625" style="315" customWidth="1"/>
    <col min="11519" max="11519" width="11" style="315" customWidth="1"/>
    <col min="11520" max="11520" width="12.85546875" style="315" customWidth="1"/>
    <col min="11521" max="11521" width="20.140625" style="315" customWidth="1"/>
    <col min="11522" max="11522" width="12" style="315" customWidth="1"/>
    <col min="11523" max="11523" width="12.28515625" style="315" customWidth="1"/>
    <col min="11524" max="11524" width="11.7109375" style="315" customWidth="1"/>
    <col min="11525" max="11525" width="21.140625" style="315" customWidth="1"/>
    <col min="11526" max="11526" width="6.42578125" style="315" customWidth="1"/>
    <col min="11527" max="11527" width="29.28515625" style="315" customWidth="1"/>
    <col min="11528" max="11528" width="18.85546875" style="315" customWidth="1"/>
    <col min="11529" max="11770" width="9.140625" style="315"/>
    <col min="11771" max="11771" width="11.7109375" style="315" customWidth="1"/>
    <col min="11772" max="11772" width="16.7109375" style="315" customWidth="1"/>
    <col min="11773" max="11773" width="14.42578125" style="315" customWidth="1"/>
    <col min="11774" max="11774" width="15.140625" style="315" customWidth="1"/>
    <col min="11775" max="11775" width="11" style="315" customWidth="1"/>
    <col min="11776" max="11776" width="12.85546875" style="315" customWidth="1"/>
    <col min="11777" max="11777" width="20.140625" style="315" customWidth="1"/>
    <col min="11778" max="11778" width="12" style="315" customWidth="1"/>
    <col min="11779" max="11779" width="12.28515625" style="315" customWidth="1"/>
    <col min="11780" max="11780" width="11.7109375" style="315" customWidth="1"/>
    <col min="11781" max="11781" width="21.140625" style="315" customWidth="1"/>
    <col min="11782" max="11782" width="6.42578125" style="315" customWidth="1"/>
    <col min="11783" max="11783" width="29.28515625" style="315" customWidth="1"/>
    <col min="11784" max="11784" width="18.85546875" style="315" customWidth="1"/>
    <col min="11785" max="12026" width="9.140625" style="315"/>
    <col min="12027" max="12027" width="11.7109375" style="315" customWidth="1"/>
    <col min="12028" max="12028" width="16.7109375" style="315" customWidth="1"/>
    <col min="12029" max="12029" width="14.42578125" style="315" customWidth="1"/>
    <col min="12030" max="12030" width="15.140625" style="315" customWidth="1"/>
    <col min="12031" max="12031" width="11" style="315" customWidth="1"/>
    <col min="12032" max="12032" width="12.85546875" style="315" customWidth="1"/>
    <col min="12033" max="12033" width="20.140625" style="315" customWidth="1"/>
    <col min="12034" max="12034" width="12" style="315" customWidth="1"/>
    <col min="12035" max="12035" width="12.28515625" style="315" customWidth="1"/>
    <col min="12036" max="12036" width="11.7109375" style="315" customWidth="1"/>
    <col min="12037" max="12037" width="21.140625" style="315" customWidth="1"/>
    <col min="12038" max="12038" width="6.42578125" style="315" customWidth="1"/>
    <col min="12039" max="12039" width="29.28515625" style="315" customWidth="1"/>
    <col min="12040" max="12040" width="18.85546875" style="315" customWidth="1"/>
    <col min="12041" max="12282" width="9.140625" style="315"/>
    <col min="12283" max="12283" width="11.7109375" style="315" customWidth="1"/>
    <col min="12284" max="12284" width="16.7109375" style="315" customWidth="1"/>
    <col min="12285" max="12285" width="14.42578125" style="315" customWidth="1"/>
    <col min="12286" max="12286" width="15.140625" style="315" customWidth="1"/>
    <col min="12287" max="12287" width="11" style="315" customWidth="1"/>
    <col min="12288" max="12288" width="12.85546875" style="315" customWidth="1"/>
    <col min="12289" max="12289" width="20.140625" style="315" customWidth="1"/>
    <col min="12290" max="12290" width="12" style="315" customWidth="1"/>
    <col min="12291" max="12291" width="12.28515625" style="315" customWidth="1"/>
    <col min="12292" max="12292" width="11.7109375" style="315" customWidth="1"/>
    <col min="12293" max="12293" width="21.140625" style="315" customWidth="1"/>
    <col min="12294" max="12294" width="6.42578125" style="315" customWidth="1"/>
    <col min="12295" max="12295" width="29.28515625" style="315" customWidth="1"/>
    <col min="12296" max="12296" width="18.85546875" style="315" customWidth="1"/>
    <col min="12297" max="12538" width="9.140625" style="315"/>
    <col min="12539" max="12539" width="11.7109375" style="315" customWidth="1"/>
    <col min="12540" max="12540" width="16.7109375" style="315" customWidth="1"/>
    <col min="12541" max="12541" width="14.42578125" style="315" customWidth="1"/>
    <col min="12542" max="12542" width="15.140625" style="315" customWidth="1"/>
    <col min="12543" max="12543" width="11" style="315" customWidth="1"/>
    <col min="12544" max="12544" width="12.85546875" style="315" customWidth="1"/>
    <col min="12545" max="12545" width="20.140625" style="315" customWidth="1"/>
    <col min="12546" max="12546" width="12" style="315" customWidth="1"/>
    <col min="12547" max="12547" width="12.28515625" style="315" customWidth="1"/>
    <col min="12548" max="12548" width="11.7109375" style="315" customWidth="1"/>
    <col min="12549" max="12549" width="21.140625" style="315" customWidth="1"/>
    <col min="12550" max="12550" width="6.42578125" style="315" customWidth="1"/>
    <col min="12551" max="12551" width="29.28515625" style="315" customWidth="1"/>
    <col min="12552" max="12552" width="18.85546875" style="315" customWidth="1"/>
    <col min="12553" max="12794" width="9.140625" style="315"/>
    <col min="12795" max="12795" width="11.7109375" style="315" customWidth="1"/>
    <col min="12796" max="12796" width="16.7109375" style="315" customWidth="1"/>
    <col min="12797" max="12797" width="14.42578125" style="315" customWidth="1"/>
    <col min="12798" max="12798" width="15.140625" style="315" customWidth="1"/>
    <col min="12799" max="12799" width="11" style="315" customWidth="1"/>
    <col min="12800" max="12800" width="12.85546875" style="315" customWidth="1"/>
    <col min="12801" max="12801" width="20.140625" style="315" customWidth="1"/>
    <col min="12802" max="12802" width="12" style="315" customWidth="1"/>
    <col min="12803" max="12803" width="12.28515625" style="315" customWidth="1"/>
    <col min="12804" max="12804" width="11.7109375" style="315" customWidth="1"/>
    <col min="12805" max="12805" width="21.140625" style="315" customWidth="1"/>
    <col min="12806" max="12806" width="6.42578125" style="315" customWidth="1"/>
    <col min="12807" max="12807" width="29.28515625" style="315" customWidth="1"/>
    <col min="12808" max="12808" width="18.85546875" style="315" customWidth="1"/>
    <col min="12809" max="13050" width="9.140625" style="315"/>
    <col min="13051" max="13051" width="11.7109375" style="315" customWidth="1"/>
    <col min="13052" max="13052" width="16.7109375" style="315" customWidth="1"/>
    <col min="13053" max="13053" width="14.42578125" style="315" customWidth="1"/>
    <col min="13054" max="13054" width="15.140625" style="315" customWidth="1"/>
    <col min="13055" max="13055" width="11" style="315" customWidth="1"/>
    <col min="13056" max="13056" width="12.85546875" style="315" customWidth="1"/>
    <col min="13057" max="13057" width="20.140625" style="315" customWidth="1"/>
    <col min="13058" max="13058" width="12" style="315" customWidth="1"/>
    <col min="13059" max="13059" width="12.28515625" style="315" customWidth="1"/>
    <col min="13060" max="13060" width="11.7109375" style="315" customWidth="1"/>
    <col min="13061" max="13061" width="21.140625" style="315" customWidth="1"/>
    <col min="13062" max="13062" width="6.42578125" style="315" customWidth="1"/>
    <col min="13063" max="13063" width="29.28515625" style="315" customWidth="1"/>
    <col min="13064" max="13064" width="18.85546875" style="315" customWidth="1"/>
    <col min="13065" max="13306" width="9.140625" style="315"/>
    <col min="13307" max="13307" width="11.7109375" style="315" customWidth="1"/>
    <col min="13308" max="13308" width="16.7109375" style="315" customWidth="1"/>
    <col min="13309" max="13309" width="14.42578125" style="315" customWidth="1"/>
    <col min="13310" max="13310" width="15.140625" style="315" customWidth="1"/>
    <col min="13311" max="13311" width="11" style="315" customWidth="1"/>
    <col min="13312" max="13312" width="12.85546875" style="315" customWidth="1"/>
    <col min="13313" max="13313" width="20.140625" style="315" customWidth="1"/>
    <col min="13314" max="13314" width="12" style="315" customWidth="1"/>
    <col min="13315" max="13315" width="12.28515625" style="315" customWidth="1"/>
    <col min="13316" max="13316" width="11.7109375" style="315" customWidth="1"/>
    <col min="13317" max="13317" width="21.140625" style="315" customWidth="1"/>
    <col min="13318" max="13318" width="6.42578125" style="315" customWidth="1"/>
    <col min="13319" max="13319" width="29.28515625" style="315" customWidth="1"/>
    <col min="13320" max="13320" width="18.85546875" style="315" customWidth="1"/>
    <col min="13321" max="13562" width="9.140625" style="315"/>
    <col min="13563" max="13563" width="11.7109375" style="315" customWidth="1"/>
    <col min="13564" max="13564" width="16.7109375" style="315" customWidth="1"/>
    <col min="13565" max="13565" width="14.42578125" style="315" customWidth="1"/>
    <col min="13566" max="13566" width="15.140625" style="315" customWidth="1"/>
    <col min="13567" max="13567" width="11" style="315" customWidth="1"/>
    <col min="13568" max="13568" width="12.85546875" style="315" customWidth="1"/>
    <col min="13569" max="13569" width="20.140625" style="315" customWidth="1"/>
    <col min="13570" max="13570" width="12" style="315" customWidth="1"/>
    <col min="13571" max="13571" width="12.28515625" style="315" customWidth="1"/>
    <col min="13572" max="13572" width="11.7109375" style="315" customWidth="1"/>
    <col min="13573" max="13573" width="21.140625" style="315" customWidth="1"/>
    <col min="13574" max="13574" width="6.42578125" style="315" customWidth="1"/>
    <col min="13575" max="13575" width="29.28515625" style="315" customWidth="1"/>
    <col min="13576" max="13576" width="18.85546875" style="315" customWidth="1"/>
    <col min="13577" max="13818" width="9.140625" style="315"/>
    <col min="13819" max="13819" width="11.7109375" style="315" customWidth="1"/>
    <col min="13820" max="13820" width="16.7109375" style="315" customWidth="1"/>
    <col min="13821" max="13821" width="14.42578125" style="315" customWidth="1"/>
    <col min="13822" max="13822" width="15.140625" style="315" customWidth="1"/>
    <col min="13823" max="13823" width="11" style="315" customWidth="1"/>
    <col min="13824" max="13824" width="12.85546875" style="315" customWidth="1"/>
    <col min="13825" max="13825" width="20.140625" style="315" customWidth="1"/>
    <col min="13826" max="13826" width="12" style="315" customWidth="1"/>
    <col min="13827" max="13827" width="12.28515625" style="315" customWidth="1"/>
    <col min="13828" max="13828" width="11.7109375" style="315" customWidth="1"/>
    <col min="13829" max="13829" width="21.140625" style="315" customWidth="1"/>
    <col min="13830" max="13830" width="6.42578125" style="315" customWidth="1"/>
    <col min="13831" max="13831" width="29.28515625" style="315" customWidth="1"/>
    <col min="13832" max="13832" width="18.85546875" style="315" customWidth="1"/>
    <col min="13833" max="14074" width="9.140625" style="315"/>
    <col min="14075" max="14075" width="11.7109375" style="315" customWidth="1"/>
    <col min="14076" max="14076" width="16.7109375" style="315" customWidth="1"/>
    <col min="14077" max="14077" width="14.42578125" style="315" customWidth="1"/>
    <col min="14078" max="14078" width="15.140625" style="315" customWidth="1"/>
    <col min="14079" max="14079" width="11" style="315" customWidth="1"/>
    <col min="14080" max="14080" width="12.85546875" style="315" customWidth="1"/>
    <col min="14081" max="14081" width="20.140625" style="315" customWidth="1"/>
    <col min="14082" max="14082" width="12" style="315" customWidth="1"/>
    <col min="14083" max="14083" width="12.28515625" style="315" customWidth="1"/>
    <col min="14084" max="14084" width="11.7109375" style="315" customWidth="1"/>
    <col min="14085" max="14085" width="21.140625" style="315" customWidth="1"/>
    <col min="14086" max="14086" width="6.42578125" style="315" customWidth="1"/>
    <col min="14087" max="14087" width="29.28515625" style="315" customWidth="1"/>
    <col min="14088" max="14088" width="18.85546875" style="315" customWidth="1"/>
    <col min="14089" max="14330" width="9.140625" style="315"/>
    <col min="14331" max="14331" width="11.7109375" style="315" customWidth="1"/>
    <col min="14332" max="14332" width="16.7109375" style="315" customWidth="1"/>
    <col min="14333" max="14333" width="14.42578125" style="315" customWidth="1"/>
    <col min="14334" max="14334" width="15.140625" style="315" customWidth="1"/>
    <col min="14335" max="14335" width="11" style="315" customWidth="1"/>
    <col min="14336" max="14336" width="12.85546875" style="315" customWidth="1"/>
    <col min="14337" max="14337" width="20.140625" style="315" customWidth="1"/>
    <col min="14338" max="14338" width="12" style="315" customWidth="1"/>
    <col min="14339" max="14339" width="12.28515625" style="315" customWidth="1"/>
    <col min="14340" max="14340" width="11.7109375" style="315" customWidth="1"/>
    <col min="14341" max="14341" width="21.140625" style="315" customWidth="1"/>
    <col min="14342" max="14342" width="6.42578125" style="315" customWidth="1"/>
    <col min="14343" max="14343" width="29.28515625" style="315" customWidth="1"/>
    <col min="14344" max="14344" width="18.85546875" style="315" customWidth="1"/>
    <col min="14345" max="14586" width="9.140625" style="315"/>
    <col min="14587" max="14587" width="11.7109375" style="315" customWidth="1"/>
    <col min="14588" max="14588" width="16.7109375" style="315" customWidth="1"/>
    <col min="14589" max="14589" width="14.42578125" style="315" customWidth="1"/>
    <col min="14590" max="14590" width="15.140625" style="315" customWidth="1"/>
    <col min="14591" max="14591" width="11" style="315" customWidth="1"/>
    <col min="14592" max="14592" width="12.85546875" style="315" customWidth="1"/>
    <col min="14593" max="14593" width="20.140625" style="315" customWidth="1"/>
    <col min="14594" max="14594" width="12" style="315" customWidth="1"/>
    <col min="14595" max="14595" width="12.28515625" style="315" customWidth="1"/>
    <col min="14596" max="14596" width="11.7109375" style="315" customWidth="1"/>
    <col min="14597" max="14597" width="21.140625" style="315" customWidth="1"/>
    <col min="14598" max="14598" width="6.42578125" style="315" customWidth="1"/>
    <col min="14599" max="14599" width="29.28515625" style="315" customWidth="1"/>
    <col min="14600" max="14600" width="18.85546875" style="315" customWidth="1"/>
    <col min="14601" max="14842" width="9.140625" style="315"/>
    <col min="14843" max="14843" width="11.7109375" style="315" customWidth="1"/>
    <col min="14844" max="14844" width="16.7109375" style="315" customWidth="1"/>
    <col min="14845" max="14845" width="14.42578125" style="315" customWidth="1"/>
    <col min="14846" max="14846" width="15.140625" style="315" customWidth="1"/>
    <col min="14847" max="14847" width="11" style="315" customWidth="1"/>
    <col min="14848" max="14848" width="12.85546875" style="315" customWidth="1"/>
    <col min="14849" max="14849" width="20.140625" style="315" customWidth="1"/>
    <col min="14850" max="14850" width="12" style="315" customWidth="1"/>
    <col min="14851" max="14851" width="12.28515625" style="315" customWidth="1"/>
    <col min="14852" max="14852" width="11.7109375" style="315" customWidth="1"/>
    <col min="14853" max="14853" width="21.140625" style="315" customWidth="1"/>
    <col min="14854" max="14854" width="6.42578125" style="315" customWidth="1"/>
    <col min="14855" max="14855" width="29.28515625" style="315" customWidth="1"/>
    <col min="14856" max="14856" width="18.85546875" style="315" customWidth="1"/>
    <col min="14857" max="15098" width="9.140625" style="315"/>
    <col min="15099" max="15099" width="11.7109375" style="315" customWidth="1"/>
    <col min="15100" max="15100" width="16.7109375" style="315" customWidth="1"/>
    <col min="15101" max="15101" width="14.42578125" style="315" customWidth="1"/>
    <col min="15102" max="15102" width="15.140625" style="315" customWidth="1"/>
    <col min="15103" max="15103" width="11" style="315" customWidth="1"/>
    <col min="15104" max="15104" width="12.85546875" style="315" customWidth="1"/>
    <col min="15105" max="15105" width="20.140625" style="315" customWidth="1"/>
    <col min="15106" max="15106" width="12" style="315" customWidth="1"/>
    <col min="15107" max="15107" width="12.28515625" style="315" customWidth="1"/>
    <col min="15108" max="15108" width="11.7109375" style="315" customWidth="1"/>
    <col min="15109" max="15109" width="21.140625" style="315" customWidth="1"/>
    <col min="15110" max="15110" width="6.42578125" style="315" customWidth="1"/>
    <col min="15111" max="15111" width="29.28515625" style="315" customWidth="1"/>
    <col min="15112" max="15112" width="18.85546875" style="315" customWidth="1"/>
    <col min="15113" max="15354" width="9.140625" style="315"/>
    <col min="15355" max="15355" width="11.7109375" style="315" customWidth="1"/>
    <col min="15356" max="15356" width="16.7109375" style="315" customWidth="1"/>
    <col min="15357" max="15357" width="14.42578125" style="315" customWidth="1"/>
    <col min="15358" max="15358" width="15.140625" style="315" customWidth="1"/>
    <col min="15359" max="15359" width="11" style="315" customWidth="1"/>
    <col min="15360" max="15360" width="12.85546875" style="315" customWidth="1"/>
    <col min="15361" max="15361" width="20.140625" style="315" customWidth="1"/>
    <col min="15362" max="15362" width="12" style="315" customWidth="1"/>
    <col min="15363" max="15363" width="12.28515625" style="315" customWidth="1"/>
    <col min="15364" max="15364" width="11.7109375" style="315" customWidth="1"/>
    <col min="15365" max="15365" width="21.140625" style="315" customWidth="1"/>
    <col min="15366" max="15366" width="6.42578125" style="315" customWidth="1"/>
    <col min="15367" max="15367" width="29.28515625" style="315" customWidth="1"/>
    <col min="15368" max="15368" width="18.85546875" style="315" customWidth="1"/>
    <col min="15369" max="15610" width="9.140625" style="315"/>
    <col min="15611" max="15611" width="11.7109375" style="315" customWidth="1"/>
    <col min="15612" max="15612" width="16.7109375" style="315" customWidth="1"/>
    <col min="15613" max="15613" width="14.42578125" style="315" customWidth="1"/>
    <col min="15614" max="15614" width="15.140625" style="315" customWidth="1"/>
    <col min="15615" max="15615" width="11" style="315" customWidth="1"/>
    <col min="15616" max="15616" width="12.85546875" style="315" customWidth="1"/>
    <col min="15617" max="15617" width="20.140625" style="315" customWidth="1"/>
    <col min="15618" max="15618" width="12" style="315" customWidth="1"/>
    <col min="15619" max="15619" width="12.28515625" style="315" customWidth="1"/>
    <col min="15620" max="15620" width="11.7109375" style="315" customWidth="1"/>
    <col min="15621" max="15621" width="21.140625" style="315" customWidth="1"/>
    <col min="15622" max="15622" width="6.42578125" style="315" customWidth="1"/>
    <col min="15623" max="15623" width="29.28515625" style="315" customWidth="1"/>
    <col min="15624" max="15624" width="18.85546875" style="315" customWidth="1"/>
    <col min="15625" max="15866" width="9.140625" style="315"/>
    <col min="15867" max="15867" width="11.7109375" style="315" customWidth="1"/>
    <col min="15868" max="15868" width="16.7109375" style="315" customWidth="1"/>
    <col min="15869" max="15869" width="14.42578125" style="315" customWidth="1"/>
    <col min="15870" max="15870" width="15.140625" style="315" customWidth="1"/>
    <col min="15871" max="15871" width="11" style="315" customWidth="1"/>
    <col min="15872" max="15872" width="12.85546875" style="315" customWidth="1"/>
    <col min="15873" max="15873" width="20.140625" style="315" customWidth="1"/>
    <col min="15874" max="15874" width="12" style="315" customWidth="1"/>
    <col min="15875" max="15875" width="12.28515625" style="315" customWidth="1"/>
    <col min="15876" max="15876" width="11.7109375" style="315" customWidth="1"/>
    <col min="15877" max="15877" width="21.140625" style="315" customWidth="1"/>
    <col min="15878" max="15878" width="6.42578125" style="315" customWidth="1"/>
    <col min="15879" max="15879" width="29.28515625" style="315" customWidth="1"/>
    <col min="15880" max="15880" width="18.85546875" style="315" customWidth="1"/>
    <col min="15881" max="16122" width="9.140625" style="315"/>
    <col min="16123" max="16123" width="11.7109375" style="315" customWidth="1"/>
    <col min="16124" max="16124" width="16.7109375" style="315" customWidth="1"/>
    <col min="16125" max="16125" width="14.42578125" style="315" customWidth="1"/>
    <col min="16126" max="16126" width="15.140625" style="315" customWidth="1"/>
    <col min="16127" max="16127" width="11" style="315" customWidth="1"/>
    <col min="16128" max="16128" width="12.85546875" style="315" customWidth="1"/>
    <col min="16129" max="16129" width="20.140625" style="315" customWidth="1"/>
    <col min="16130" max="16130" width="12" style="315" customWidth="1"/>
    <col min="16131" max="16131" width="12.28515625" style="315" customWidth="1"/>
    <col min="16132" max="16132" width="11.7109375" style="315" customWidth="1"/>
    <col min="16133" max="16133" width="21.140625" style="315" customWidth="1"/>
    <col min="16134" max="16134" width="6.42578125" style="315" customWidth="1"/>
    <col min="16135" max="16135" width="29.28515625" style="315" customWidth="1"/>
    <col min="16136" max="16136" width="18.85546875" style="315" customWidth="1"/>
    <col min="16137" max="16384" width="9.140625" style="315"/>
  </cols>
  <sheetData>
    <row r="1" spans="1:11" x14ac:dyDescent="0.2">
      <c r="K1" s="584" t="s">
        <v>863</v>
      </c>
    </row>
    <row r="2" spans="1:11" ht="88.5" customHeight="1" thickBot="1" x14ac:dyDescent="0.45">
      <c r="B2" s="885" t="s">
        <v>800</v>
      </c>
      <c r="C2" s="885"/>
      <c r="D2" s="885"/>
      <c r="E2" s="885"/>
      <c r="F2" s="885"/>
      <c r="G2" s="885"/>
      <c r="H2" s="885"/>
      <c r="I2" s="885"/>
      <c r="J2" s="885"/>
      <c r="K2" s="885"/>
    </row>
    <row r="3" spans="1:11" ht="21" thickBot="1" x14ac:dyDescent="0.35">
      <c r="B3" s="819" t="s">
        <v>801</v>
      </c>
      <c r="C3" s="820"/>
      <c r="D3" s="820"/>
      <c r="E3" s="820"/>
      <c r="F3" s="820"/>
      <c r="G3" s="820"/>
      <c r="H3" s="820"/>
      <c r="I3" s="820"/>
      <c r="J3" s="820"/>
      <c r="K3" s="821"/>
    </row>
    <row r="4" spans="1:11" s="316" customFormat="1" ht="40.5" customHeight="1" x14ac:dyDescent="0.25">
      <c r="A4" s="538"/>
      <c r="B4" s="822" t="s">
        <v>802</v>
      </c>
      <c r="C4" s="317"/>
      <c r="D4" s="217" t="s">
        <v>381</v>
      </c>
      <c r="E4" s="218" t="s">
        <v>803</v>
      </c>
      <c r="F4" s="824" t="s">
        <v>804</v>
      </c>
      <c r="G4" s="826" t="s">
        <v>382</v>
      </c>
      <c r="H4" s="218" t="s">
        <v>605</v>
      </c>
      <c r="I4" s="218" t="s">
        <v>805</v>
      </c>
      <c r="J4" s="828" t="s">
        <v>806</v>
      </c>
      <c r="K4" s="219" t="s">
        <v>807</v>
      </c>
    </row>
    <row r="5" spans="1:11" s="318" customFormat="1" ht="17.25" customHeight="1" thickBot="1" x14ac:dyDescent="0.3">
      <c r="A5" s="539"/>
      <c r="B5" s="823"/>
      <c r="C5" s="319"/>
      <c r="D5" s="540" t="s">
        <v>383</v>
      </c>
      <c r="E5" s="688" t="s">
        <v>67</v>
      </c>
      <c r="F5" s="846"/>
      <c r="G5" s="847"/>
      <c r="H5" s="688" t="s">
        <v>67</v>
      </c>
      <c r="I5" s="688" t="s">
        <v>67</v>
      </c>
      <c r="J5" s="867"/>
      <c r="K5" s="220" t="s">
        <v>609</v>
      </c>
    </row>
    <row r="6" spans="1:11" ht="12.75" customHeight="1" x14ac:dyDescent="0.2">
      <c r="B6" s="848" t="s">
        <v>808</v>
      </c>
      <c r="C6" s="851" t="s">
        <v>809</v>
      </c>
      <c r="D6" s="541" t="s">
        <v>810</v>
      </c>
      <c r="E6" s="854">
        <v>841930.56</v>
      </c>
      <c r="F6" s="542">
        <v>37391</v>
      </c>
      <c r="G6" s="543" t="s">
        <v>811</v>
      </c>
      <c r="H6" s="857">
        <f>1468.08+1820.5+1964.92+1764.41+2389.44+1778.81+1989.92+1859.98+1798.32+2007.67+1676.53+2153.86</f>
        <v>22672.440000000002</v>
      </c>
      <c r="I6" s="858">
        <f>200125.5+H6</f>
        <v>222797.94</v>
      </c>
      <c r="J6" s="861">
        <v>2032</v>
      </c>
      <c r="K6" s="864">
        <f>E6-I6</f>
        <v>619132.62000000011</v>
      </c>
    </row>
    <row r="7" spans="1:11" ht="15" customHeight="1" x14ac:dyDescent="0.2">
      <c r="B7" s="849"/>
      <c r="C7" s="852"/>
      <c r="D7" s="544">
        <v>37313</v>
      </c>
      <c r="E7" s="855"/>
      <c r="F7" s="545">
        <v>119634</v>
      </c>
      <c r="G7" s="545">
        <v>119634</v>
      </c>
      <c r="H7" s="838"/>
      <c r="I7" s="859"/>
      <c r="J7" s="862"/>
      <c r="K7" s="865"/>
    </row>
    <row r="8" spans="1:11" ht="15.75" customHeight="1" thickBot="1" x14ac:dyDescent="0.25">
      <c r="B8" s="850"/>
      <c r="C8" s="853"/>
      <c r="D8" s="546"/>
      <c r="E8" s="856"/>
      <c r="F8" s="547">
        <f>F7/30.126</f>
        <v>3971.1212905795655</v>
      </c>
      <c r="G8" s="548">
        <f>G7/30.126</f>
        <v>3971.1212905795655</v>
      </c>
      <c r="H8" s="839"/>
      <c r="I8" s="860"/>
      <c r="J8" s="863"/>
      <c r="K8" s="866"/>
    </row>
    <row r="9" spans="1:11" ht="15.75" customHeight="1" x14ac:dyDescent="0.2">
      <c r="B9" s="833" t="s">
        <v>812</v>
      </c>
      <c r="C9" s="835" t="s">
        <v>813</v>
      </c>
      <c r="D9" s="549" t="s">
        <v>814</v>
      </c>
      <c r="E9" s="837">
        <f>2655513.51+2323574.32</f>
        <v>4979087.83</v>
      </c>
      <c r="F9" s="550" t="s">
        <v>815</v>
      </c>
      <c r="G9" s="551" t="s">
        <v>816</v>
      </c>
      <c r="H9" s="837">
        <v>0</v>
      </c>
      <c r="I9" s="881">
        <f>2393216.79+H9</f>
        <v>2393216.79</v>
      </c>
      <c r="J9" s="843">
        <v>43404</v>
      </c>
      <c r="K9" s="830">
        <f>E9-I9</f>
        <v>2585871.04</v>
      </c>
    </row>
    <row r="10" spans="1:11" ht="15.75" customHeight="1" x14ac:dyDescent="0.2">
      <c r="B10" s="834"/>
      <c r="C10" s="836"/>
      <c r="D10" s="549">
        <v>39777</v>
      </c>
      <c r="E10" s="838"/>
      <c r="F10" s="552">
        <v>3250000</v>
      </c>
      <c r="G10" s="553" t="s">
        <v>817</v>
      </c>
      <c r="H10" s="838"/>
      <c r="I10" s="859"/>
      <c r="J10" s="844"/>
      <c r="K10" s="831"/>
    </row>
    <row r="11" spans="1:11" ht="15.75" customHeight="1" thickBot="1" x14ac:dyDescent="0.25">
      <c r="B11" s="834"/>
      <c r="C11" s="836"/>
      <c r="D11" s="549" t="s">
        <v>818</v>
      </c>
      <c r="E11" s="838"/>
      <c r="F11" s="221">
        <f>F10/30.126</f>
        <v>107880.23634070238</v>
      </c>
      <c r="G11" s="222" t="s">
        <v>819</v>
      </c>
      <c r="H11" s="838"/>
      <c r="I11" s="859"/>
      <c r="J11" s="844"/>
      <c r="K11" s="831"/>
    </row>
    <row r="12" spans="1:11" ht="15.75" customHeight="1" x14ac:dyDescent="0.2">
      <c r="B12" s="833" t="s">
        <v>812</v>
      </c>
      <c r="C12" s="835" t="s">
        <v>813</v>
      </c>
      <c r="D12" s="554" t="s">
        <v>820</v>
      </c>
      <c r="E12" s="837">
        <f>368304.35+431752.15+120352.68+136825.05+133512.73</f>
        <v>1190746.96</v>
      </c>
      <c r="F12" s="555" t="s">
        <v>821</v>
      </c>
      <c r="G12" s="556" t="s">
        <v>822</v>
      </c>
      <c r="H12" s="837">
        <f>10530*12</f>
        <v>126360</v>
      </c>
      <c r="I12" s="840">
        <f>H12</f>
        <v>126360</v>
      </c>
      <c r="J12" s="843">
        <v>45107</v>
      </c>
      <c r="K12" s="830">
        <f>E12-I12</f>
        <v>1064386.96</v>
      </c>
    </row>
    <row r="13" spans="1:11" ht="15.75" customHeight="1" x14ac:dyDescent="0.2">
      <c r="B13" s="834"/>
      <c r="C13" s="836"/>
      <c r="D13" s="557">
        <v>41470</v>
      </c>
      <c r="E13" s="838"/>
      <c r="F13" s="223">
        <v>10530</v>
      </c>
      <c r="G13" s="224"/>
      <c r="H13" s="838"/>
      <c r="I13" s="841"/>
      <c r="J13" s="844"/>
      <c r="K13" s="831"/>
    </row>
    <row r="14" spans="1:11" ht="15.75" customHeight="1" thickBot="1" x14ac:dyDescent="0.25">
      <c r="B14" s="834"/>
      <c r="C14" s="836"/>
      <c r="D14" s="558" t="s">
        <v>823</v>
      </c>
      <c r="E14" s="839"/>
      <c r="F14" s="559"/>
      <c r="G14" s="560" t="s">
        <v>824</v>
      </c>
      <c r="H14" s="839"/>
      <c r="I14" s="842"/>
      <c r="J14" s="845"/>
      <c r="K14" s="832"/>
    </row>
    <row r="15" spans="1:11" ht="15.75" customHeight="1" x14ac:dyDescent="0.2">
      <c r="B15" s="833" t="s">
        <v>825</v>
      </c>
      <c r="C15" s="835" t="s">
        <v>813</v>
      </c>
      <c r="D15" s="554" t="s">
        <v>826</v>
      </c>
      <c r="E15" s="837">
        <v>4475464.72</v>
      </c>
      <c r="F15" s="554">
        <v>40998</v>
      </c>
      <c r="G15" s="556" t="s">
        <v>827</v>
      </c>
      <c r="H15" s="837">
        <f>54578.84*12</f>
        <v>654946.07999999996</v>
      </c>
      <c r="I15" s="840">
        <f>1200734.48+H15</f>
        <v>1855680.56</v>
      </c>
      <c r="J15" s="843">
        <v>42153</v>
      </c>
      <c r="K15" s="830">
        <f>E15-I15</f>
        <v>2619784.1599999997</v>
      </c>
    </row>
    <row r="16" spans="1:11" ht="15.75" customHeight="1" x14ac:dyDescent="0.2">
      <c r="B16" s="834"/>
      <c r="C16" s="836"/>
      <c r="D16" s="557">
        <v>40962</v>
      </c>
      <c r="E16" s="838"/>
      <c r="F16" s="223">
        <v>54578.84</v>
      </c>
      <c r="G16" s="224" t="s">
        <v>828</v>
      </c>
      <c r="H16" s="838"/>
      <c r="I16" s="841"/>
      <c r="J16" s="844"/>
      <c r="K16" s="831"/>
    </row>
    <row r="17" spans="1:11" ht="15.75" customHeight="1" thickBot="1" x14ac:dyDescent="0.25">
      <c r="B17" s="868"/>
      <c r="C17" s="869"/>
      <c r="D17" s="561"/>
      <c r="E17" s="839"/>
      <c r="F17" s="559"/>
      <c r="G17" s="560"/>
      <c r="H17" s="839"/>
      <c r="I17" s="842"/>
      <c r="J17" s="845"/>
      <c r="K17" s="832"/>
    </row>
    <row r="18" spans="1:11" ht="15" customHeight="1" x14ac:dyDescent="0.25">
      <c r="B18" s="887" t="s">
        <v>829</v>
      </c>
      <c r="C18" s="835" t="s">
        <v>813</v>
      </c>
      <c r="D18" s="562" t="s">
        <v>830</v>
      </c>
      <c r="E18" s="837">
        <v>221080</v>
      </c>
      <c r="F18" s="563">
        <v>39171</v>
      </c>
      <c r="G18" s="564" t="s">
        <v>831</v>
      </c>
      <c r="H18" s="837">
        <f>6300*4</f>
        <v>25200</v>
      </c>
      <c r="I18" s="881">
        <f>170100+H18</f>
        <v>195300</v>
      </c>
      <c r="J18" s="877">
        <v>42277</v>
      </c>
      <c r="K18" s="830">
        <f>E18-I18</f>
        <v>25780</v>
      </c>
    </row>
    <row r="19" spans="1:11" ht="15" customHeight="1" x14ac:dyDescent="0.2">
      <c r="A19" s="321"/>
      <c r="B19" s="882"/>
      <c r="C19" s="805"/>
      <c r="D19" s="557">
        <v>38861</v>
      </c>
      <c r="E19" s="884"/>
      <c r="F19" s="223">
        <v>6300</v>
      </c>
      <c r="G19" s="224" t="s">
        <v>832</v>
      </c>
      <c r="H19" s="884"/>
      <c r="I19" s="886"/>
      <c r="J19" s="878"/>
      <c r="K19" s="879"/>
    </row>
    <row r="20" spans="1:11" ht="15.75" customHeight="1" x14ac:dyDescent="0.25">
      <c r="A20" s="321"/>
      <c r="B20" s="882" t="s">
        <v>829</v>
      </c>
      <c r="C20" s="808" t="s">
        <v>813</v>
      </c>
      <c r="D20" s="565" t="s">
        <v>833</v>
      </c>
      <c r="E20" s="857">
        <v>305912</v>
      </c>
      <c r="F20" s="557">
        <v>39171</v>
      </c>
      <c r="G20" s="566" t="s">
        <v>834</v>
      </c>
      <c r="H20" s="857">
        <f>8740*4</f>
        <v>34960</v>
      </c>
      <c r="I20" s="858">
        <f>235980+H20</f>
        <v>270940</v>
      </c>
      <c r="J20" s="878">
        <v>42277</v>
      </c>
      <c r="K20" s="876">
        <f>E20-I20</f>
        <v>34972</v>
      </c>
    </row>
    <row r="21" spans="1:11" ht="14.25" customHeight="1" x14ac:dyDescent="0.2">
      <c r="A21" s="321"/>
      <c r="B21" s="882"/>
      <c r="C21" s="805"/>
      <c r="D21" s="557">
        <v>38861</v>
      </c>
      <c r="E21" s="884"/>
      <c r="F21" s="223">
        <v>8740</v>
      </c>
      <c r="G21" s="224" t="s">
        <v>835</v>
      </c>
      <c r="H21" s="884"/>
      <c r="I21" s="886"/>
      <c r="J21" s="878"/>
      <c r="K21" s="876"/>
    </row>
    <row r="22" spans="1:11" ht="15" customHeight="1" x14ac:dyDescent="0.25">
      <c r="A22" s="321"/>
      <c r="B22" s="882" t="s">
        <v>829</v>
      </c>
      <c r="C22" s="808" t="s">
        <v>813</v>
      </c>
      <c r="D22" s="565" t="s">
        <v>836</v>
      </c>
      <c r="E22" s="857">
        <v>310457</v>
      </c>
      <c r="F22" s="557">
        <v>39171</v>
      </c>
      <c r="G22" s="566" t="s">
        <v>837</v>
      </c>
      <c r="H22" s="857">
        <f>8870*4</f>
        <v>35480</v>
      </c>
      <c r="I22" s="858">
        <f>239490+H22</f>
        <v>274970</v>
      </c>
      <c r="J22" s="878">
        <v>42277</v>
      </c>
      <c r="K22" s="876">
        <f>E22-I22</f>
        <v>35487</v>
      </c>
    </row>
    <row r="23" spans="1:11" ht="15.75" customHeight="1" x14ac:dyDescent="0.2">
      <c r="A23" s="321"/>
      <c r="B23" s="882"/>
      <c r="C23" s="805"/>
      <c r="D23" s="557">
        <v>38861</v>
      </c>
      <c r="E23" s="884"/>
      <c r="F23" s="223">
        <v>8870</v>
      </c>
      <c r="G23" s="224" t="s">
        <v>838</v>
      </c>
      <c r="H23" s="884"/>
      <c r="I23" s="886"/>
      <c r="J23" s="878"/>
      <c r="K23" s="876"/>
    </row>
    <row r="24" spans="1:11" ht="15" customHeight="1" x14ac:dyDescent="0.25">
      <c r="A24" s="321"/>
      <c r="B24" s="882" t="s">
        <v>829</v>
      </c>
      <c r="C24" s="808" t="s">
        <v>813</v>
      </c>
      <c r="D24" s="565" t="s">
        <v>839</v>
      </c>
      <c r="E24" s="857">
        <v>1488978</v>
      </c>
      <c r="F24" s="557">
        <v>39171</v>
      </c>
      <c r="G24" s="566" t="s">
        <v>840</v>
      </c>
      <c r="H24" s="857">
        <f>42540*4</f>
        <v>170160</v>
      </c>
      <c r="I24" s="858">
        <f>1148580+H24</f>
        <v>1318740</v>
      </c>
      <c r="J24" s="878">
        <v>42277</v>
      </c>
      <c r="K24" s="831">
        <f>E24-I24</f>
        <v>170238</v>
      </c>
    </row>
    <row r="25" spans="1:11" ht="15" customHeight="1" thickBot="1" x14ac:dyDescent="0.25">
      <c r="A25" s="321"/>
      <c r="B25" s="883"/>
      <c r="C25" s="836"/>
      <c r="D25" s="549">
        <v>38861</v>
      </c>
      <c r="E25" s="838"/>
      <c r="F25" s="221">
        <v>42540</v>
      </c>
      <c r="G25" s="222" t="s">
        <v>841</v>
      </c>
      <c r="H25" s="838"/>
      <c r="I25" s="859"/>
      <c r="J25" s="880"/>
      <c r="K25" s="831"/>
    </row>
    <row r="26" spans="1:11" ht="18" customHeight="1" x14ac:dyDescent="0.2">
      <c r="A26" s="321"/>
      <c r="B26" s="873" t="s">
        <v>829</v>
      </c>
      <c r="C26" s="808" t="s">
        <v>813</v>
      </c>
      <c r="D26" s="567" t="s">
        <v>842</v>
      </c>
      <c r="E26" s="837">
        <v>800000</v>
      </c>
      <c r="F26" s="567">
        <v>41394</v>
      </c>
      <c r="G26" s="568" t="s">
        <v>843</v>
      </c>
      <c r="H26" s="870">
        <f>22200*12</f>
        <v>266400</v>
      </c>
      <c r="I26" s="840">
        <f>199800+H26</f>
        <v>466200</v>
      </c>
      <c r="J26" s="843">
        <v>42460</v>
      </c>
      <c r="K26" s="830">
        <f>E26-I26</f>
        <v>333800</v>
      </c>
    </row>
    <row r="27" spans="1:11" ht="21" customHeight="1" thickBot="1" x14ac:dyDescent="0.25">
      <c r="B27" s="875"/>
      <c r="C27" s="836"/>
      <c r="D27" s="691">
        <v>41260</v>
      </c>
      <c r="E27" s="838"/>
      <c r="F27" s="221">
        <v>22200</v>
      </c>
      <c r="G27" s="690" t="s">
        <v>844</v>
      </c>
      <c r="H27" s="871"/>
      <c r="I27" s="841"/>
      <c r="J27" s="844"/>
      <c r="K27" s="831"/>
    </row>
    <row r="28" spans="1:11" ht="21" customHeight="1" x14ac:dyDescent="0.2">
      <c r="B28" s="873" t="s">
        <v>829</v>
      </c>
      <c r="C28" s="835" t="s">
        <v>813</v>
      </c>
      <c r="D28" s="569" t="s">
        <v>845</v>
      </c>
      <c r="E28" s="837">
        <v>1500000</v>
      </c>
      <c r="F28" s="570" t="s">
        <v>821</v>
      </c>
      <c r="G28" s="568" t="s">
        <v>846</v>
      </c>
      <c r="H28" s="870">
        <f>12500*12</f>
        <v>150000</v>
      </c>
      <c r="I28" s="840">
        <f>H28</f>
        <v>150000</v>
      </c>
      <c r="J28" s="843">
        <v>45291</v>
      </c>
      <c r="K28" s="830">
        <f>E28-I28</f>
        <v>1350000</v>
      </c>
    </row>
    <row r="29" spans="1:11" ht="21" customHeight="1" thickBot="1" x14ac:dyDescent="0.25">
      <c r="B29" s="874"/>
      <c r="C29" s="869"/>
      <c r="D29" s="571">
        <v>41548</v>
      </c>
      <c r="E29" s="839"/>
      <c r="F29" s="572">
        <v>12500</v>
      </c>
      <c r="G29" s="516" t="s">
        <v>847</v>
      </c>
      <c r="H29" s="872"/>
      <c r="I29" s="842"/>
      <c r="J29" s="845"/>
      <c r="K29" s="832"/>
    </row>
    <row r="30" spans="1:11" ht="21" customHeight="1" x14ac:dyDescent="0.2">
      <c r="B30" s="873" t="s">
        <v>829</v>
      </c>
      <c r="C30" s="835" t="s">
        <v>813</v>
      </c>
      <c r="D30" s="569" t="s">
        <v>848</v>
      </c>
      <c r="E30" s="837">
        <v>1300000</v>
      </c>
      <c r="F30" s="570" t="s">
        <v>849</v>
      </c>
      <c r="G30" s="573" t="s">
        <v>850</v>
      </c>
      <c r="H30" s="870">
        <v>0</v>
      </c>
      <c r="I30" s="840">
        <v>0</v>
      </c>
      <c r="J30" s="843">
        <v>45657</v>
      </c>
      <c r="K30" s="830">
        <f>E30</f>
        <v>1300000</v>
      </c>
    </row>
    <row r="31" spans="1:11" ht="21" customHeight="1" thickBot="1" x14ac:dyDescent="0.25">
      <c r="B31" s="874"/>
      <c r="C31" s="869"/>
      <c r="D31" s="571">
        <v>41815</v>
      </c>
      <c r="E31" s="839"/>
      <c r="F31" s="572">
        <v>10834</v>
      </c>
      <c r="G31" s="516" t="s">
        <v>851</v>
      </c>
      <c r="H31" s="872"/>
      <c r="I31" s="842"/>
      <c r="J31" s="845"/>
      <c r="K31" s="832"/>
    </row>
    <row r="32" spans="1:11" x14ac:dyDescent="0.2">
      <c r="B32" s="833" t="s">
        <v>825</v>
      </c>
      <c r="C32" s="835" t="s">
        <v>813</v>
      </c>
      <c r="D32" s="567" t="s">
        <v>852</v>
      </c>
      <c r="E32" s="837">
        <v>681759.94</v>
      </c>
      <c r="F32" s="567">
        <v>42034</v>
      </c>
      <c r="G32" s="574" t="s">
        <v>853</v>
      </c>
      <c r="H32" s="870">
        <v>0</v>
      </c>
      <c r="I32" s="840">
        <v>0</v>
      </c>
      <c r="J32" s="843">
        <v>45657</v>
      </c>
      <c r="K32" s="830">
        <f>E32</f>
        <v>681759.94</v>
      </c>
    </row>
    <row r="33" spans="2:11" x14ac:dyDescent="0.2">
      <c r="B33" s="834"/>
      <c r="C33" s="836"/>
      <c r="D33" s="575"/>
      <c r="E33" s="838"/>
      <c r="F33" s="576"/>
      <c r="G33" s="577"/>
      <c r="H33" s="871"/>
      <c r="I33" s="841"/>
      <c r="J33" s="844"/>
      <c r="K33" s="831"/>
    </row>
    <row r="34" spans="2:11" ht="13.5" thickBot="1" x14ac:dyDescent="0.25">
      <c r="B34" s="868"/>
      <c r="C34" s="869"/>
      <c r="D34" s="571">
        <v>41890</v>
      </c>
      <c r="E34" s="839"/>
      <c r="F34" s="578">
        <v>5681.33</v>
      </c>
      <c r="G34" s="481" t="s">
        <v>854</v>
      </c>
      <c r="H34" s="872"/>
      <c r="I34" s="842"/>
      <c r="J34" s="845"/>
      <c r="K34" s="832"/>
    </row>
    <row r="35" spans="2:11" ht="20.25" customHeight="1" thickBot="1" x14ac:dyDescent="0.35">
      <c r="B35" s="819" t="s">
        <v>855</v>
      </c>
      <c r="C35" s="820"/>
      <c r="D35" s="820"/>
      <c r="E35" s="820"/>
      <c r="F35" s="820"/>
      <c r="G35" s="820"/>
      <c r="H35" s="820"/>
      <c r="I35" s="820"/>
      <c r="J35" s="820"/>
      <c r="K35" s="821"/>
    </row>
    <row r="36" spans="2:11" ht="43.5" customHeight="1" x14ac:dyDescent="0.2">
      <c r="B36" s="822" t="s">
        <v>602</v>
      </c>
      <c r="C36" s="317"/>
      <c r="D36" s="217" t="s">
        <v>381</v>
      </c>
      <c r="E36" s="218" t="s">
        <v>603</v>
      </c>
      <c r="F36" s="824" t="s">
        <v>604</v>
      </c>
      <c r="G36" s="826" t="s">
        <v>382</v>
      </c>
      <c r="H36" s="218" t="s">
        <v>605</v>
      </c>
      <c r="I36" s="218" t="s">
        <v>606</v>
      </c>
      <c r="J36" s="828" t="s">
        <v>607</v>
      </c>
      <c r="K36" s="219" t="s">
        <v>608</v>
      </c>
    </row>
    <row r="37" spans="2:11" ht="18" customHeight="1" x14ac:dyDescent="0.2">
      <c r="B37" s="823"/>
      <c r="C37" s="319"/>
      <c r="D37" s="468" t="s">
        <v>383</v>
      </c>
      <c r="E37" s="689" t="s">
        <v>67</v>
      </c>
      <c r="F37" s="825"/>
      <c r="G37" s="827"/>
      <c r="H37" s="689" t="s">
        <v>67</v>
      </c>
      <c r="I37" s="689" t="s">
        <v>67</v>
      </c>
      <c r="J37" s="829"/>
      <c r="K37" s="220" t="s">
        <v>609</v>
      </c>
    </row>
    <row r="38" spans="2:11" ht="12.75" customHeight="1" x14ac:dyDescent="0.2">
      <c r="B38" s="785" t="s">
        <v>610</v>
      </c>
      <c r="C38" s="797" t="s">
        <v>611</v>
      </c>
      <c r="D38" s="469"/>
      <c r="E38" s="789">
        <v>4011443.06</v>
      </c>
      <c r="F38" s="470" t="s">
        <v>612</v>
      </c>
      <c r="G38" s="224" t="s">
        <v>613</v>
      </c>
      <c r="H38" s="791">
        <f>33428.69*12</f>
        <v>401144.28</v>
      </c>
      <c r="I38" s="791">
        <f>2005721.51+H38</f>
        <v>2406865.79</v>
      </c>
      <c r="J38" s="793">
        <v>43449</v>
      </c>
      <c r="K38" s="798">
        <f>E38-I38</f>
        <v>1604577.27</v>
      </c>
    </row>
    <row r="39" spans="2:11" ht="12.75" customHeight="1" x14ac:dyDescent="0.2">
      <c r="B39" s="785"/>
      <c r="C39" s="797"/>
      <c r="D39" s="469" t="s">
        <v>614</v>
      </c>
      <c r="E39" s="789"/>
      <c r="F39" s="223">
        <v>33428.69</v>
      </c>
      <c r="G39" s="224" t="s">
        <v>615</v>
      </c>
      <c r="H39" s="791"/>
      <c r="I39" s="791"/>
      <c r="J39" s="793"/>
      <c r="K39" s="798"/>
    </row>
    <row r="40" spans="2:11" ht="12.75" customHeight="1" x14ac:dyDescent="0.2">
      <c r="B40" s="785" t="s">
        <v>610</v>
      </c>
      <c r="C40" s="797" t="s">
        <v>611</v>
      </c>
      <c r="D40" s="469"/>
      <c r="E40" s="789">
        <v>962746.33</v>
      </c>
      <c r="F40" s="470" t="s">
        <v>612</v>
      </c>
      <c r="G40" s="224" t="s">
        <v>613</v>
      </c>
      <c r="H40" s="810">
        <f>8022.89*12</f>
        <v>96274.680000000008</v>
      </c>
      <c r="I40" s="791">
        <f>481373.17+H40</f>
        <v>577647.85</v>
      </c>
      <c r="J40" s="793">
        <v>43449</v>
      </c>
      <c r="K40" s="798">
        <f>E40-I40</f>
        <v>385098.48</v>
      </c>
    </row>
    <row r="41" spans="2:11" ht="12.75" customHeight="1" x14ac:dyDescent="0.2">
      <c r="B41" s="785"/>
      <c r="C41" s="797"/>
      <c r="D41" s="469" t="s">
        <v>614</v>
      </c>
      <c r="E41" s="789"/>
      <c r="F41" s="223">
        <v>8022.89</v>
      </c>
      <c r="G41" s="224" t="s">
        <v>616</v>
      </c>
      <c r="H41" s="790"/>
      <c r="I41" s="791"/>
      <c r="J41" s="793"/>
      <c r="K41" s="798"/>
    </row>
    <row r="42" spans="2:11" ht="12.75" customHeight="1" x14ac:dyDescent="0.2">
      <c r="B42" s="785" t="s">
        <v>610</v>
      </c>
      <c r="C42" s="797" t="s">
        <v>611</v>
      </c>
      <c r="D42" s="469"/>
      <c r="E42" s="789">
        <v>2801674.98</v>
      </c>
      <c r="F42" s="470" t="s">
        <v>612</v>
      </c>
      <c r="G42" s="224" t="s">
        <v>613</v>
      </c>
      <c r="H42" s="810">
        <f>23347.29*12</f>
        <v>280167.48</v>
      </c>
      <c r="I42" s="791">
        <f>1400837.49+H42</f>
        <v>1681004.97</v>
      </c>
      <c r="J42" s="793">
        <v>43449</v>
      </c>
      <c r="K42" s="798">
        <f>E42-I42</f>
        <v>1120670.01</v>
      </c>
    </row>
    <row r="43" spans="2:11" ht="12.75" customHeight="1" x14ac:dyDescent="0.2">
      <c r="B43" s="785"/>
      <c r="C43" s="797"/>
      <c r="D43" s="469" t="s">
        <v>617</v>
      </c>
      <c r="E43" s="789"/>
      <c r="F43" s="223">
        <v>23347.29</v>
      </c>
      <c r="G43" s="224" t="s">
        <v>618</v>
      </c>
      <c r="H43" s="790"/>
      <c r="I43" s="791"/>
      <c r="J43" s="793"/>
      <c r="K43" s="798"/>
    </row>
    <row r="44" spans="2:11" ht="12.75" customHeight="1" x14ac:dyDescent="0.2">
      <c r="B44" s="785" t="s">
        <v>610</v>
      </c>
      <c r="C44" s="797" t="s">
        <v>611</v>
      </c>
      <c r="D44" s="469"/>
      <c r="E44" s="789">
        <v>672401.99</v>
      </c>
      <c r="F44" s="470" t="s">
        <v>612</v>
      </c>
      <c r="G44" s="224" t="s">
        <v>613</v>
      </c>
      <c r="H44" s="810">
        <f>5603.35*12</f>
        <v>67240.200000000012</v>
      </c>
      <c r="I44" s="791">
        <f>336200.99+H44</f>
        <v>403441.19</v>
      </c>
      <c r="J44" s="793">
        <v>43449</v>
      </c>
      <c r="K44" s="798">
        <f>E44-I44</f>
        <v>268960.8</v>
      </c>
    </row>
    <row r="45" spans="2:11" ht="12.75" customHeight="1" x14ac:dyDescent="0.2">
      <c r="B45" s="785"/>
      <c r="C45" s="797"/>
      <c r="D45" s="469" t="s">
        <v>617</v>
      </c>
      <c r="E45" s="789"/>
      <c r="F45" s="223">
        <v>5603.35</v>
      </c>
      <c r="G45" s="224" t="s">
        <v>619</v>
      </c>
      <c r="H45" s="790"/>
      <c r="I45" s="791"/>
      <c r="J45" s="793"/>
      <c r="K45" s="798"/>
    </row>
    <row r="46" spans="2:11" ht="12.75" customHeight="1" x14ac:dyDescent="0.2">
      <c r="B46" s="785" t="s">
        <v>610</v>
      </c>
      <c r="C46" s="797" t="s">
        <v>611</v>
      </c>
      <c r="D46" s="469"/>
      <c r="E46" s="789">
        <v>154129.57999999999</v>
      </c>
      <c r="F46" s="470" t="s">
        <v>612</v>
      </c>
      <c r="G46" s="224" t="s">
        <v>613</v>
      </c>
      <c r="H46" s="810">
        <f>1284.41*12</f>
        <v>15412.920000000002</v>
      </c>
      <c r="I46" s="791">
        <f>77064.79+H46</f>
        <v>92477.709999999992</v>
      </c>
      <c r="J46" s="793">
        <v>43449</v>
      </c>
      <c r="K46" s="798">
        <f>E46-I46</f>
        <v>61651.869999999995</v>
      </c>
    </row>
    <row r="47" spans="2:11" ht="12.75" customHeight="1" x14ac:dyDescent="0.2">
      <c r="B47" s="785"/>
      <c r="C47" s="797"/>
      <c r="D47" s="469" t="s">
        <v>620</v>
      </c>
      <c r="E47" s="789"/>
      <c r="F47" s="223">
        <v>1284.4100000000001</v>
      </c>
      <c r="G47" s="224" t="s">
        <v>621</v>
      </c>
      <c r="H47" s="790"/>
      <c r="I47" s="791"/>
      <c r="J47" s="793"/>
      <c r="K47" s="798"/>
    </row>
    <row r="48" spans="2:11" ht="12.75" customHeight="1" x14ac:dyDescent="0.2">
      <c r="B48" s="785" t="s">
        <v>610</v>
      </c>
      <c r="C48" s="797" t="s">
        <v>611</v>
      </c>
      <c r="D48" s="469"/>
      <c r="E48" s="789">
        <v>642206.57999999996</v>
      </c>
      <c r="F48" s="470" t="s">
        <v>612</v>
      </c>
      <c r="G48" s="224" t="s">
        <v>613</v>
      </c>
      <c r="H48" s="810">
        <f>5351.72*12</f>
        <v>64220.639999999999</v>
      </c>
      <c r="I48" s="791">
        <f>321103.29+H48</f>
        <v>385323.93</v>
      </c>
      <c r="J48" s="793">
        <v>43449</v>
      </c>
      <c r="K48" s="798">
        <f>E48-I48</f>
        <v>256882.64999999997</v>
      </c>
    </row>
    <row r="49" spans="2:11" ht="12.75" customHeight="1" x14ac:dyDescent="0.2">
      <c r="B49" s="785"/>
      <c r="C49" s="797"/>
      <c r="D49" s="469" t="s">
        <v>620</v>
      </c>
      <c r="E49" s="789"/>
      <c r="F49" s="223">
        <v>5351.72</v>
      </c>
      <c r="G49" s="224" t="s">
        <v>622</v>
      </c>
      <c r="H49" s="790"/>
      <c r="I49" s="791"/>
      <c r="J49" s="793"/>
      <c r="K49" s="798"/>
    </row>
    <row r="50" spans="2:11" ht="12.75" customHeight="1" x14ac:dyDescent="0.2">
      <c r="B50" s="785" t="s">
        <v>610</v>
      </c>
      <c r="C50" s="797" t="s">
        <v>611</v>
      </c>
      <c r="D50" s="469"/>
      <c r="E50" s="789">
        <v>1659695.94</v>
      </c>
      <c r="F50" s="470" t="s">
        <v>623</v>
      </c>
      <c r="G50" s="224" t="s">
        <v>613</v>
      </c>
      <c r="H50" s="810">
        <f>13830.8*12</f>
        <v>165969.59999999998</v>
      </c>
      <c r="I50" s="791">
        <f>1161787.18+H50</f>
        <v>1327756.7799999998</v>
      </c>
      <c r="J50" s="793">
        <v>42719</v>
      </c>
      <c r="K50" s="798">
        <f>E50-I50</f>
        <v>331939.16000000015</v>
      </c>
    </row>
    <row r="51" spans="2:11" ht="12.75" customHeight="1" x14ac:dyDescent="0.2">
      <c r="B51" s="785"/>
      <c r="C51" s="797"/>
      <c r="D51" s="469" t="s">
        <v>624</v>
      </c>
      <c r="E51" s="789"/>
      <c r="F51" s="223">
        <v>13830.8</v>
      </c>
      <c r="G51" s="224" t="s">
        <v>625</v>
      </c>
      <c r="H51" s="790"/>
      <c r="I51" s="791"/>
      <c r="J51" s="793"/>
      <c r="K51" s="798"/>
    </row>
    <row r="52" spans="2:11" ht="12.75" customHeight="1" x14ac:dyDescent="0.2">
      <c r="B52" s="785" t="s">
        <v>610</v>
      </c>
      <c r="C52" s="797" t="s">
        <v>611</v>
      </c>
      <c r="D52" s="469"/>
      <c r="E52" s="789">
        <v>331939.19</v>
      </c>
      <c r="F52" s="470" t="s">
        <v>623</v>
      </c>
      <c r="G52" s="224" t="s">
        <v>613</v>
      </c>
      <c r="H52" s="810">
        <f>2766.16*12</f>
        <v>33193.919999999998</v>
      </c>
      <c r="I52" s="791">
        <f>232357.43+H52</f>
        <v>265551.34999999998</v>
      </c>
      <c r="J52" s="793">
        <v>42719</v>
      </c>
      <c r="K52" s="798">
        <f>E52-I52</f>
        <v>66387.840000000026</v>
      </c>
    </row>
    <row r="53" spans="2:11" ht="12.75" customHeight="1" x14ac:dyDescent="0.2">
      <c r="B53" s="785"/>
      <c r="C53" s="797"/>
      <c r="D53" s="469" t="s">
        <v>624</v>
      </c>
      <c r="E53" s="789"/>
      <c r="F53" s="223">
        <v>2766.16</v>
      </c>
      <c r="G53" s="224" t="s">
        <v>626</v>
      </c>
      <c r="H53" s="790"/>
      <c r="I53" s="791"/>
      <c r="J53" s="793"/>
      <c r="K53" s="798"/>
    </row>
    <row r="54" spans="2:11" ht="12.75" customHeight="1" x14ac:dyDescent="0.2">
      <c r="B54" s="785" t="s">
        <v>610</v>
      </c>
      <c r="C54" s="797" t="s">
        <v>611</v>
      </c>
      <c r="D54" s="469"/>
      <c r="E54" s="789">
        <v>326461.42</v>
      </c>
      <c r="F54" s="470" t="s">
        <v>623</v>
      </c>
      <c r="G54" s="224" t="s">
        <v>613</v>
      </c>
      <c r="H54" s="810">
        <f>2720.51*12</f>
        <v>32646.120000000003</v>
      </c>
      <c r="I54" s="791">
        <f>228523+H54</f>
        <v>261169.12</v>
      </c>
      <c r="J54" s="793">
        <v>42719</v>
      </c>
      <c r="K54" s="798">
        <f>E54-I54</f>
        <v>65292.299999999988</v>
      </c>
    </row>
    <row r="55" spans="2:11" ht="12.75" customHeight="1" x14ac:dyDescent="0.2">
      <c r="B55" s="785"/>
      <c r="C55" s="797"/>
      <c r="D55" s="469" t="s">
        <v>624</v>
      </c>
      <c r="E55" s="789"/>
      <c r="F55" s="223">
        <v>2720.51</v>
      </c>
      <c r="G55" s="224" t="s">
        <v>627</v>
      </c>
      <c r="H55" s="790"/>
      <c r="I55" s="791"/>
      <c r="J55" s="793"/>
      <c r="K55" s="798"/>
    </row>
    <row r="56" spans="2:11" ht="12.75" customHeight="1" x14ac:dyDescent="0.2">
      <c r="B56" s="785" t="s">
        <v>610</v>
      </c>
      <c r="C56" s="797" t="s">
        <v>611</v>
      </c>
      <c r="D56" s="469"/>
      <c r="E56" s="789">
        <v>65292.29</v>
      </c>
      <c r="F56" s="470" t="s">
        <v>623</v>
      </c>
      <c r="G56" s="224" t="s">
        <v>613</v>
      </c>
      <c r="H56" s="791">
        <f>544.1*12</f>
        <v>6529.2000000000007</v>
      </c>
      <c r="I56" s="791">
        <f>45704.61+H56</f>
        <v>52233.81</v>
      </c>
      <c r="J56" s="793">
        <v>42719</v>
      </c>
      <c r="K56" s="798">
        <f>E56-I56</f>
        <v>13058.480000000003</v>
      </c>
    </row>
    <row r="57" spans="2:11" ht="12.75" customHeight="1" thickBot="1" x14ac:dyDescent="0.25">
      <c r="B57" s="807"/>
      <c r="C57" s="808"/>
      <c r="D57" s="471" t="s">
        <v>624</v>
      </c>
      <c r="E57" s="809"/>
      <c r="F57" s="221">
        <v>544.1</v>
      </c>
      <c r="G57" s="222" t="s">
        <v>628</v>
      </c>
      <c r="H57" s="810"/>
      <c r="I57" s="810"/>
      <c r="J57" s="811"/>
      <c r="K57" s="812"/>
    </row>
    <row r="58" spans="2:11" ht="12.75" customHeight="1" thickTop="1" x14ac:dyDescent="0.2">
      <c r="B58" s="813" t="s">
        <v>629</v>
      </c>
      <c r="C58" s="814" t="s">
        <v>611</v>
      </c>
      <c r="D58" s="472"/>
      <c r="E58" s="815">
        <v>1220349.01</v>
      </c>
      <c r="F58" s="473" t="s">
        <v>630</v>
      </c>
      <c r="G58" s="474" t="s">
        <v>631</v>
      </c>
      <c r="H58" s="816">
        <f>25423.94*12</f>
        <v>305087.27999999997</v>
      </c>
      <c r="I58" s="816">
        <f>686446.38+H58</f>
        <v>991533.65999999992</v>
      </c>
      <c r="J58" s="817">
        <v>42248</v>
      </c>
      <c r="K58" s="818">
        <f>E58-I58</f>
        <v>228815.35000000009</v>
      </c>
    </row>
    <row r="59" spans="2:11" ht="12.75" customHeight="1" x14ac:dyDescent="0.2">
      <c r="B59" s="807"/>
      <c r="C59" s="808"/>
      <c r="D59" s="471" t="s">
        <v>632</v>
      </c>
      <c r="E59" s="809"/>
      <c r="F59" s="221">
        <v>25423.94</v>
      </c>
      <c r="G59" s="222" t="s">
        <v>633</v>
      </c>
      <c r="H59" s="810"/>
      <c r="I59" s="810"/>
      <c r="J59" s="811"/>
      <c r="K59" s="812"/>
    </row>
    <row r="60" spans="2:11" ht="12.75" customHeight="1" x14ac:dyDescent="0.2">
      <c r="B60" s="785" t="s">
        <v>634</v>
      </c>
      <c r="C60" s="797" t="s">
        <v>611</v>
      </c>
      <c r="D60" s="469"/>
      <c r="E60" s="789">
        <v>500694.44</v>
      </c>
      <c r="F60" s="470" t="s">
        <v>635</v>
      </c>
      <c r="G60" s="224" t="s">
        <v>636</v>
      </c>
      <c r="H60" s="791">
        <f>14305.56*12-0.16</f>
        <v>171666.56</v>
      </c>
      <c r="I60" s="791">
        <f>329027.88+H60</f>
        <v>500694.44</v>
      </c>
      <c r="J60" s="793">
        <v>42004</v>
      </c>
      <c r="K60" s="798">
        <f>E60-I60</f>
        <v>0</v>
      </c>
    </row>
    <row r="61" spans="2:11" ht="12.75" customHeight="1" thickBot="1" x14ac:dyDescent="0.25">
      <c r="B61" s="799"/>
      <c r="C61" s="800"/>
      <c r="D61" s="475" t="s">
        <v>637</v>
      </c>
      <c r="E61" s="801"/>
      <c r="F61" s="476">
        <v>14305.56</v>
      </c>
      <c r="G61" s="477" t="s">
        <v>638</v>
      </c>
      <c r="H61" s="802"/>
      <c r="I61" s="802"/>
      <c r="J61" s="803"/>
      <c r="K61" s="804"/>
    </row>
    <row r="62" spans="2:11" ht="12.75" customHeight="1" thickTop="1" x14ac:dyDescent="0.2">
      <c r="B62" s="784" t="s">
        <v>639</v>
      </c>
      <c r="C62" s="805" t="s">
        <v>611</v>
      </c>
      <c r="D62" s="478" t="s">
        <v>640</v>
      </c>
      <c r="E62" s="788">
        <v>586770.98</v>
      </c>
      <c r="F62" s="479" t="s">
        <v>641</v>
      </c>
      <c r="G62" s="480" t="s">
        <v>636</v>
      </c>
      <c r="H62" s="790">
        <f>4889.76*12</f>
        <v>58677.120000000003</v>
      </c>
      <c r="I62" s="790">
        <f>176031.36+H62</f>
        <v>234708.47999999998</v>
      </c>
      <c r="J62" s="792">
        <v>44196</v>
      </c>
      <c r="K62" s="806">
        <f>E62-I62</f>
        <v>352062.5</v>
      </c>
    </row>
    <row r="63" spans="2:11" ht="12.75" customHeight="1" x14ac:dyDescent="0.2">
      <c r="B63" s="785"/>
      <c r="C63" s="797"/>
      <c r="D63" s="469" t="s">
        <v>642</v>
      </c>
      <c r="E63" s="789"/>
      <c r="F63" s="223">
        <v>4889.76</v>
      </c>
      <c r="G63" s="224" t="s">
        <v>643</v>
      </c>
      <c r="H63" s="791"/>
      <c r="I63" s="791"/>
      <c r="J63" s="793"/>
      <c r="K63" s="798"/>
    </row>
    <row r="64" spans="2:11" ht="12.75" customHeight="1" x14ac:dyDescent="0.2">
      <c r="B64" s="785" t="s">
        <v>644</v>
      </c>
      <c r="C64" s="797" t="s">
        <v>611</v>
      </c>
      <c r="D64" s="469" t="s">
        <v>640</v>
      </c>
      <c r="E64" s="789">
        <v>1259891.28</v>
      </c>
      <c r="F64" s="470" t="s">
        <v>641</v>
      </c>
      <c r="G64" s="224" t="s">
        <v>636</v>
      </c>
      <c r="H64" s="791">
        <f>10499.09*12</f>
        <v>125989.08</v>
      </c>
      <c r="I64" s="791">
        <f>377967.24+H64</f>
        <v>503956.32</v>
      </c>
      <c r="J64" s="793">
        <v>44196</v>
      </c>
      <c r="K64" s="798">
        <f>E64-I64</f>
        <v>755934.96</v>
      </c>
    </row>
    <row r="65" spans="2:11" ht="12.75" customHeight="1" x14ac:dyDescent="0.2">
      <c r="B65" s="785"/>
      <c r="C65" s="797"/>
      <c r="D65" s="469" t="s">
        <v>645</v>
      </c>
      <c r="E65" s="789"/>
      <c r="F65" s="223">
        <v>10499.09</v>
      </c>
      <c r="G65" s="224" t="s">
        <v>646</v>
      </c>
      <c r="H65" s="791"/>
      <c r="I65" s="791"/>
      <c r="J65" s="793"/>
      <c r="K65" s="798"/>
    </row>
    <row r="66" spans="2:11" ht="12.75" customHeight="1" x14ac:dyDescent="0.2">
      <c r="B66" s="785" t="s">
        <v>644</v>
      </c>
      <c r="C66" s="797" t="s">
        <v>611</v>
      </c>
      <c r="D66" s="469" t="s">
        <v>647</v>
      </c>
      <c r="E66" s="789">
        <v>2308534.42</v>
      </c>
      <c r="F66" s="470" t="s">
        <v>648</v>
      </c>
      <c r="G66" s="224" t="s">
        <v>636</v>
      </c>
      <c r="H66" s="791">
        <v>0</v>
      </c>
      <c r="I66" s="791">
        <v>1424422</v>
      </c>
      <c r="J66" s="793">
        <v>42185</v>
      </c>
      <c r="K66" s="798">
        <f>E66-I66</f>
        <v>884112.41999999993</v>
      </c>
    </row>
    <row r="67" spans="2:11" ht="12.75" customHeight="1" thickBot="1" x14ac:dyDescent="0.25">
      <c r="B67" s="799"/>
      <c r="C67" s="800"/>
      <c r="D67" s="475" t="s">
        <v>649</v>
      </c>
      <c r="E67" s="801"/>
      <c r="F67" s="476">
        <v>49118</v>
      </c>
      <c r="G67" s="477" t="s">
        <v>650</v>
      </c>
      <c r="H67" s="802"/>
      <c r="I67" s="802"/>
      <c r="J67" s="803"/>
      <c r="K67" s="804"/>
    </row>
    <row r="68" spans="2:11" ht="12.75" customHeight="1" thickTop="1" x14ac:dyDescent="0.2">
      <c r="B68" s="784" t="s">
        <v>651</v>
      </c>
      <c r="C68" s="786" t="s">
        <v>652</v>
      </c>
      <c r="D68" s="478"/>
      <c r="E68" s="788">
        <v>861068.31</v>
      </c>
      <c r="F68" s="479" t="s">
        <v>653</v>
      </c>
      <c r="G68" s="480" t="s">
        <v>654</v>
      </c>
      <c r="H68" s="790">
        <v>18311.419999999998</v>
      </c>
      <c r="I68" s="790">
        <f>274156.41+H68</f>
        <v>292467.82999999996</v>
      </c>
      <c r="J68" s="792">
        <v>53345</v>
      </c>
      <c r="K68" s="794">
        <f>E68-I68</f>
        <v>568600.4800000001</v>
      </c>
    </row>
    <row r="69" spans="2:11" ht="12.75" customHeight="1" x14ac:dyDescent="0.2">
      <c r="B69" s="785"/>
      <c r="C69" s="787"/>
      <c r="D69" s="469" t="s">
        <v>655</v>
      </c>
      <c r="E69" s="789"/>
      <c r="F69" s="223"/>
      <c r="G69" s="224"/>
      <c r="H69" s="791"/>
      <c r="I69" s="791"/>
      <c r="J69" s="793"/>
      <c r="K69" s="795"/>
    </row>
    <row r="70" spans="2:11" ht="12.75" customHeight="1" x14ac:dyDescent="0.2">
      <c r="B70" s="785" t="s">
        <v>656</v>
      </c>
      <c r="C70" s="796" t="s">
        <v>652</v>
      </c>
      <c r="D70" s="469"/>
      <c r="E70" s="789">
        <v>974861.56</v>
      </c>
      <c r="F70" s="470" t="s">
        <v>657</v>
      </c>
      <c r="G70" s="224" t="s">
        <v>658</v>
      </c>
      <c r="H70" s="791">
        <f>32530*2</f>
        <v>65060</v>
      </c>
      <c r="I70" s="791">
        <f>455420+H70</f>
        <v>520480</v>
      </c>
      <c r="J70" s="793">
        <v>44558</v>
      </c>
      <c r="K70" s="795">
        <f>E70-I70</f>
        <v>454381.56000000006</v>
      </c>
    </row>
    <row r="71" spans="2:11" ht="12.75" customHeight="1" thickBot="1" x14ac:dyDescent="0.25">
      <c r="B71" s="919"/>
      <c r="C71" s="920"/>
      <c r="D71" s="921" t="s">
        <v>624</v>
      </c>
      <c r="E71" s="922"/>
      <c r="F71" s="923"/>
      <c r="G71" s="481"/>
      <c r="H71" s="924"/>
      <c r="I71" s="924"/>
      <c r="J71" s="925"/>
      <c r="K71" s="926"/>
    </row>
    <row r="72" spans="2:11" x14ac:dyDescent="0.2">
      <c r="K72" s="216"/>
    </row>
    <row r="73" spans="2:11" x14ac:dyDescent="0.2">
      <c r="K73" s="216"/>
    </row>
  </sheetData>
  <mergeCells count="214">
    <mergeCell ref="B2:K2"/>
    <mergeCell ref="B3:K3"/>
    <mergeCell ref="J20:J21"/>
    <mergeCell ref="J22:J23"/>
    <mergeCell ref="H18:H19"/>
    <mergeCell ref="I18:I19"/>
    <mergeCell ref="B20:B21"/>
    <mergeCell ref="C20:C21"/>
    <mergeCell ref="E20:E21"/>
    <mergeCell ref="H20:H21"/>
    <mergeCell ref="I20:I21"/>
    <mergeCell ref="B22:B23"/>
    <mergeCell ref="C22:C23"/>
    <mergeCell ref="E22:E23"/>
    <mergeCell ref="H22:H23"/>
    <mergeCell ref="I22:I23"/>
    <mergeCell ref="B15:B17"/>
    <mergeCell ref="C15:C17"/>
    <mergeCell ref="E15:E17"/>
    <mergeCell ref="H15:H17"/>
    <mergeCell ref="I15:I17"/>
    <mergeCell ref="J15:J17"/>
    <mergeCell ref="B18:B19"/>
    <mergeCell ref="C18:C19"/>
    <mergeCell ref="J18:J19"/>
    <mergeCell ref="K18:K19"/>
    <mergeCell ref="K20:K21"/>
    <mergeCell ref="J24:J25"/>
    <mergeCell ref="B9:B11"/>
    <mergeCell ref="C9:C11"/>
    <mergeCell ref="E9:E11"/>
    <mergeCell ref="H9:H11"/>
    <mergeCell ref="I9:I11"/>
    <mergeCell ref="J9:J11"/>
    <mergeCell ref="B24:B25"/>
    <mergeCell ref="C24:C25"/>
    <mergeCell ref="E24:E25"/>
    <mergeCell ref="H24:H25"/>
    <mergeCell ref="I24:I25"/>
    <mergeCell ref="E18:E19"/>
    <mergeCell ref="K9:K11"/>
    <mergeCell ref="B26:B27"/>
    <mergeCell ref="C26:C27"/>
    <mergeCell ref="E26:E27"/>
    <mergeCell ref="H26:H27"/>
    <mergeCell ref="I26:I27"/>
    <mergeCell ref="J26:J27"/>
    <mergeCell ref="K26:K27"/>
    <mergeCell ref="K24:K25"/>
    <mergeCell ref="K22:K23"/>
    <mergeCell ref="B32:B34"/>
    <mergeCell ref="C32:C34"/>
    <mergeCell ref="E32:E34"/>
    <mergeCell ref="H32:H34"/>
    <mergeCell ref="I32:I34"/>
    <mergeCell ref="J32:J34"/>
    <mergeCell ref="K32:K34"/>
    <mergeCell ref="J28:J29"/>
    <mergeCell ref="K28:K29"/>
    <mergeCell ref="B30:B31"/>
    <mergeCell ref="C30:C31"/>
    <mergeCell ref="E30:E31"/>
    <mergeCell ref="H30:H31"/>
    <mergeCell ref="I30:I31"/>
    <mergeCell ref="J30:J31"/>
    <mergeCell ref="K30:K31"/>
    <mergeCell ref="B28:B29"/>
    <mergeCell ref="C28:C29"/>
    <mergeCell ref="E28:E29"/>
    <mergeCell ref="H28:H29"/>
    <mergeCell ref="I28:I29"/>
    <mergeCell ref="F4:F5"/>
    <mergeCell ref="G4:G5"/>
    <mergeCell ref="B6:B8"/>
    <mergeCell ref="C6:C8"/>
    <mergeCell ref="E6:E8"/>
    <mergeCell ref="H6:H8"/>
    <mergeCell ref="I6:I8"/>
    <mergeCell ref="J6:J8"/>
    <mergeCell ref="K6:K8"/>
    <mergeCell ref="B4:B5"/>
    <mergeCell ref="J4:J5"/>
    <mergeCell ref="B12:B14"/>
    <mergeCell ref="C12:C14"/>
    <mergeCell ref="E12:E14"/>
    <mergeCell ref="H12:H14"/>
    <mergeCell ref="I12:I14"/>
    <mergeCell ref="J12:J14"/>
    <mergeCell ref="K12:K14"/>
    <mergeCell ref="K15:K17"/>
    <mergeCell ref="B35:K35"/>
    <mergeCell ref="B36:B37"/>
    <mergeCell ref="F36:F37"/>
    <mergeCell ref="G36:G37"/>
    <mergeCell ref="J36:J37"/>
    <mergeCell ref="B38:B39"/>
    <mergeCell ref="C38:C39"/>
    <mergeCell ref="E38:E39"/>
    <mergeCell ref="H38:H39"/>
    <mergeCell ref="I38:I39"/>
    <mergeCell ref="J38:J39"/>
    <mergeCell ref="K38:K39"/>
    <mergeCell ref="B40:B41"/>
    <mergeCell ref="C40:C41"/>
    <mergeCell ref="E40:E41"/>
    <mergeCell ref="H40:H41"/>
    <mergeCell ref="I40:I41"/>
    <mergeCell ref="J40:J41"/>
    <mergeCell ref="K40:K41"/>
    <mergeCell ref="B42:B43"/>
    <mergeCell ref="C42:C43"/>
    <mergeCell ref="E42:E43"/>
    <mergeCell ref="H42:H43"/>
    <mergeCell ref="I42:I43"/>
    <mergeCell ref="J42:J43"/>
    <mergeCell ref="K42:K43"/>
    <mergeCell ref="B44:B45"/>
    <mergeCell ref="C44:C45"/>
    <mergeCell ref="E44:E45"/>
    <mergeCell ref="H44:H45"/>
    <mergeCell ref="I44:I45"/>
    <mergeCell ref="J44:J45"/>
    <mergeCell ref="K44:K45"/>
    <mergeCell ref="B46:B47"/>
    <mergeCell ref="C46:C47"/>
    <mergeCell ref="E46:E47"/>
    <mergeCell ref="H46:H47"/>
    <mergeCell ref="I46:I47"/>
    <mergeCell ref="J46:J47"/>
    <mergeCell ref="K46:K47"/>
    <mergeCell ref="B48:B49"/>
    <mergeCell ref="C48:C49"/>
    <mergeCell ref="E48:E49"/>
    <mergeCell ref="H48:H49"/>
    <mergeCell ref="I48:I49"/>
    <mergeCell ref="J48:J49"/>
    <mergeCell ref="K48:K49"/>
    <mergeCell ref="B50:B51"/>
    <mergeCell ref="C50:C51"/>
    <mergeCell ref="E50:E51"/>
    <mergeCell ref="H50:H51"/>
    <mergeCell ref="I50:I51"/>
    <mergeCell ref="J50:J51"/>
    <mergeCell ref="K50:K51"/>
    <mergeCell ref="B52:B53"/>
    <mergeCell ref="C52:C53"/>
    <mergeCell ref="E52:E53"/>
    <mergeCell ref="H52:H53"/>
    <mergeCell ref="I52:I53"/>
    <mergeCell ref="J52:J53"/>
    <mergeCell ref="K52:K53"/>
    <mergeCell ref="B54:B55"/>
    <mergeCell ref="C54:C55"/>
    <mergeCell ref="E54:E55"/>
    <mergeCell ref="H54:H55"/>
    <mergeCell ref="I54:I55"/>
    <mergeCell ref="J54:J55"/>
    <mergeCell ref="K54:K55"/>
    <mergeCell ref="B56:B57"/>
    <mergeCell ref="C56:C57"/>
    <mergeCell ref="E56:E57"/>
    <mergeCell ref="H56:H57"/>
    <mergeCell ref="I56:I57"/>
    <mergeCell ref="J56:J57"/>
    <mergeCell ref="K56:K57"/>
    <mergeCell ref="B58:B59"/>
    <mergeCell ref="C58:C59"/>
    <mergeCell ref="E58:E59"/>
    <mergeCell ref="H58:H59"/>
    <mergeCell ref="I58:I59"/>
    <mergeCell ref="J58:J59"/>
    <mergeCell ref="K58:K59"/>
    <mergeCell ref="B60:B61"/>
    <mergeCell ref="C60:C61"/>
    <mergeCell ref="E60:E61"/>
    <mergeCell ref="H60:H61"/>
    <mergeCell ref="I60:I61"/>
    <mergeCell ref="J60:J61"/>
    <mergeCell ref="K60:K61"/>
    <mergeCell ref="B62:B63"/>
    <mergeCell ref="C62:C63"/>
    <mergeCell ref="E62:E63"/>
    <mergeCell ref="H62:H63"/>
    <mergeCell ref="I62:I63"/>
    <mergeCell ref="J62:J63"/>
    <mergeCell ref="K62:K63"/>
    <mergeCell ref="B64:B65"/>
    <mergeCell ref="C64:C65"/>
    <mergeCell ref="E64:E65"/>
    <mergeCell ref="H64:H65"/>
    <mergeCell ref="I64:I65"/>
    <mergeCell ref="J64:J65"/>
    <mergeCell ref="K64:K65"/>
    <mergeCell ref="B66:B67"/>
    <mergeCell ref="C66:C67"/>
    <mergeCell ref="E66:E67"/>
    <mergeCell ref="H66:H67"/>
    <mergeCell ref="I66:I67"/>
    <mergeCell ref="J66:J67"/>
    <mergeCell ref="K66:K67"/>
    <mergeCell ref="B68:B69"/>
    <mergeCell ref="C68:C69"/>
    <mergeCell ref="E68:E69"/>
    <mergeCell ref="H68:H69"/>
    <mergeCell ref="I68:I69"/>
    <mergeCell ref="J68:J69"/>
    <mergeCell ref="K68:K69"/>
    <mergeCell ref="B70:B71"/>
    <mergeCell ref="C70:C71"/>
    <mergeCell ref="E70:E71"/>
    <mergeCell ref="H70:H71"/>
    <mergeCell ref="I70:I71"/>
    <mergeCell ref="J70:J71"/>
    <mergeCell ref="K70:K71"/>
  </mergeCells>
  <pageMargins left="0.43307086614173229" right="0.23622047244094491" top="0.51181102362204722" bottom="0.19685039370078741" header="0.31496062992125984" footer="0.19685039370078741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56"/>
  <sheetViews>
    <sheetView workbookViewId="0"/>
  </sheetViews>
  <sheetFormatPr defaultColWidth="9.7109375" defaultRowHeight="12.75" x14ac:dyDescent="0.2"/>
  <cols>
    <col min="1" max="1" width="1.85546875" style="225" customWidth="1"/>
    <col min="2" max="2" width="23.140625" style="225" customWidth="1"/>
    <col min="3" max="3" width="8.42578125" style="225" customWidth="1"/>
    <col min="4" max="4" width="9.140625" style="225" customWidth="1"/>
    <col min="5" max="5" width="9" style="225" customWidth="1"/>
    <col min="6" max="6" width="9.140625" style="225" customWidth="1"/>
    <col min="7" max="7" width="8.7109375" style="225" customWidth="1"/>
    <col min="8" max="8" width="10.28515625" style="225" customWidth="1"/>
    <col min="9" max="9" width="8.5703125" style="225" customWidth="1"/>
    <col min="10" max="245" width="9.140625" style="225" customWidth="1"/>
    <col min="246" max="246" width="1.85546875" style="225" customWidth="1"/>
    <col min="247" max="247" width="42" style="225" customWidth="1"/>
    <col min="248" max="248" width="11.7109375" style="225" customWidth="1"/>
    <col min="249" max="249" width="10.140625" style="225" customWidth="1"/>
    <col min="250" max="250" width="10.28515625" style="225" customWidth="1"/>
    <col min="251" max="251" width="10.140625" style="225" customWidth="1"/>
    <col min="252" max="252" width="11.5703125" style="225" customWidth="1"/>
    <col min="253" max="253" width="10.28515625" style="225" customWidth="1"/>
    <col min="254" max="254" width="1.7109375" style="225" customWidth="1"/>
    <col min="255" max="255" width="16.7109375" style="225" customWidth="1"/>
    <col min="256" max="16384" width="9.7109375" style="225"/>
  </cols>
  <sheetData>
    <row r="2" spans="2:10" ht="15" customHeight="1" x14ac:dyDescent="0.2">
      <c r="G2" s="226"/>
      <c r="H2" s="888" t="s">
        <v>465</v>
      </c>
      <c r="I2" s="888"/>
      <c r="J2" s="888"/>
    </row>
    <row r="3" spans="2:10" ht="10.5" customHeight="1" x14ac:dyDescent="0.2">
      <c r="E3" s="226"/>
    </row>
    <row r="4" spans="2:10" ht="51" customHeight="1" x14ac:dyDescent="0.2">
      <c r="B4" s="890" t="s">
        <v>869</v>
      </c>
      <c r="C4" s="890"/>
      <c r="D4" s="890"/>
      <c r="E4" s="890"/>
      <c r="F4" s="890"/>
      <c r="G4" s="890"/>
      <c r="H4" s="890"/>
      <c r="I4" s="890"/>
      <c r="J4" s="890"/>
    </row>
    <row r="5" spans="2:10" ht="9" customHeight="1" x14ac:dyDescent="0.2">
      <c r="B5" s="692"/>
      <c r="C5" s="692"/>
      <c r="D5" s="692"/>
      <c r="E5" s="692"/>
      <c r="F5" s="692"/>
      <c r="G5" s="692"/>
      <c r="H5" s="692"/>
      <c r="I5" s="692"/>
    </row>
    <row r="6" spans="2:10" ht="52.5" customHeight="1" x14ac:dyDescent="0.2">
      <c r="B6" s="889" t="s">
        <v>870</v>
      </c>
      <c r="C6" s="889"/>
      <c r="D6" s="889"/>
      <c r="E6" s="889"/>
      <c r="F6" s="889"/>
      <c r="G6" s="889"/>
      <c r="H6" s="889"/>
      <c r="I6" s="889"/>
      <c r="J6" s="889"/>
    </row>
    <row r="7" spans="2:10" ht="3.75" customHeight="1" thickBot="1" x14ac:dyDescent="0.25"/>
    <row r="8" spans="2:10" ht="15.75" thickBot="1" x14ac:dyDescent="0.3">
      <c r="B8" s="256"/>
      <c r="C8" s="257">
        <v>2007</v>
      </c>
      <c r="D8" s="257">
        <v>2008</v>
      </c>
      <c r="E8" s="258">
        <v>2009</v>
      </c>
      <c r="F8" s="257">
        <v>2010</v>
      </c>
      <c r="G8" s="257">
        <v>2011</v>
      </c>
      <c r="H8" s="257">
        <v>2012</v>
      </c>
      <c r="I8" s="326">
        <v>2013</v>
      </c>
      <c r="J8" s="326">
        <v>2014</v>
      </c>
    </row>
    <row r="9" spans="2:10" ht="15.75" thickTop="1" x14ac:dyDescent="0.25">
      <c r="B9" s="227" t="s">
        <v>384</v>
      </c>
      <c r="C9" s="70">
        <v>56437</v>
      </c>
      <c r="D9" s="228">
        <v>56365</v>
      </c>
      <c r="E9" s="229">
        <v>55808</v>
      </c>
      <c r="F9" s="249">
        <v>55670</v>
      </c>
      <c r="G9" s="334">
        <v>55537</v>
      </c>
      <c r="H9" s="335">
        <v>55523</v>
      </c>
      <c r="I9" s="509">
        <v>55452</v>
      </c>
      <c r="J9" s="327">
        <v>55338</v>
      </c>
    </row>
    <row r="10" spans="2:10" ht="1.5" customHeight="1" x14ac:dyDescent="0.25">
      <c r="B10" s="230"/>
      <c r="C10" s="65"/>
      <c r="D10" s="65"/>
      <c r="E10" s="231"/>
      <c r="F10" s="250"/>
      <c r="G10" s="336"/>
      <c r="H10" s="337"/>
      <c r="I10" s="510"/>
      <c r="J10" s="328"/>
    </row>
    <row r="11" spans="2:10" ht="15" x14ac:dyDescent="0.25">
      <c r="B11" s="230" t="s">
        <v>385</v>
      </c>
      <c r="C11" s="232">
        <f>299486/30.126</f>
        <v>9941.1139879174134</v>
      </c>
      <c r="D11" s="232">
        <f>340490/30.126</f>
        <v>11302.197437429462</v>
      </c>
      <c r="E11" s="233">
        <v>12629</v>
      </c>
      <c r="F11" s="251">
        <v>14817</v>
      </c>
      <c r="G11" s="232">
        <v>10995</v>
      </c>
      <c r="H11" s="338">
        <v>8649</v>
      </c>
      <c r="I11" s="511">
        <v>9293</v>
      </c>
      <c r="J11" s="329">
        <v>16598</v>
      </c>
    </row>
    <row r="12" spans="2:10" ht="30" x14ac:dyDescent="0.25">
      <c r="B12" s="505" t="s">
        <v>386</v>
      </c>
      <c r="C12" s="235">
        <f>(21230+545+13367)/30.126</f>
        <v>1166.5006970722964</v>
      </c>
      <c r="D12" s="235">
        <f>(8832+18798)/30.126</f>
        <v>917.14797849034051</v>
      </c>
      <c r="E12" s="233">
        <v>1347</v>
      </c>
      <c r="F12" s="251">
        <v>2103</v>
      </c>
      <c r="G12" s="232">
        <v>1646</v>
      </c>
      <c r="H12" s="338">
        <v>3649</v>
      </c>
      <c r="I12" s="511">
        <v>2006</v>
      </c>
      <c r="J12" s="329">
        <v>1785</v>
      </c>
    </row>
    <row r="13" spans="2:10" ht="30" x14ac:dyDescent="0.25">
      <c r="B13" s="506" t="s">
        <v>387</v>
      </c>
      <c r="C13" s="70">
        <f t="shared" ref="C13:H13" si="0">C11/C9*1000</f>
        <v>176.14532997709682</v>
      </c>
      <c r="D13" s="70">
        <f t="shared" si="0"/>
        <v>200.51800651875209</v>
      </c>
      <c r="E13" s="229">
        <f t="shared" si="0"/>
        <v>226.29372133027522</v>
      </c>
      <c r="F13" s="249">
        <f t="shared" si="0"/>
        <v>266.15771510687983</v>
      </c>
      <c r="G13" s="228">
        <f t="shared" si="0"/>
        <v>197.9761240254245</v>
      </c>
      <c r="H13" s="335">
        <f t="shared" si="0"/>
        <v>155.77328314392233</v>
      </c>
      <c r="I13" s="509">
        <f>I11/I9*1000</f>
        <v>167.5863810142105</v>
      </c>
      <c r="J13" s="327">
        <f>J11/J9*1000</f>
        <v>299.93855939860492</v>
      </c>
    </row>
    <row r="14" spans="2:10" ht="15" x14ac:dyDescent="0.25">
      <c r="B14" s="506" t="s">
        <v>388</v>
      </c>
      <c r="C14" s="70">
        <f>745947/30.126</f>
        <v>24760.904202350128</v>
      </c>
      <c r="D14" s="70">
        <f>884825/30.126</f>
        <v>29370.809267742148</v>
      </c>
      <c r="E14" s="229">
        <v>28870</v>
      </c>
      <c r="F14" s="249">
        <v>26753</v>
      </c>
      <c r="G14" s="228">
        <v>28520</v>
      </c>
      <c r="H14" s="335">
        <v>29997</v>
      </c>
      <c r="I14" s="509">
        <v>31393</v>
      </c>
      <c r="J14" s="327">
        <v>31923</v>
      </c>
    </row>
    <row r="15" spans="2:10" ht="30" x14ac:dyDescent="0.25">
      <c r="B15" s="507" t="s">
        <v>389</v>
      </c>
      <c r="C15" s="237"/>
      <c r="D15" s="237"/>
      <c r="E15" s="236"/>
      <c r="F15" s="252"/>
      <c r="G15" s="339"/>
      <c r="H15" s="340"/>
      <c r="I15" s="512"/>
      <c r="J15" s="330"/>
    </row>
    <row r="16" spans="2:10" ht="15" x14ac:dyDescent="0.25">
      <c r="B16" s="230" t="s">
        <v>390</v>
      </c>
      <c r="C16" s="238">
        <v>0.42759999999999998</v>
      </c>
      <c r="D16" s="238">
        <f t="shared" ref="D16:J16" si="1">D11/C14</f>
        <v>0.45645334051883041</v>
      </c>
      <c r="E16" s="239">
        <f t="shared" si="1"/>
        <v>0.42998474726640862</v>
      </c>
      <c r="F16" s="253">
        <f t="shared" si="1"/>
        <v>0.51323172843782472</v>
      </c>
      <c r="G16" s="341">
        <f t="shared" si="1"/>
        <v>0.41098194594998694</v>
      </c>
      <c r="H16" s="342">
        <f t="shared" si="1"/>
        <v>0.30326086956521742</v>
      </c>
      <c r="I16" s="513">
        <f t="shared" si="1"/>
        <v>0.3097976464313098</v>
      </c>
      <c r="J16" s="331">
        <f t="shared" si="1"/>
        <v>0.52871659287102224</v>
      </c>
    </row>
    <row r="17" spans="2:10" ht="30" x14ac:dyDescent="0.25">
      <c r="B17" s="507" t="s">
        <v>391</v>
      </c>
      <c r="C17" s="240"/>
      <c r="D17" s="240"/>
      <c r="E17" s="234"/>
      <c r="F17" s="254"/>
      <c r="G17" s="343"/>
      <c r="H17" s="344"/>
      <c r="I17" s="514"/>
      <c r="J17" s="332"/>
    </row>
    <row r="18" spans="2:10" ht="30.75" thickBot="1" x14ac:dyDescent="0.3">
      <c r="B18" s="508" t="s">
        <v>392</v>
      </c>
      <c r="C18" s="241">
        <v>5.0200000000000002E-2</v>
      </c>
      <c r="D18" s="241">
        <f t="shared" ref="D18:J18" si="2">D12/C14</f>
        <v>3.7040165051940688E-2</v>
      </c>
      <c r="E18" s="242">
        <f t="shared" si="2"/>
        <v>4.5861861950103132E-2</v>
      </c>
      <c r="F18" s="255">
        <f t="shared" si="2"/>
        <v>7.2843782473155524E-2</v>
      </c>
      <c r="G18" s="345">
        <f t="shared" si="2"/>
        <v>6.1525810189511455E-2</v>
      </c>
      <c r="H18" s="346">
        <f t="shared" si="2"/>
        <v>0.127945301542777</v>
      </c>
      <c r="I18" s="515">
        <f t="shared" si="2"/>
        <v>6.687335400206687E-2</v>
      </c>
      <c r="J18" s="333">
        <f t="shared" si="2"/>
        <v>5.6859809511674575E-2</v>
      </c>
    </row>
    <row r="19" spans="2:10" ht="15" x14ac:dyDescent="0.25">
      <c r="B19" s="243"/>
      <c r="C19" s="244"/>
      <c r="D19" s="244"/>
      <c r="E19" s="244"/>
      <c r="H19" s="325"/>
    </row>
    <row r="20" spans="2:10" ht="15" x14ac:dyDescent="0.25">
      <c r="B20" s="243"/>
      <c r="C20" s="244"/>
      <c r="D20" s="244"/>
      <c r="E20" s="244"/>
    </row>
    <row r="21" spans="2:10" ht="15" x14ac:dyDescent="0.25">
      <c r="B21" s="245" t="s">
        <v>393</v>
      </c>
      <c r="C21" s="246"/>
      <c r="D21" s="244"/>
      <c r="E21" s="244"/>
    </row>
    <row r="22" spans="2:10" ht="15" x14ac:dyDescent="0.25">
      <c r="B22" s="245" t="s">
        <v>394</v>
      </c>
      <c r="C22" s="246"/>
      <c r="D22" s="244"/>
      <c r="E22" s="244"/>
    </row>
    <row r="23" spans="2:10" ht="15" x14ac:dyDescent="0.25">
      <c r="B23" s="245" t="s">
        <v>395</v>
      </c>
      <c r="C23" s="246"/>
      <c r="D23" s="244"/>
      <c r="E23" s="244"/>
    </row>
    <row r="24" spans="2:10" ht="15" x14ac:dyDescent="0.25">
      <c r="B24" s="245" t="s">
        <v>396</v>
      </c>
      <c r="C24" s="246"/>
      <c r="D24" s="244"/>
      <c r="E24" s="244"/>
    </row>
    <row r="25" spans="2:10" ht="15" x14ac:dyDescent="0.25">
      <c r="B25" s="245" t="s">
        <v>397</v>
      </c>
      <c r="C25" s="246"/>
      <c r="D25" s="244"/>
      <c r="E25" s="244"/>
    </row>
    <row r="26" spans="2:10" ht="15" x14ac:dyDescent="0.25">
      <c r="B26" s="245" t="s">
        <v>398</v>
      </c>
      <c r="C26" s="246"/>
      <c r="D26" s="244"/>
      <c r="E26" s="244"/>
    </row>
    <row r="27" spans="2:10" ht="15" x14ac:dyDescent="0.25">
      <c r="B27" s="245" t="s">
        <v>399</v>
      </c>
      <c r="C27" s="246"/>
      <c r="D27" s="244"/>
      <c r="E27" s="244"/>
    </row>
    <row r="28" spans="2:10" ht="15" x14ac:dyDescent="0.25">
      <c r="B28" s="245"/>
      <c r="C28" s="246"/>
      <c r="D28" s="244"/>
      <c r="E28" s="244"/>
    </row>
    <row r="29" spans="2:10" ht="15" x14ac:dyDescent="0.25">
      <c r="B29" s="245"/>
      <c r="C29" s="246"/>
      <c r="D29" s="244"/>
      <c r="E29" s="244"/>
    </row>
    <row r="30" spans="2:10" ht="15" x14ac:dyDescent="0.25">
      <c r="B30" s="245"/>
      <c r="C30" s="244"/>
      <c r="D30" s="244"/>
      <c r="E30" s="244"/>
    </row>
    <row r="31" spans="2:10" ht="15" x14ac:dyDescent="0.25">
      <c r="B31" s="243"/>
      <c r="C31" s="244"/>
      <c r="D31" s="244"/>
      <c r="E31" s="244"/>
    </row>
    <row r="32" spans="2:10" ht="15" x14ac:dyDescent="0.25">
      <c r="B32" s="243"/>
      <c r="C32" s="244"/>
      <c r="D32" s="244"/>
      <c r="E32" s="244"/>
    </row>
    <row r="33" spans="2:5" ht="15" x14ac:dyDescent="0.25">
      <c r="B33" s="243"/>
      <c r="C33" s="244"/>
      <c r="D33" s="244"/>
      <c r="E33" s="244"/>
    </row>
    <row r="34" spans="2:5" ht="15" x14ac:dyDescent="0.25">
      <c r="B34" s="243"/>
      <c r="C34" s="244"/>
      <c r="D34" s="244"/>
      <c r="E34" s="244"/>
    </row>
    <row r="35" spans="2:5" ht="15" x14ac:dyDescent="0.25">
      <c r="B35" s="243"/>
      <c r="C35" s="244"/>
      <c r="D35" s="244"/>
      <c r="E35" s="244"/>
    </row>
    <row r="36" spans="2:5" ht="15" x14ac:dyDescent="0.25">
      <c r="B36" s="243"/>
      <c r="C36" s="244"/>
      <c r="D36" s="244"/>
      <c r="E36" s="244"/>
    </row>
    <row r="37" spans="2:5" ht="15" x14ac:dyDescent="0.25">
      <c r="B37" s="243"/>
      <c r="C37" s="244"/>
      <c r="D37" s="244"/>
      <c r="E37" s="244"/>
    </row>
    <row r="38" spans="2:5" ht="15" x14ac:dyDescent="0.25">
      <c r="B38" s="243"/>
      <c r="C38" s="244"/>
      <c r="D38" s="244"/>
      <c r="E38" s="244"/>
    </row>
    <row r="39" spans="2:5" ht="15" x14ac:dyDescent="0.25">
      <c r="B39" s="243"/>
      <c r="C39" s="244"/>
      <c r="D39" s="244"/>
      <c r="E39" s="244"/>
    </row>
    <row r="40" spans="2:5" ht="15" x14ac:dyDescent="0.25">
      <c r="B40" s="243"/>
      <c r="C40" s="244"/>
      <c r="D40" s="244"/>
      <c r="E40" s="244"/>
    </row>
    <row r="41" spans="2:5" ht="15" x14ac:dyDescent="0.25">
      <c r="B41" s="243"/>
      <c r="C41" s="244"/>
      <c r="D41" s="244"/>
      <c r="E41" s="244"/>
    </row>
    <row r="42" spans="2:5" ht="15" x14ac:dyDescent="0.25">
      <c r="B42" s="243"/>
      <c r="C42" s="244"/>
      <c r="D42" s="244"/>
      <c r="E42" s="244"/>
    </row>
    <row r="43" spans="2:5" ht="15" x14ac:dyDescent="0.25">
      <c r="B43" s="243"/>
      <c r="C43" s="244"/>
      <c r="D43" s="244"/>
      <c r="E43" s="244"/>
    </row>
    <row r="44" spans="2:5" ht="15" x14ac:dyDescent="0.25">
      <c r="B44" s="243"/>
      <c r="C44" s="244"/>
      <c r="D44" s="244"/>
      <c r="E44" s="244"/>
    </row>
    <row r="45" spans="2:5" ht="15" x14ac:dyDescent="0.25">
      <c r="B45" s="243"/>
      <c r="C45" s="244"/>
      <c r="D45" s="244"/>
      <c r="E45" s="244"/>
    </row>
    <row r="46" spans="2:5" ht="15" x14ac:dyDescent="0.25">
      <c r="B46" s="243"/>
      <c r="C46" s="244"/>
      <c r="D46" s="244"/>
      <c r="E46" s="244"/>
    </row>
    <row r="47" spans="2:5" ht="15" x14ac:dyDescent="0.25">
      <c r="B47" s="243"/>
      <c r="C47" s="244"/>
      <c r="D47" s="244"/>
      <c r="E47" s="244"/>
    </row>
    <row r="48" spans="2:5" ht="15" x14ac:dyDescent="0.25">
      <c r="B48" s="247"/>
      <c r="C48" s="244"/>
      <c r="D48" s="244"/>
      <c r="E48" s="244"/>
    </row>
    <row r="49" spans="2:5" ht="15" x14ac:dyDescent="0.25">
      <c r="B49" s="248"/>
      <c r="C49" s="244"/>
      <c r="D49" s="244"/>
      <c r="E49" s="244"/>
    </row>
    <row r="50" spans="2:5" ht="15" x14ac:dyDescent="0.25">
      <c r="B50" s="248"/>
      <c r="C50" s="244"/>
      <c r="D50" s="244"/>
      <c r="E50" s="244"/>
    </row>
    <row r="51" spans="2:5" ht="15" x14ac:dyDescent="0.25">
      <c r="B51" s="248"/>
      <c r="C51" s="244"/>
      <c r="D51" s="244"/>
      <c r="E51" s="244"/>
    </row>
    <row r="52" spans="2:5" ht="15" x14ac:dyDescent="0.25">
      <c r="B52" s="248"/>
    </row>
    <row r="53" spans="2:5" x14ac:dyDescent="0.2">
      <c r="B53" s="246"/>
    </row>
    <row r="54" spans="2:5" x14ac:dyDescent="0.2">
      <c r="B54" s="246"/>
    </row>
    <row r="55" spans="2:5" x14ac:dyDescent="0.2">
      <c r="B55" s="246"/>
    </row>
    <row r="56" spans="2:5" x14ac:dyDescent="0.2">
      <c r="B56" s="246"/>
    </row>
  </sheetData>
  <mergeCells count="3">
    <mergeCell ref="H2:J2"/>
    <mergeCell ref="B6:J6"/>
    <mergeCell ref="B4:J4"/>
  </mergeCells>
  <pageMargins left="0.35433070866141736" right="0.35433070866141736" top="0.74803149606299213" bottom="0.74803149606299213" header="0.31496062992125984" footer="0.31496062992125984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64"/>
  <sheetViews>
    <sheetView workbookViewId="0">
      <pane xSplit="7" topLeftCell="H1" activePane="topRight" state="frozen"/>
      <selection pane="topRight" activeCell="H1" sqref="H1"/>
    </sheetView>
  </sheetViews>
  <sheetFormatPr defaultRowHeight="12.75" x14ac:dyDescent="0.2"/>
  <cols>
    <col min="1" max="1" width="1.42578125" style="114" customWidth="1"/>
    <col min="2" max="2" width="4.85546875" style="114" customWidth="1"/>
    <col min="3" max="3" width="8" style="164" customWidth="1"/>
    <col min="4" max="4" width="32.42578125" style="114" customWidth="1"/>
    <col min="5" max="5" width="16.42578125" style="114" customWidth="1"/>
    <col min="6" max="6" width="15.85546875" style="114" customWidth="1"/>
    <col min="7" max="7" width="13.140625" style="114" customWidth="1"/>
    <col min="8" max="8" width="5.140625" style="114" customWidth="1"/>
    <col min="9" max="16384" width="9.140625" style="114"/>
  </cols>
  <sheetData>
    <row r="1" spans="2:7" s="146" customFormat="1" x14ac:dyDescent="0.25">
      <c r="C1" s="147"/>
    </row>
    <row r="2" spans="2:7" s="146" customFormat="1" x14ac:dyDescent="0.25">
      <c r="C2" s="147"/>
      <c r="E2" s="189"/>
      <c r="G2" s="280" t="s">
        <v>416</v>
      </c>
    </row>
    <row r="3" spans="2:7" s="146" customFormat="1" ht="21" x14ac:dyDescent="0.25">
      <c r="B3" s="891" t="s">
        <v>595</v>
      </c>
      <c r="C3" s="891"/>
      <c r="D3" s="891"/>
      <c r="E3" s="891"/>
      <c r="F3" s="891"/>
      <c r="G3" s="891"/>
    </row>
    <row r="4" spans="2:7" s="146" customFormat="1" ht="13.5" thickBot="1" x14ac:dyDescent="0.3">
      <c r="C4" s="147"/>
    </row>
    <row r="5" spans="2:7" s="146" customFormat="1" ht="20.25" customHeight="1" x14ac:dyDescent="0.25">
      <c r="B5" s="892" t="s">
        <v>68</v>
      </c>
      <c r="C5" s="893"/>
      <c r="D5" s="893"/>
      <c r="E5" s="149" t="s">
        <v>218</v>
      </c>
      <c r="F5" s="594" t="s">
        <v>219</v>
      </c>
      <c r="G5" s="150" t="s">
        <v>220</v>
      </c>
    </row>
    <row r="6" spans="2:7" s="6" customFormat="1" ht="24" customHeight="1" x14ac:dyDescent="0.25">
      <c r="B6" s="894" t="s">
        <v>169</v>
      </c>
      <c r="C6" s="895"/>
      <c r="D6" s="895"/>
      <c r="E6" s="384">
        <f>E7+E13+E15+E18+E23+E26+E31+E36+E45</f>
        <v>32321742</v>
      </c>
      <c r="F6" s="384">
        <f>F7+F13+F15+F18+F23+F26+F31+F36+F45</f>
        <v>29755230</v>
      </c>
      <c r="G6" s="682">
        <f>G7+G13+G15+G18+G23+G26+G31+G36+G45</f>
        <v>29346147</v>
      </c>
    </row>
    <row r="7" spans="2:7" s="146" customFormat="1" x14ac:dyDescent="0.25">
      <c r="B7" s="281" t="s">
        <v>221</v>
      </c>
      <c r="C7" s="896" t="s">
        <v>222</v>
      </c>
      <c r="D7" s="896"/>
      <c r="E7" s="283">
        <f>SUM(E8:E12)</f>
        <v>7495707</v>
      </c>
      <c r="F7" s="283">
        <f>SUM(F8:F12)</f>
        <v>3779743</v>
      </c>
      <c r="G7" s="284">
        <f>SUM(G8:G12)</f>
        <v>3589906</v>
      </c>
    </row>
    <row r="8" spans="2:7" s="146" customFormat="1" x14ac:dyDescent="0.25">
      <c r="B8" s="151"/>
      <c r="C8" s="152" t="s">
        <v>223</v>
      </c>
      <c r="D8" s="153" t="s">
        <v>224</v>
      </c>
      <c r="E8" s="154">
        <v>3027965</v>
      </c>
      <c r="F8" s="154">
        <v>3178157</v>
      </c>
      <c r="G8" s="200">
        <v>3054782</v>
      </c>
    </row>
    <row r="9" spans="2:7" s="146" customFormat="1" x14ac:dyDescent="0.25">
      <c r="B9" s="151"/>
      <c r="C9" s="152" t="s">
        <v>225</v>
      </c>
      <c r="D9" s="153" t="s">
        <v>226</v>
      </c>
      <c r="E9" s="154">
        <v>8100</v>
      </c>
      <c r="F9" s="154">
        <v>21815</v>
      </c>
      <c r="G9" s="200">
        <v>15797</v>
      </c>
    </row>
    <row r="10" spans="2:7" s="146" customFormat="1" ht="15" customHeight="1" x14ac:dyDescent="0.25">
      <c r="B10" s="151"/>
      <c r="C10" s="152" t="s">
        <v>227</v>
      </c>
      <c r="D10" s="153" t="s">
        <v>228</v>
      </c>
      <c r="E10" s="154">
        <v>4389642</v>
      </c>
      <c r="F10" s="154">
        <v>366123</v>
      </c>
      <c r="G10" s="200">
        <v>299009</v>
      </c>
    </row>
    <row r="11" spans="2:7" s="146" customFormat="1" x14ac:dyDescent="0.25">
      <c r="B11" s="151"/>
      <c r="C11" s="152" t="s">
        <v>229</v>
      </c>
      <c r="D11" s="156" t="s">
        <v>230</v>
      </c>
      <c r="E11" s="154">
        <v>70000</v>
      </c>
      <c r="F11" s="154">
        <v>71476</v>
      </c>
      <c r="G11" s="200">
        <v>78158</v>
      </c>
    </row>
    <row r="12" spans="2:7" s="146" customFormat="1" x14ac:dyDescent="0.25">
      <c r="B12" s="151"/>
      <c r="C12" s="152" t="s">
        <v>231</v>
      </c>
      <c r="D12" s="156" t="s">
        <v>232</v>
      </c>
      <c r="E12" s="154">
        <v>0</v>
      </c>
      <c r="F12" s="154">
        <v>142172</v>
      </c>
      <c r="G12" s="200">
        <v>142160</v>
      </c>
    </row>
    <row r="13" spans="2:7" s="146" customFormat="1" x14ac:dyDescent="0.25">
      <c r="B13" s="178" t="s">
        <v>233</v>
      </c>
      <c r="C13" s="896" t="s">
        <v>234</v>
      </c>
      <c r="D13" s="896"/>
      <c r="E13" s="179">
        <f>E14</f>
        <v>7100</v>
      </c>
      <c r="F13" s="179">
        <f>F14</f>
        <v>7100</v>
      </c>
      <c r="G13" s="180">
        <f>G14</f>
        <v>6300</v>
      </c>
    </row>
    <row r="14" spans="2:7" s="146" customFormat="1" x14ac:dyDescent="0.25">
      <c r="B14" s="151"/>
      <c r="C14" s="152" t="s">
        <v>235</v>
      </c>
      <c r="D14" s="153" t="s">
        <v>236</v>
      </c>
      <c r="E14" s="154">
        <v>7100</v>
      </c>
      <c r="F14" s="154">
        <v>7100</v>
      </c>
      <c r="G14" s="155">
        <v>6300</v>
      </c>
    </row>
    <row r="15" spans="2:7" s="146" customFormat="1" x14ac:dyDescent="0.25">
      <c r="B15" s="178" t="s">
        <v>237</v>
      </c>
      <c r="C15" s="896" t="s">
        <v>238</v>
      </c>
      <c r="D15" s="896"/>
      <c r="E15" s="179">
        <f>SUM(E16:E17)</f>
        <v>899500</v>
      </c>
      <c r="F15" s="179">
        <f>SUM(F16:F17)</f>
        <v>922300</v>
      </c>
      <c r="G15" s="180">
        <f>SUM(G16:G17)</f>
        <v>877176</v>
      </c>
    </row>
    <row r="16" spans="2:7" s="146" customFormat="1" x14ac:dyDescent="0.25">
      <c r="B16" s="151"/>
      <c r="C16" s="152" t="s">
        <v>239</v>
      </c>
      <c r="D16" s="153" t="s">
        <v>240</v>
      </c>
      <c r="E16" s="154">
        <v>899500</v>
      </c>
      <c r="F16" s="154">
        <v>899500</v>
      </c>
      <c r="G16" s="155">
        <v>856557</v>
      </c>
    </row>
    <row r="17" spans="2:7" s="146" customFormat="1" x14ac:dyDescent="0.25">
      <c r="B17" s="151"/>
      <c r="C17" s="152" t="s">
        <v>241</v>
      </c>
      <c r="D17" s="153" t="s">
        <v>242</v>
      </c>
      <c r="E17" s="154">
        <v>0</v>
      </c>
      <c r="F17" s="154">
        <v>22800</v>
      </c>
      <c r="G17" s="155">
        <v>20619</v>
      </c>
    </row>
    <row r="18" spans="2:7" s="146" customFormat="1" x14ac:dyDescent="0.25">
      <c r="B18" s="178" t="s">
        <v>243</v>
      </c>
      <c r="C18" s="896" t="s">
        <v>244</v>
      </c>
      <c r="D18" s="896"/>
      <c r="E18" s="179">
        <f>SUM(E19:E22)</f>
        <v>3530225</v>
      </c>
      <c r="F18" s="179">
        <f>SUM(F19:F22)</f>
        <v>3432405</v>
      </c>
      <c r="G18" s="180">
        <f>SUM(G19:G22)</f>
        <v>3412567</v>
      </c>
    </row>
    <row r="19" spans="2:7" s="146" customFormat="1" x14ac:dyDescent="0.25">
      <c r="B19" s="151"/>
      <c r="C19" s="152" t="s">
        <v>245</v>
      </c>
      <c r="D19" s="157" t="s">
        <v>246</v>
      </c>
      <c r="E19" s="154">
        <v>53525</v>
      </c>
      <c r="F19" s="154">
        <v>52355</v>
      </c>
      <c r="G19" s="155">
        <v>48401</v>
      </c>
    </row>
    <row r="20" spans="2:7" s="146" customFormat="1" x14ac:dyDescent="0.25">
      <c r="B20" s="158"/>
      <c r="C20" s="152" t="s">
        <v>247</v>
      </c>
      <c r="D20" s="159" t="s">
        <v>248</v>
      </c>
      <c r="E20" s="154">
        <v>36500</v>
      </c>
      <c r="F20" s="160">
        <v>40000</v>
      </c>
      <c r="G20" s="155">
        <v>37479</v>
      </c>
    </row>
    <row r="21" spans="2:7" s="146" customFormat="1" x14ac:dyDescent="0.25">
      <c r="B21" s="151"/>
      <c r="C21" s="152" t="s">
        <v>249</v>
      </c>
      <c r="D21" s="153" t="s">
        <v>250</v>
      </c>
      <c r="E21" s="154">
        <v>3432200</v>
      </c>
      <c r="F21" s="160">
        <v>3335050</v>
      </c>
      <c r="G21" s="155">
        <v>3313204</v>
      </c>
    </row>
    <row r="22" spans="2:7" s="146" customFormat="1" x14ac:dyDescent="0.25">
      <c r="B22" s="151"/>
      <c r="C22" s="152" t="s">
        <v>251</v>
      </c>
      <c r="D22" s="153" t="s">
        <v>252</v>
      </c>
      <c r="E22" s="154">
        <v>8000</v>
      </c>
      <c r="F22" s="160">
        <v>5000</v>
      </c>
      <c r="G22" s="155">
        <v>13483</v>
      </c>
    </row>
    <row r="23" spans="2:7" s="146" customFormat="1" x14ac:dyDescent="0.25">
      <c r="B23" s="178" t="s">
        <v>253</v>
      </c>
      <c r="C23" s="896" t="s">
        <v>254</v>
      </c>
      <c r="D23" s="896"/>
      <c r="E23" s="179">
        <f>SUM(E24:E25)</f>
        <v>3459475</v>
      </c>
      <c r="F23" s="179">
        <f>SUM(F24:F25)</f>
        <v>3604475</v>
      </c>
      <c r="G23" s="180">
        <f>SUM(G24:G25)</f>
        <v>3580294</v>
      </c>
    </row>
    <row r="24" spans="2:7" s="146" customFormat="1" x14ac:dyDescent="0.25">
      <c r="B24" s="151"/>
      <c r="C24" s="152" t="s">
        <v>255</v>
      </c>
      <c r="D24" s="153" t="s">
        <v>256</v>
      </c>
      <c r="E24" s="154">
        <v>3451475</v>
      </c>
      <c r="F24" s="154">
        <v>3596475</v>
      </c>
      <c r="G24" s="155">
        <v>3573244</v>
      </c>
    </row>
    <row r="25" spans="2:7" s="146" customFormat="1" x14ac:dyDescent="0.25">
      <c r="B25" s="151"/>
      <c r="C25" s="152" t="s">
        <v>257</v>
      </c>
      <c r="D25" s="153" t="s">
        <v>258</v>
      </c>
      <c r="E25" s="154">
        <v>8000</v>
      </c>
      <c r="F25" s="154">
        <v>8000</v>
      </c>
      <c r="G25" s="155">
        <v>7050</v>
      </c>
    </row>
    <row r="26" spans="2:7" s="146" customFormat="1" x14ac:dyDescent="0.25">
      <c r="B26" s="178" t="s">
        <v>259</v>
      </c>
      <c r="C26" s="896" t="s">
        <v>260</v>
      </c>
      <c r="D26" s="896"/>
      <c r="E26" s="179">
        <f>SUM(E27:E30)</f>
        <v>2251275</v>
      </c>
      <c r="F26" s="179">
        <f>SUM(F27:F30)</f>
        <v>2192162</v>
      </c>
      <c r="G26" s="180">
        <f>SUM(G27:G30)</f>
        <v>2099354</v>
      </c>
    </row>
    <row r="27" spans="2:7" s="146" customFormat="1" ht="14.25" customHeight="1" x14ac:dyDescent="0.25">
      <c r="B27" s="151"/>
      <c r="C27" s="152" t="s">
        <v>261</v>
      </c>
      <c r="D27" s="153" t="s">
        <v>262</v>
      </c>
      <c r="E27" s="154">
        <v>28000</v>
      </c>
      <c r="F27" s="154">
        <v>28000</v>
      </c>
      <c r="G27" s="155">
        <v>26107</v>
      </c>
    </row>
    <row r="28" spans="2:7" s="146" customFormat="1" x14ac:dyDescent="0.25">
      <c r="B28" s="151"/>
      <c r="C28" s="152" t="s">
        <v>263</v>
      </c>
      <c r="D28" s="153" t="s">
        <v>264</v>
      </c>
      <c r="E28" s="154">
        <v>1187375</v>
      </c>
      <c r="F28" s="154">
        <v>1189393</v>
      </c>
      <c r="G28" s="155">
        <v>1154880</v>
      </c>
    </row>
    <row r="29" spans="2:7" s="146" customFormat="1" x14ac:dyDescent="0.25">
      <c r="B29" s="151"/>
      <c r="C29" s="152" t="s">
        <v>265</v>
      </c>
      <c r="D29" s="153" t="s">
        <v>266</v>
      </c>
      <c r="E29" s="154">
        <v>625000</v>
      </c>
      <c r="F29" s="154">
        <v>594269</v>
      </c>
      <c r="G29" s="155">
        <v>586861</v>
      </c>
    </row>
    <row r="30" spans="2:7" s="146" customFormat="1" x14ac:dyDescent="0.25">
      <c r="B30" s="151"/>
      <c r="C30" s="152" t="s">
        <v>267</v>
      </c>
      <c r="D30" s="153" t="s">
        <v>260</v>
      </c>
      <c r="E30" s="154">
        <v>410900</v>
      </c>
      <c r="F30" s="154">
        <v>380500</v>
      </c>
      <c r="G30" s="155">
        <v>331506</v>
      </c>
    </row>
    <row r="31" spans="2:7" s="146" customFormat="1" x14ac:dyDescent="0.25">
      <c r="B31" s="178" t="s">
        <v>268</v>
      </c>
      <c r="C31" s="896" t="s">
        <v>269</v>
      </c>
      <c r="D31" s="896"/>
      <c r="E31" s="179">
        <f>SUM(E32:E35)</f>
        <v>1629674</v>
      </c>
      <c r="F31" s="179">
        <f>SUM(F32:F35)</f>
        <v>1791489</v>
      </c>
      <c r="G31" s="180">
        <f>SUM(G32:G35)</f>
        <v>1755286</v>
      </c>
    </row>
    <row r="32" spans="2:7" s="146" customFormat="1" ht="15" customHeight="1" x14ac:dyDescent="0.25">
      <c r="B32" s="151"/>
      <c r="C32" s="152" t="s">
        <v>270</v>
      </c>
      <c r="D32" s="153" t="s">
        <v>271</v>
      </c>
      <c r="E32" s="154">
        <v>1146005</v>
      </c>
      <c r="F32" s="154">
        <v>1264155</v>
      </c>
      <c r="G32" s="155">
        <v>1247203</v>
      </c>
    </row>
    <row r="33" spans="2:7" s="146" customFormat="1" x14ac:dyDescent="0.25">
      <c r="B33" s="151"/>
      <c r="C33" s="152" t="s">
        <v>167</v>
      </c>
      <c r="D33" s="153" t="s">
        <v>274</v>
      </c>
      <c r="E33" s="154">
        <v>339800</v>
      </c>
      <c r="F33" s="154">
        <v>358361</v>
      </c>
      <c r="G33" s="155">
        <v>348105</v>
      </c>
    </row>
    <row r="34" spans="2:7" s="146" customFormat="1" x14ac:dyDescent="0.25">
      <c r="B34" s="151"/>
      <c r="C34" s="152" t="s">
        <v>275</v>
      </c>
      <c r="D34" s="153" t="s">
        <v>276</v>
      </c>
      <c r="E34" s="154">
        <v>11175</v>
      </c>
      <c r="F34" s="154">
        <v>21675</v>
      </c>
      <c r="G34" s="155">
        <v>20906</v>
      </c>
    </row>
    <row r="35" spans="2:7" s="146" customFormat="1" x14ac:dyDescent="0.25">
      <c r="B35" s="151"/>
      <c r="C35" s="152" t="s">
        <v>277</v>
      </c>
      <c r="D35" s="153" t="s">
        <v>864</v>
      </c>
      <c r="E35" s="154">
        <v>132694</v>
      </c>
      <c r="F35" s="154">
        <v>147298</v>
      </c>
      <c r="G35" s="155">
        <v>139072</v>
      </c>
    </row>
    <row r="36" spans="2:7" s="146" customFormat="1" x14ac:dyDescent="0.25">
      <c r="B36" s="178" t="s">
        <v>279</v>
      </c>
      <c r="C36" s="896" t="s">
        <v>280</v>
      </c>
      <c r="D36" s="896"/>
      <c r="E36" s="179">
        <f>SUM(E37:E44)</f>
        <v>11362206</v>
      </c>
      <c r="F36" s="179">
        <f>SUM(F37:F44)</f>
        <v>12031330</v>
      </c>
      <c r="G36" s="180">
        <f>SUM(G37:G44)</f>
        <v>12065295</v>
      </c>
    </row>
    <row r="37" spans="2:7" s="146" customFormat="1" x14ac:dyDescent="0.25">
      <c r="B37" s="151"/>
      <c r="C37" s="152" t="s">
        <v>281</v>
      </c>
      <c r="D37" s="153" t="s">
        <v>282</v>
      </c>
      <c r="E37" s="154">
        <v>2640755</v>
      </c>
      <c r="F37" s="154">
        <v>2732976</v>
      </c>
      <c r="G37" s="155">
        <v>2747623</v>
      </c>
    </row>
    <row r="38" spans="2:7" s="146" customFormat="1" x14ac:dyDescent="0.25">
      <c r="B38" s="151"/>
      <c r="C38" s="152" t="s">
        <v>283</v>
      </c>
      <c r="D38" s="153" t="s">
        <v>284</v>
      </c>
      <c r="E38" s="154">
        <v>5990294</v>
      </c>
      <c r="F38" s="154">
        <v>6545338</v>
      </c>
      <c r="G38" s="155">
        <v>6535678</v>
      </c>
    </row>
    <row r="39" spans="2:7" s="146" customFormat="1" x14ac:dyDescent="0.25">
      <c r="B39" s="151"/>
      <c r="C39" s="152" t="s">
        <v>285</v>
      </c>
      <c r="D39" s="153" t="s">
        <v>286</v>
      </c>
      <c r="E39" s="154">
        <v>0</v>
      </c>
      <c r="F39" s="154">
        <v>3700</v>
      </c>
      <c r="G39" s="155">
        <v>3175</v>
      </c>
    </row>
    <row r="40" spans="2:7" s="146" customFormat="1" x14ac:dyDescent="0.25">
      <c r="B40" s="151"/>
      <c r="C40" s="152" t="s">
        <v>287</v>
      </c>
      <c r="D40" s="152" t="s">
        <v>288</v>
      </c>
      <c r="E40" s="154">
        <v>5000</v>
      </c>
      <c r="F40" s="154">
        <v>5000</v>
      </c>
      <c r="G40" s="155">
        <v>4362</v>
      </c>
    </row>
    <row r="41" spans="2:7" s="146" customFormat="1" x14ac:dyDescent="0.25">
      <c r="B41" s="151"/>
      <c r="C41" s="152" t="s">
        <v>144</v>
      </c>
      <c r="D41" s="153" t="s">
        <v>289</v>
      </c>
      <c r="E41" s="154">
        <v>1517533</v>
      </c>
      <c r="F41" s="154">
        <v>1514436</v>
      </c>
      <c r="G41" s="155">
        <v>1526954</v>
      </c>
    </row>
    <row r="42" spans="2:7" s="146" customFormat="1" x14ac:dyDescent="0.25">
      <c r="B42" s="151"/>
      <c r="C42" s="152" t="s">
        <v>290</v>
      </c>
      <c r="D42" s="153" t="s">
        <v>291</v>
      </c>
      <c r="E42" s="154">
        <v>86440</v>
      </c>
      <c r="F42" s="154">
        <v>88306</v>
      </c>
      <c r="G42" s="155">
        <v>100734</v>
      </c>
    </row>
    <row r="43" spans="2:7" s="146" customFormat="1" x14ac:dyDescent="0.25">
      <c r="B43" s="151"/>
      <c r="C43" s="152" t="s">
        <v>596</v>
      </c>
      <c r="D43" s="153" t="s">
        <v>293</v>
      </c>
      <c r="E43" s="154">
        <v>183370</v>
      </c>
      <c r="F43" s="154">
        <v>193645</v>
      </c>
      <c r="G43" s="155">
        <v>198049</v>
      </c>
    </row>
    <row r="44" spans="2:7" s="146" customFormat="1" x14ac:dyDescent="0.25">
      <c r="B44" s="151"/>
      <c r="C44" s="152" t="s">
        <v>292</v>
      </c>
      <c r="D44" s="153" t="s">
        <v>293</v>
      </c>
      <c r="E44" s="154">
        <v>938814</v>
      </c>
      <c r="F44" s="154">
        <v>947929</v>
      </c>
      <c r="G44" s="155">
        <v>948720</v>
      </c>
    </row>
    <row r="45" spans="2:7" s="146" customFormat="1" x14ac:dyDescent="0.25">
      <c r="B45" s="178">
        <v>10</v>
      </c>
      <c r="C45" s="896" t="s">
        <v>294</v>
      </c>
      <c r="D45" s="896"/>
      <c r="E45" s="179">
        <f>SUM(E46:E53)</f>
        <v>1686580</v>
      </c>
      <c r="F45" s="179">
        <f t="shared" ref="F45:G45" si="0">SUM(F46:F53)</f>
        <v>1994226</v>
      </c>
      <c r="G45" s="180">
        <f t="shared" si="0"/>
        <v>1959969</v>
      </c>
    </row>
    <row r="46" spans="2:7" s="146" customFormat="1" x14ac:dyDescent="0.25">
      <c r="B46" s="282"/>
      <c r="C46" s="152" t="s">
        <v>326</v>
      </c>
      <c r="D46" s="153" t="s">
        <v>327</v>
      </c>
      <c r="E46" s="154">
        <v>31144</v>
      </c>
      <c r="F46" s="154">
        <v>30738</v>
      </c>
      <c r="G46" s="155">
        <v>30738</v>
      </c>
    </row>
    <row r="47" spans="2:7" s="146" customFormat="1" x14ac:dyDescent="0.25">
      <c r="B47" s="151"/>
      <c r="C47" s="152" t="s">
        <v>141</v>
      </c>
      <c r="D47" s="153" t="s">
        <v>295</v>
      </c>
      <c r="E47" s="154">
        <v>1327971</v>
      </c>
      <c r="F47" s="154">
        <v>1611611</v>
      </c>
      <c r="G47" s="155">
        <v>1587216</v>
      </c>
    </row>
    <row r="48" spans="2:7" s="146" customFormat="1" ht="15.75" customHeight="1" x14ac:dyDescent="0.25">
      <c r="B48" s="151"/>
      <c r="C48" s="152" t="s">
        <v>296</v>
      </c>
      <c r="D48" s="153" t="s">
        <v>297</v>
      </c>
      <c r="E48" s="154">
        <v>275806</v>
      </c>
      <c r="F48" s="154">
        <v>269209</v>
      </c>
      <c r="G48" s="155">
        <v>269209</v>
      </c>
    </row>
    <row r="49" spans="2:7" s="146" customFormat="1" x14ac:dyDescent="0.25">
      <c r="B49" s="151"/>
      <c r="C49" s="152" t="s">
        <v>298</v>
      </c>
      <c r="D49" s="153" t="s">
        <v>299</v>
      </c>
      <c r="E49" s="154">
        <v>13000</v>
      </c>
      <c r="F49" s="154">
        <v>21392</v>
      </c>
      <c r="G49" s="155">
        <v>13356</v>
      </c>
    </row>
    <row r="50" spans="2:7" s="146" customFormat="1" x14ac:dyDescent="0.25">
      <c r="B50" s="151"/>
      <c r="C50" s="152" t="s">
        <v>300</v>
      </c>
      <c r="D50" s="153" t="s">
        <v>301</v>
      </c>
      <c r="E50" s="154">
        <v>0</v>
      </c>
      <c r="F50" s="154">
        <v>18780</v>
      </c>
      <c r="G50" s="155">
        <v>17834</v>
      </c>
    </row>
    <row r="51" spans="2:7" s="146" customFormat="1" x14ac:dyDescent="0.25">
      <c r="B51" s="151"/>
      <c r="C51" s="152" t="s">
        <v>302</v>
      </c>
      <c r="D51" s="153" t="s">
        <v>303</v>
      </c>
      <c r="E51" s="154">
        <v>1000</v>
      </c>
      <c r="F51" s="154">
        <v>1000</v>
      </c>
      <c r="G51" s="155">
        <v>120</v>
      </c>
    </row>
    <row r="52" spans="2:7" s="146" customFormat="1" ht="18" customHeight="1" x14ac:dyDescent="0.25">
      <c r="B52" s="151"/>
      <c r="C52" s="152" t="s">
        <v>304</v>
      </c>
      <c r="D52" s="153" t="s">
        <v>305</v>
      </c>
      <c r="E52" s="154">
        <v>22460</v>
      </c>
      <c r="F52" s="154">
        <v>25297</v>
      </c>
      <c r="G52" s="155">
        <v>25297</v>
      </c>
    </row>
    <row r="53" spans="2:7" s="146" customFormat="1" ht="13.5" thickBot="1" x14ac:dyDescent="0.3">
      <c r="B53" s="162"/>
      <c r="C53" s="163" t="s">
        <v>306</v>
      </c>
      <c r="D53" s="163" t="s">
        <v>307</v>
      </c>
      <c r="E53" s="674">
        <v>15199</v>
      </c>
      <c r="F53" s="674">
        <v>16199</v>
      </c>
      <c r="G53" s="675">
        <v>16199</v>
      </c>
    </row>
    <row r="54" spans="2:7" s="146" customFormat="1" x14ac:dyDescent="0.2">
      <c r="B54" s="114"/>
      <c r="C54" s="164"/>
      <c r="D54" s="114"/>
      <c r="E54" s="114"/>
      <c r="F54" s="114"/>
      <c r="G54" s="114"/>
    </row>
    <row r="55" spans="2:7" s="146" customFormat="1" x14ac:dyDescent="0.2">
      <c r="B55" s="114"/>
      <c r="C55" s="164"/>
      <c r="D55" s="114"/>
      <c r="E55" s="114"/>
      <c r="F55" s="139"/>
      <c r="G55" s="139"/>
    </row>
    <row r="56" spans="2:7" s="146" customFormat="1" x14ac:dyDescent="0.2">
      <c r="B56" s="114"/>
      <c r="C56" s="201"/>
      <c r="D56" s="114"/>
      <c r="E56" s="114"/>
      <c r="F56" s="114"/>
      <c r="G56" s="139"/>
    </row>
    <row r="57" spans="2:7" s="146" customFormat="1" x14ac:dyDescent="0.2">
      <c r="B57" s="114"/>
      <c r="C57" s="164"/>
      <c r="D57" s="114"/>
      <c r="E57" s="114"/>
      <c r="F57" s="114"/>
      <c r="G57" s="114"/>
    </row>
    <row r="58" spans="2:7" s="146" customFormat="1" ht="26.25" customHeight="1" x14ac:dyDescent="0.2">
      <c r="B58" s="114"/>
      <c r="C58" s="164"/>
      <c r="D58" s="114"/>
      <c r="E58" s="114"/>
      <c r="F58" s="114"/>
      <c r="G58" s="114"/>
    </row>
    <row r="59" spans="2:7" s="146" customFormat="1" x14ac:dyDescent="0.2">
      <c r="B59" s="114"/>
      <c r="C59" s="164"/>
      <c r="D59" s="114"/>
      <c r="E59" s="114"/>
      <c r="F59" s="123"/>
      <c r="G59" s="114"/>
    </row>
    <row r="60" spans="2:7" s="146" customFormat="1" x14ac:dyDescent="0.2">
      <c r="B60" s="114"/>
      <c r="C60" s="164"/>
      <c r="D60" s="114"/>
      <c r="E60" s="114"/>
      <c r="F60" s="123"/>
      <c r="G60" s="114"/>
    </row>
    <row r="61" spans="2:7" x14ac:dyDescent="0.2">
      <c r="F61" s="123"/>
    </row>
    <row r="62" spans="2:7" x14ac:dyDescent="0.2">
      <c r="F62" s="123"/>
    </row>
    <row r="63" spans="2:7" x14ac:dyDescent="0.2">
      <c r="F63" s="123"/>
    </row>
    <row r="64" spans="2:7" x14ac:dyDescent="0.2">
      <c r="F64" s="126"/>
    </row>
  </sheetData>
  <mergeCells count="12">
    <mergeCell ref="B3:G3"/>
    <mergeCell ref="B5:D5"/>
    <mergeCell ref="B6:D6"/>
    <mergeCell ref="C7:D7"/>
    <mergeCell ref="C45:D45"/>
    <mergeCell ref="C23:D23"/>
    <mergeCell ref="C26:D26"/>
    <mergeCell ref="C31:D31"/>
    <mergeCell ref="C36:D36"/>
    <mergeCell ref="C13:D13"/>
    <mergeCell ref="C15:D15"/>
    <mergeCell ref="C18:D18"/>
  </mergeCells>
  <phoneticPr fontId="6" type="noConversion"/>
  <pageMargins left="0.56999999999999995" right="0.19685039370078741" top="0.7" bottom="0.39370078740157483" header="0.27559055118110237" footer="0.31496062992125984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34"/>
  <sheetViews>
    <sheetView workbookViewId="0">
      <pane xSplit="7" topLeftCell="H1" activePane="topRight" state="frozen"/>
      <selection pane="topRight" activeCell="H1" sqref="H1"/>
    </sheetView>
  </sheetViews>
  <sheetFormatPr defaultRowHeight="12.75" x14ac:dyDescent="0.2"/>
  <cols>
    <col min="1" max="1" width="2.5703125" style="114" customWidth="1"/>
    <col min="2" max="2" width="3.42578125" style="114" customWidth="1"/>
    <col min="3" max="3" width="7.5703125" style="114" customWidth="1"/>
    <col min="4" max="4" width="31.85546875" style="114" customWidth="1"/>
    <col min="5" max="5" width="14.42578125" style="114" customWidth="1"/>
    <col min="6" max="6" width="14.5703125" style="114" customWidth="1"/>
    <col min="7" max="7" width="16" style="114" customWidth="1"/>
    <col min="8" max="8" width="8.85546875" style="114" customWidth="1"/>
    <col min="9" max="16384" width="9.140625" style="114"/>
  </cols>
  <sheetData>
    <row r="2" spans="2:7" ht="15" x14ac:dyDescent="0.2">
      <c r="C2" s="6"/>
      <c r="D2" s="142"/>
      <c r="E2" s="188"/>
      <c r="F2" s="188"/>
      <c r="G2" s="591" t="s">
        <v>417</v>
      </c>
    </row>
    <row r="3" spans="2:7" ht="15" x14ac:dyDescent="0.2">
      <c r="C3" s="6"/>
      <c r="D3" s="142"/>
      <c r="E3" s="6"/>
      <c r="F3" s="6"/>
      <c r="G3" s="188"/>
    </row>
    <row r="4" spans="2:7" ht="21" x14ac:dyDescent="0.2">
      <c r="B4" s="891" t="s">
        <v>865</v>
      </c>
      <c r="C4" s="891"/>
      <c r="D4" s="891"/>
      <c r="E4" s="891"/>
      <c r="F4" s="891"/>
      <c r="G4" s="891"/>
    </row>
    <row r="5" spans="2:7" ht="21.75" thickBot="1" x14ac:dyDescent="0.25">
      <c r="C5" s="143"/>
      <c r="D5" s="143"/>
      <c r="E5" s="143"/>
      <c r="F5" s="143"/>
      <c r="G5" s="143"/>
    </row>
    <row r="6" spans="2:7" ht="30" customHeight="1" x14ac:dyDescent="0.2">
      <c r="B6" s="892" t="s">
        <v>68</v>
      </c>
      <c r="C6" s="893"/>
      <c r="D6" s="893"/>
      <c r="E6" s="149" t="s">
        <v>218</v>
      </c>
      <c r="F6" s="594" t="s">
        <v>219</v>
      </c>
      <c r="G6" s="150" t="s">
        <v>220</v>
      </c>
    </row>
    <row r="7" spans="2:7" s="6" customFormat="1" ht="17.25" customHeight="1" x14ac:dyDescent="0.25">
      <c r="B7" s="898" t="s">
        <v>308</v>
      </c>
      <c r="C7" s="899"/>
      <c r="D7" s="899"/>
      <c r="E7" s="385">
        <f>E8+E10+E14+E16+E19+E24+E29</f>
        <v>3969404</v>
      </c>
      <c r="F7" s="385">
        <f>F8+F10+F14+F16+F19+F24+F29</f>
        <v>4915144</v>
      </c>
      <c r="G7" s="673">
        <f>G8+G10+G14+G16+G19+G24+G29</f>
        <v>4781581</v>
      </c>
    </row>
    <row r="8" spans="2:7" x14ac:dyDescent="0.2">
      <c r="B8" s="181" t="s">
        <v>221</v>
      </c>
      <c r="C8" s="897" t="s">
        <v>222</v>
      </c>
      <c r="D8" s="897"/>
      <c r="E8" s="182">
        <f>E9</f>
        <v>319026</v>
      </c>
      <c r="F8" s="182">
        <f>F9</f>
        <v>1120385</v>
      </c>
      <c r="G8" s="183">
        <f>G9</f>
        <v>1071806</v>
      </c>
    </row>
    <row r="9" spans="2:7" ht="16.5" customHeight="1" x14ac:dyDescent="0.2">
      <c r="B9" s="165"/>
      <c r="C9" s="166" t="s">
        <v>223</v>
      </c>
      <c r="D9" s="166" t="s">
        <v>224</v>
      </c>
      <c r="E9" s="115">
        <v>319026</v>
      </c>
      <c r="F9" s="115">
        <v>1120385</v>
      </c>
      <c r="G9" s="167">
        <v>1071806</v>
      </c>
    </row>
    <row r="10" spans="2:7" x14ac:dyDescent="0.2">
      <c r="B10" s="181" t="s">
        <v>243</v>
      </c>
      <c r="C10" s="897" t="s">
        <v>244</v>
      </c>
      <c r="D10" s="897"/>
      <c r="E10" s="182">
        <f>E12+E13+E11</f>
        <v>1114662</v>
      </c>
      <c r="F10" s="182">
        <f t="shared" ref="F10:G10" si="0">F12+F13+F11</f>
        <v>1121206</v>
      </c>
      <c r="G10" s="183">
        <f t="shared" si="0"/>
        <v>1050727</v>
      </c>
    </row>
    <row r="11" spans="2:7" x14ac:dyDescent="0.2">
      <c r="B11" s="168"/>
      <c r="C11" s="152" t="s">
        <v>245</v>
      </c>
      <c r="D11" s="467" t="s">
        <v>246</v>
      </c>
      <c r="E11" s="160">
        <v>0</v>
      </c>
      <c r="F11" s="160">
        <v>12000</v>
      </c>
      <c r="G11" s="161">
        <v>12000</v>
      </c>
    </row>
    <row r="12" spans="2:7" x14ac:dyDescent="0.2">
      <c r="B12" s="168"/>
      <c r="C12" s="152" t="s">
        <v>247</v>
      </c>
      <c r="D12" s="159" t="s">
        <v>248</v>
      </c>
      <c r="E12" s="160">
        <v>103000</v>
      </c>
      <c r="F12" s="160">
        <v>106200</v>
      </c>
      <c r="G12" s="161">
        <v>91792</v>
      </c>
    </row>
    <row r="13" spans="2:7" x14ac:dyDescent="0.2">
      <c r="B13" s="165"/>
      <c r="C13" s="166" t="s">
        <v>249</v>
      </c>
      <c r="D13" s="166" t="s">
        <v>250</v>
      </c>
      <c r="E13" s="160">
        <v>1011662</v>
      </c>
      <c r="F13" s="160">
        <v>1003006</v>
      </c>
      <c r="G13" s="161">
        <v>946935</v>
      </c>
    </row>
    <row r="14" spans="2:7" x14ac:dyDescent="0.2">
      <c r="B14" s="181" t="s">
        <v>253</v>
      </c>
      <c r="C14" s="897" t="s">
        <v>254</v>
      </c>
      <c r="D14" s="897"/>
      <c r="E14" s="182">
        <f>E15</f>
        <v>83433</v>
      </c>
      <c r="F14" s="182">
        <f>F15</f>
        <v>83433</v>
      </c>
      <c r="G14" s="183">
        <f>G15</f>
        <v>83433</v>
      </c>
    </row>
    <row r="15" spans="2:7" x14ac:dyDescent="0.2">
      <c r="B15" s="165"/>
      <c r="C15" s="166" t="s">
        <v>255</v>
      </c>
      <c r="D15" s="166" t="s">
        <v>256</v>
      </c>
      <c r="E15" s="115">
        <v>83433</v>
      </c>
      <c r="F15" s="115">
        <v>83433</v>
      </c>
      <c r="G15" s="167">
        <v>83433</v>
      </c>
    </row>
    <row r="16" spans="2:7" x14ac:dyDescent="0.2">
      <c r="B16" s="181" t="s">
        <v>259</v>
      </c>
      <c r="C16" s="897" t="s">
        <v>260</v>
      </c>
      <c r="D16" s="897"/>
      <c r="E16" s="182">
        <f>SUM(E17:E18)</f>
        <v>1504298</v>
      </c>
      <c r="F16" s="182">
        <f>SUM(F17:F18)</f>
        <v>1569758</v>
      </c>
      <c r="G16" s="183">
        <f>SUM(G17:G18)</f>
        <v>1568784</v>
      </c>
    </row>
    <row r="17" spans="2:7" x14ac:dyDescent="0.2">
      <c r="B17" s="165"/>
      <c r="C17" s="166" t="s">
        <v>263</v>
      </c>
      <c r="D17" s="166" t="s">
        <v>264</v>
      </c>
      <c r="E17" s="115">
        <v>306514</v>
      </c>
      <c r="F17" s="115">
        <v>376774</v>
      </c>
      <c r="G17" s="167">
        <v>376681</v>
      </c>
    </row>
    <row r="18" spans="2:7" x14ac:dyDescent="0.2">
      <c r="B18" s="165"/>
      <c r="C18" s="166" t="s">
        <v>265</v>
      </c>
      <c r="D18" s="166" t="s">
        <v>266</v>
      </c>
      <c r="E18" s="115">
        <v>1197784</v>
      </c>
      <c r="F18" s="115">
        <v>1192984</v>
      </c>
      <c r="G18" s="167">
        <v>1192103</v>
      </c>
    </row>
    <row r="19" spans="2:7" x14ac:dyDescent="0.2">
      <c r="B19" s="181" t="s">
        <v>268</v>
      </c>
      <c r="C19" s="897" t="s">
        <v>269</v>
      </c>
      <c r="D19" s="897"/>
      <c r="E19" s="182">
        <f>SUM(E20:E23)</f>
        <v>612864</v>
      </c>
      <c r="F19" s="182">
        <f>SUM(F20:F23)</f>
        <v>596132</v>
      </c>
      <c r="G19" s="183">
        <f>SUM(G20:G23)</f>
        <v>587558</v>
      </c>
    </row>
    <row r="20" spans="2:7" x14ac:dyDescent="0.2">
      <c r="B20" s="165"/>
      <c r="C20" s="166" t="s">
        <v>270</v>
      </c>
      <c r="D20" s="166" t="s">
        <v>271</v>
      </c>
      <c r="E20" s="115">
        <v>341057</v>
      </c>
      <c r="F20" s="115">
        <v>332075</v>
      </c>
      <c r="G20" s="167">
        <v>323594</v>
      </c>
    </row>
    <row r="21" spans="2:7" ht="16.5" customHeight="1" x14ac:dyDescent="0.2">
      <c r="B21" s="151"/>
      <c r="C21" s="153" t="s">
        <v>272</v>
      </c>
      <c r="D21" s="153" t="s">
        <v>273</v>
      </c>
      <c r="E21" s="115">
        <v>18320</v>
      </c>
      <c r="F21" s="115">
        <v>18320</v>
      </c>
      <c r="G21" s="167">
        <v>18311</v>
      </c>
    </row>
    <row r="22" spans="2:7" x14ac:dyDescent="0.2">
      <c r="B22" s="165"/>
      <c r="C22" s="166" t="s">
        <v>167</v>
      </c>
      <c r="D22" s="166" t="s">
        <v>274</v>
      </c>
      <c r="E22" s="115">
        <v>32768</v>
      </c>
      <c r="F22" s="115">
        <v>36718</v>
      </c>
      <c r="G22" s="167">
        <v>36717</v>
      </c>
    </row>
    <row r="23" spans="2:7" x14ac:dyDescent="0.2">
      <c r="B23" s="165"/>
      <c r="C23" s="166" t="s">
        <v>277</v>
      </c>
      <c r="D23" s="166" t="s">
        <v>278</v>
      </c>
      <c r="E23" s="115">
        <v>220719</v>
      </c>
      <c r="F23" s="115">
        <v>209019</v>
      </c>
      <c r="G23" s="167">
        <v>208936</v>
      </c>
    </row>
    <row r="24" spans="2:7" x14ac:dyDescent="0.2">
      <c r="B24" s="181" t="s">
        <v>279</v>
      </c>
      <c r="C24" s="897" t="s">
        <v>280</v>
      </c>
      <c r="D24" s="897"/>
      <c r="E24" s="182">
        <f>SUM(E25:E28)</f>
        <v>335121</v>
      </c>
      <c r="F24" s="182">
        <f>SUM(F25:F28)</f>
        <v>398600</v>
      </c>
      <c r="G24" s="183">
        <f>SUM(G25:G28)</f>
        <v>394739</v>
      </c>
    </row>
    <row r="25" spans="2:7" ht="20.25" customHeight="1" x14ac:dyDescent="0.2">
      <c r="B25" s="165"/>
      <c r="C25" s="153" t="s">
        <v>281</v>
      </c>
      <c r="D25" s="152" t="s">
        <v>282</v>
      </c>
      <c r="E25" s="154">
        <v>155493</v>
      </c>
      <c r="F25" s="154">
        <v>177458</v>
      </c>
      <c r="G25" s="155">
        <v>174587</v>
      </c>
    </row>
    <row r="26" spans="2:7" ht="21.75" customHeight="1" x14ac:dyDescent="0.2">
      <c r="B26" s="165"/>
      <c r="C26" s="153" t="s">
        <v>283</v>
      </c>
      <c r="D26" s="152" t="s">
        <v>284</v>
      </c>
      <c r="E26" s="154">
        <v>177382</v>
      </c>
      <c r="F26" s="154">
        <v>167782</v>
      </c>
      <c r="G26" s="155">
        <v>166850</v>
      </c>
    </row>
    <row r="27" spans="2:7" ht="21.75" customHeight="1" x14ac:dyDescent="0.2">
      <c r="B27" s="311"/>
      <c r="C27" s="350" t="s">
        <v>144</v>
      </c>
      <c r="D27" s="351" t="s">
        <v>289</v>
      </c>
      <c r="E27" s="154">
        <v>2246</v>
      </c>
      <c r="F27" s="154">
        <v>16470</v>
      </c>
      <c r="G27" s="155">
        <v>16451</v>
      </c>
    </row>
    <row r="28" spans="2:7" ht="26.25" thickBot="1" x14ac:dyDescent="0.25">
      <c r="B28" s="169"/>
      <c r="C28" s="285" t="s">
        <v>145</v>
      </c>
      <c r="D28" s="163" t="s">
        <v>452</v>
      </c>
      <c r="E28" s="154">
        <v>0</v>
      </c>
      <c r="F28" s="154">
        <v>36890</v>
      </c>
      <c r="G28" s="155">
        <v>36851</v>
      </c>
    </row>
    <row r="29" spans="2:7" x14ac:dyDescent="0.2">
      <c r="B29" s="181" t="s">
        <v>436</v>
      </c>
      <c r="C29" s="897" t="s">
        <v>294</v>
      </c>
      <c r="D29" s="897"/>
      <c r="E29" s="182">
        <f>SUM(E30:E32)</f>
        <v>0</v>
      </c>
      <c r="F29" s="182">
        <f t="shared" ref="F29:G29" si="1">SUM(F30:F32)</f>
        <v>25630</v>
      </c>
      <c r="G29" s="183">
        <f t="shared" si="1"/>
        <v>24534</v>
      </c>
    </row>
    <row r="30" spans="2:7" x14ac:dyDescent="0.2">
      <c r="B30" s="165"/>
      <c r="C30" s="153" t="s">
        <v>141</v>
      </c>
      <c r="D30" s="152" t="s">
        <v>295</v>
      </c>
      <c r="E30" s="154">
        <v>0</v>
      </c>
      <c r="F30" s="154">
        <v>980</v>
      </c>
      <c r="G30" s="155">
        <v>980</v>
      </c>
    </row>
    <row r="31" spans="2:7" x14ac:dyDescent="0.2">
      <c r="B31" s="165"/>
      <c r="C31" s="153" t="s">
        <v>597</v>
      </c>
      <c r="D31" s="152" t="s">
        <v>598</v>
      </c>
      <c r="E31" s="154">
        <v>0</v>
      </c>
      <c r="F31" s="154">
        <v>17650</v>
      </c>
      <c r="G31" s="155">
        <v>16554</v>
      </c>
    </row>
    <row r="32" spans="2:7" ht="26.25" thickBot="1" x14ac:dyDescent="0.25">
      <c r="B32" s="169"/>
      <c r="C32" s="285" t="s">
        <v>599</v>
      </c>
      <c r="D32" s="163" t="s">
        <v>600</v>
      </c>
      <c r="E32" s="674">
        <v>0</v>
      </c>
      <c r="F32" s="674">
        <v>7000</v>
      </c>
      <c r="G32" s="675">
        <v>7000</v>
      </c>
    </row>
    <row r="34" spans="7:7" x14ac:dyDescent="0.2">
      <c r="G34" s="139"/>
    </row>
  </sheetData>
  <mergeCells count="10">
    <mergeCell ref="B4:G4"/>
    <mergeCell ref="B6:D6"/>
    <mergeCell ref="B7:D7"/>
    <mergeCell ref="C8:D8"/>
    <mergeCell ref="C10:D10"/>
    <mergeCell ref="C14:D14"/>
    <mergeCell ref="C16:D16"/>
    <mergeCell ref="C19:D19"/>
    <mergeCell ref="C29:D29"/>
    <mergeCell ref="C24:D24"/>
  </mergeCells>
  <phoneticPr fontId="6" type="noConversion"/>
  <pageMargins left="0.63" right="0.28999999999999998" top="0.96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workbookViewId="0">
      <pane xSplit="7" topLeftCell="H1" activePane="topRight" state="frozen"/>
      <selection activeCell="A4" sqref="A4"/>
      <selection pane="topRight" activeCell="H1" sqref="H1"/>
    </sheetView>
  </sheetViews>
  <sheetFormatPr defaultRowHeight="12.75" x14ac:dyDescent="0.2"/>
  <cols>
    <col min="1" max="1" width="4" style="114" customWidth="1"/>
    <col min="2" max="2" width="6" style="114" customWidth="1"/>
    <col min="3" max="3" width="6.42578125" style="114" customWidth="1"/>
    <col min="4" max="4" width="27.85546875" style="114" customWidth="1"/>
    <col min="5" max="5" width="16.140625" style="114" customWidth="1"/>
    <col min="6" max="6" width="14.140625" style="114" customWidth="1"/>
    <col min="7" max="7" width="13.5703125" style="114" customWidth="1"/>
    <col min="8" max="8" width="6" style="114" customWidth="1"/>
    <col min="9" max="17" width="9.140625" style="114" customWidth="1"/>
    <col min="18" max="16384" width="9.140625" style="114"/>
  </cols>
  <sheetData>
    <row r="2" spans="2:7" x14ac:dyDescent="0.2">
      <c r="E2" s="139"/>
      <c r="F2" s="139"/>
      <c r="G2" s="139"/>
    </row>
    <row r="3" spans="2:7" x14ac:dyDescent="0.2">
      <c r="G3" s="286" t="s">
        <v>418</v>
      </c>
    </row>
    <row r="5" spans="2:7" ht="41.25" customHeight="1" x14ac:dyDescent="0.2">
      <c r="B5" s="900" t="s">
        <v>594</v>
      </c>
      <c r="C5" s="900"/>
      <c r="D5" s="900"/>
      <c r="E5" s="900"/>
      <c r="F5" s="900"/>
      <c r="G5" s="900"/>
    </row>
    <row r="7" spans="2:7" ht="13.5" thickBot="1" x14ac:dyDescent="0.25"/>
    <row r="8" spans="2:7" ht="30" customHeight="1" x14ac:dyDescent="0.2">
      <c r="B8" s="901" t="s">
        <v>68</v>
      </c>
      <c r="C8" s="902"/>
      <c r="D8" s="902"/>
      <c r="E8" s="144" t="s">
        <v>218</v>
      </c>
      <c r="F8" s="595" t="s">
        <v>219</v>
      </c>
      <c r="G8" s="145" t="s">
        <v>220</v>
      </c>
    </row>
    <row r="9" spans="2:7" s="146" customFormat="1" ht="20.25" customHeight="1" x14ac:dyDescent="0.25">
      <c r="B9" s="386">
        <v>600</v>
      </c>
      <c r="C9" s="387"/>
      <c r="D9" s="388" t="s">
        <v>169</v>
      </c>
      <c r="E9" s="389">
        <f>E10+E11+E12+E20+E21</f>
        <v>28276794</v>
      </c>
      <c r="F9" s="389">
        <f>F10+F11+F12+F20+F21</f>
        <v>29755230</v>
      </c>
      <c r="G9" s="676">
        <f>G10+G11+G12+G20+G21</f>
        <v>29346147</v>
      </c>
    </row>
    <row r="10" spans="2:7" ht="25.5" x14ac:dyDescent="0.2">
      <c r="B10" s="184"/>
      <c r="C10" s="185">
        <v>610</v>
      </c>
      <c r="D10" s="186" t="s">
        <v>309</v>
      </c>
      <c r="E10" s="179">
        <v>9288867</v>
      </c>
      <c r="F10" s="179">
        <v>9916826</v>
      </c>
      <c r="G10" s="180">
        <v>9876330</v>
      </c>
    </row>
    <row r="11" spans="2:7" x14ac:dyDescent="0.2">
      <c r="B11" s="184"/>
      <c r="C11" s="185">
        <v>620</v>
      </c>
      <c r="D11" s="186" t="s">
        <v>310</v>
      </c>
      <c r="E11" s="179">
        <v>3444287</v>
      </c>
      <c r="F11" s="179">
        <v>3671580</v>
      </c>
      <c r="G11" s="180">
        <v>3640372</v>
      </c>
    </row>
    <row r="12" spans="2:7" x14ac:dyDescent="0.2">
      <c r="B12" s="184"/>
      <c r="C12" s="185">
        <v>630</v>
      </c>
      <c r="D12" s="186" t="s">
        <v>311</v>
      </c>
      <c r="E12" s="187">
        <f>E13+E14+E15+E16+E17+E18+E19</f>
        <v>14040142</v>
      </c>
      <c r="F12" s="187">
        <f>F13+F14+F15+F16+F17+F18+F19</f>
        <v>14576896</v>
      </c>
      <c r="G12" s="498">
        <f>G13+G14+G15+G16+G17+G18+G19</f>
        <v>14323033</v>
      </c>
    </row>
    <row r="13" spans="2:7" x14ac:dyDescent="0.2">
      <c r="B13" s="170"/>
      <c r="C13" s="171">
        <v>631</v>
      </c>
      <c r="D13" s="172" t="s">
        <v>314</v>
      </c>
      <c r="E13" s="173">
        <v>12160</v>
      </c>
      <c r="F13" s="173">
        <v>8827</v>
      </c>
      <c r="G13" s="497">
        <v>5736</v>
      </c>
    </row>
    <row r="14" spans="2:7" x14ac:dyDescent="0.2">
      <c r="B14" s="170"/>
      <c r="C14" s="171">
        <v>632</v>
      </c>
      <c r="D14" s="172" t="s">
        <v>315</v>
      </c>
      <c r="E14" s="173">
        <v>2769116</v>
      </c>
      <c r="F14" s="173">
        <v>2472874</v>
      </c>
      <c r="G14" s="497">
        <v>2412586</v>
      </c>
    </row>
    <row r="15" spans="2:7" x14ac:dyDescent="0.2">
      <c r="B15" s="170"/>
      <c r="C15" s="171">
        <v>633</v>
      </c>
      <c r="D15" s="172" t="s">
        <v>316</v>
      </c>
      <c r="E15" s="173">
        <v>714787</v>
      </c>
      <c r="F15" s="173">
        <v>800103</v>
      </c>
      <c r="G15" s="497">
        <v>777260</v>
      </c>
    </row>
    <row r="16" spans="2:7" x14ac:dyDescent="0.2">
      <c r="B16" s="170"/>
      <c r="C16" s="171">
        <v>634</v>
      </c>
      <c r="D16" s="172" t="s">
        <v>136</v>
      </c>
      <c r="E16" s="173">
        <v>109671</v>
      </c>
      <c r="F16" s="173">
        <v>109352</v>
      </c>
      <c r="G16" s="497">
        <v>99876</v>
      </c>
    </row>
    <row r="17" spans="2:7" x14ac:dyDescent="0.2">
      <c r="B17" s="170"/>
      <c r="C17" s="171">
        <v>635</v>
      </c>
      <c r="D17" s="172" t="s">
        <v>137</v>
      </c>
      <c r="E17" s="173">
        <v>2655205</v>
      </c>
      <c r="F17" s="173">
        <v>2724778</v>
      </c>
      <c r="G17" s="497">
        <v>2688551</v>
      </c>
    </row>
    <row r="18" spans="2:7" x14ac:dyDescent="0.2">
      <c r="B18" s="170"/>
      <c r="C18" s="171">
        <v>636</v>
      </c>
      <c r="D18" s="172" t="s">
        <v>317</v>
      </c>
      <c r="E18" s="173">
        <v>149106</v>
      </c>
      <c r="F18" s="173">
        <v>118575</v>
      </c>
      <c r="G18" s="497">
        <v>113000</v>
      </c>
    </row>
    <row r="19" spans="2:7" x14ac:dyDescent="0.2">
      <c r="B19" s="170"/>
      <c r="C19" s="171">
        <v>637</v>
      </c>
      <c r="D19" s="172" t="s">
        <v>138</v>
      </c>
      <c r="E19" s="173">
        <v>7630097</v>
      </c>
      <c r="F19" s="173">
        <v>8342387</v>
      </c>
      <c r="G19" s="497">
        <v>8226024</v>
      </c>
    </row>
    <row r="20" spans="2:7" x14ac:dyDescent="0.2">
      <c r="B20" s="184"/>
      <c r="C20" s="185">
        <v>640</v>
      </c>
      <c r="D20" s="186" t="s">
        <v>312</v>
      </c>
      <c r="E20" s="187">
        <v>1099448</v>
      </c>
      <c r="F20" s="187">
        <v>1223805</v>
      </c>
      <c r="G20" s="498">
        <v>1207403</v>
      </c>
    </row>
    <row r="21" spans="2:7" x14ac:dyDescent="0.2">
      <c r="B21" s="184"/>
      <c r="C21" s="185">
        <v>650</v>
      </c>
      <c r="D21" s="482" t="s">
        <v>659</v>
      </c>
      <c r="E21" s="187">
        <v>404050</v>
      </c>
      <c r="F21" s="187">
        <v>366123</v>
      </c>
      <c r="G21" s="498">
        <v>299009</v>
      </c>
    </row>
    <row r="22" spans="2:7" ht="9" customHeight="1" x14ac:dyDescent="0.2">
      <c r="B22" s="170"/>
      <c r="C22" s="171"/>
      <c r="D22" s="172"/>
      <c r="E22" s="173"/>
      <c r="F22" s="173"/>
      <c r="G22" s="497"/>
    </row>
    <row r="23" spans="2:7" s="146" customFormat="1" ht="20.25" customHeight="1" x14ac:dyDescent="0.25">
      <c r="B23" s="386">
        <v>700</v>
      </c>
      <c r="C23" s="387"/>
      <c r="D23" s="388" t="s">
        <v>308</v>
      </c>
      <c r="E23" s="389">
        <f>E24</f>
        <v>3969404</v>
      </c>
      <c r="F23" s="389">
        <f>F24</f>
        <v>4915144</v>
      </c>
      <c r="G23" s="676">
        <f>G24</f>
        <v>4781581</v>
      </c>
    </row>
    <row r="24" spans="2:7" x14ac:dyDescent="0.2">
      <c r="B24" s="184"/>
      <c r="C24" s="185">
        <v>710</v>
      </c>
      <c r="D24" s="186" t="s">
        <v>313</v>
      </c>
      <c r="E24" s="187">
        <f>E25+E26+E27+E28+E29+E30</f>
        <v>3969404</v>
      </c>
      <c r="F24" s="187">
        <f>F25+F26+F27+F28+F29+F30+F31</f>
        <v>4915144</v>
      </c>
      <c r="G24" s="498">
        <f>G25+G26+G27+G28+G29+G30+G31</f>
        <v>4781581</v>
      </c>
    </row>
    <row r="25" spans="2:7" x14ac:dyDescent="0.2">
      <c r="B25" s="174"/>
      <c r="C25" s="175">
        <v>711</v>
      </c>
      <c r="D25" s="176" t="s">
        <v>318</v>
      </c>
      <c r="E25" s="177">
        <v>241426</v>
      </c>
      <c r="F25" s="177">
        <v>254086</v>
      </c>
      <c r="G25" s="499">
        <v>209935</v>
      </c>
    </row>
    <row r="26" spans="2:7" ht="25.5" x14ac:dyDescent="0.2">
      <c r="B26" s="174"/>
      <c r="C26" s="175">
        <v>712</v>
      </c>
      <c r="D26" s="176" t="s">
        <v>319</v>
      </c>
      <c r="E26" s="177">
        <v>100</v>
      </c>
      <c r="F26" s="177">
        <v>100</v>
      </c>
      <c r="G26" s="499">
        <v>12</v>
      </c>
    </row>
    <row r="27" spans="2:7" ht="25.5" x14ac:dyDescent="0.2">
      <c r="B27" s="174"/>
      <c r="C27" s="175">
        <v>713</v>
      </c>
      <c r="D27" s="176" t="s">
        <v>320</v>
      </c>
      <c r="E27" s="177">
        <v>0</v>
      </c>
      <c r="F27" s="177">
        <v>21000</v>
      </c>
      <c r="G27" s="499">
        <v>15555</v>
      </c>
    </row>
    <row r="28" spans="2:7" x14ac:dyDescent="0.2">
      <c r="B28" s="174"/>
      <c r="C28" s="175">
        <v>714</v>
      </c>
      <c r="D28" s="176" t="s">
        <v>321</v>
      </c>
      <c r="E28" s="177">
        <v>0</v>
      </c>
      <c r="F28" s="177">
        <v>29650</v>
      </c>
      <c r="G28" s="499">
        <v>28554</v>
      </c>
    </row>
    <row r="29" spans="2:7" ht="25.5" x14ac:dyDescent="0.2">
      <c r="B29" s="174"/>
      <c r="C29" s="175">
        <v>716</v>
      </c>
      <c r="D29" s="176" t="s">
        <v>322</v>
      </c>
      <c r="E29" s="177">
        <v>145924</v>
      </c>
      <c r="F29" s="177">
        <v>155370</v>
      </c>
      <c r="G29" s="499">
        <v>133152</v>
      </c>
    </row>
    <row r="30" spans="2:7" ht="25.5" x14ac:dyDescent="0.2">
      <c r="B30" s="174"/>
      <c r="C30" s="175">
        <v>717</v>
      </c>
      <c r="D30" s="176" t="s">
        <v>323</v>
      </c>
      <c r="E30" s="177">
        <v>3581954</v>
      </c>
      <c r="F30" s="177">
        <v>3467685</v>
      </c>
      <c r="G30" s="499">
        <v>3406705</v>
      </c>
    </row>
    <row r="31" spans="2:7" ht="13.5" thickBot="1" x14ac:dyDescent="0.25">
      <c r="B31" s="677"/>
      <c r="C31" s="678">
        <v>719</v>
      </c>
      <c r="D31" s="679" t="s">
        <v>333</v>
      </c>
      <c r="E31" s="680">
        <v>0</v>
      </c>
      <c r="F31" s="680">
        <v>987253</v>
      </c>
      <c r="G31" s="681">
        <v>987668</v>
      </c>
    </row>
    <row r="33" spans="5:7" x14ac:dyDescent="0.2">
      <c r="G33" s="139"/>
    </row>
    <row r="34" spans="5:7" x14ac:dyDescent="0.2">
      <c r="G34" s="139"/>
    </row>
    <row r="35" spans="5:7" x14ac:dyDescent="0.2">
      <c r="E35" s="119"/>
      <c r="F35" s="119"/>
      <c r="G35" s="500"/>
    </row>
    <row r="36" spans="5:7" x14ac:dyDescent="0.2">
      <c r="G36" s="500"/>
    </row>
    <row r="37" spans="5:7" x14ac:dyDescent="0.2">
      <c r="G37" s="501"/>
    </row>
    <row r="38" spans="5:7" x14ac:dyDescent="0.2">
      <c r="G38" s="501"/>
    </row>
    <row r="39" spans="5:7" x14ac:dyDescent="0.2">
      <c r="G39" s="501"/>
    </row>
    <row r="40" spans="5:7" x14ac:dyDescent="0.2">
      <c r="G40" s="501"/>
    </row>
    <row r="41" spans="5:7" x14ac:dyDescent="0.2">
      <c r="G41" s="501"/>
    </row>
    <row r="42" spans="5:7" x14ac:dyDescent="0.2">
      <c r="G42" s="192"/>
    </row>
    <row r="45" spans="5:7" x14ac:dyDescent="0.2">
      <c r="E45" s="119"/>
    </row>
    <row r="52" spans="7:7" x14ac:dyDescent="0.2">
      <c r="G52" s="466"/>
    </row>
  </sheetData>
  <mergeCells count="2">
    <mergeCell ref="B5:G5"/>
    <mergeCell ref="B8:D8"/>
  </mergeCells>
  <phoneticPr fontId="6" type="noConversion"/>
  <pageMargins left="0.7" right="0.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workbookViewId="0"/>
  </sheetViews>
  <sheetFormatPr defaultRowHeight="15" x14ac:dyDescent="0.25"/>
  <cols>
    <col min="1" max="1" width="5.140625" customWidth="1"/>
    <col min="2" max="2" width="23.85546875" customWidth="1"/>
    <col min="3" max="3" width="13.28515625" customWidth="1"/>
    <col min="4" max="4" width="12.85546875" customWidth="1"/>
    <col min="5" max="5" width="12.7109375" customWidth="1"/>
    <col min="6" max="6" width="12.28515625" customWidth="1"/>
    <col min="7" max="7" width="12.7109375" customWidth="1"/>
    <col min="8" max="8" width="11.28515625" customWidth="1"/>
  </cols>
  <sheetData>
    <row r="1" spans="1:9" x14ac:dyDescent="0.25">
      <c r="H1" s="583" t="s">
        <v>408</v>
      </c>
    </row>
    <row r="2" spans="1:9" ht="21" x14ac:dyDescent="0.35">
      <c r="B2" s="703" t="s">
        <v>209</v>
      </c>
      <c r="C2" s="703"/>
      <c r="D2" s="703"/>
      <c r="E2" s="703"/>
      <c r="F2" s="703"/>
      <c r="G2" s="703"/>
      <c r="H2" s="703"/>
    </row>
    <row r="3" spans="1:9" ht="7.5" customHeight="1" thickBot="1" x14ac:dyDescent="0.3"/>
    <row r="4" spans="1:9" x14ac:dyDescent="0.25">
      <c r="B4" s="622" t="s">
        <v>153</v>
      </c>
      <c r="C4" s="623"/>
      <c r="D4" s="623"/>
      <c r="E4" s="624">
        <f>SUM(E5:E10)</f>
        <v>480756.53</v>
      </c>
    </row>
    <row r="5" spans="1:9" x14ac:dyDescent="0.25">
      <c r="B5" s="708" t="s">
        <v>151</v>
      </c>
      <c r="C5" s="709"/>
      <c r="D5" s="709"/>
      <c r="E5" s="625">
        <v>92928.46</v>
      </c>
    </row>
    <row r="6" spans="1:9" x14ac:dyDescent="0.25">
      <c r="B6" s="710" t="s">
        <v>152</v>
      </c>
      <c r="C6" s="711"/>
      <c r="D6" s="711"/>
      <c r="E6" s="625">
        <v>2328.5300000000002</v>
      </c>
    </row>
    <row r="7" spans="1:9" ht="15" customHeight="1" x14ac:dyDescent="0.25">
      <c r="B7" s="708" t="s">
        <v>31</v>
      </c>
      <c r="C7" s="712"/>
      <c r="D7" s="712"/>
      <c r="E7" s="625">
        <v>369765.32</v>
      </c>
    </row>
    <row r="8" spans="1:9" s="1" customFormat="1" x14ac:dyDescent="0.25">
      <c r="B8" s="704" t="s">
        <v>34</v>
      </c>
      <c r="C8" s="705"/>
      <c r="D8" s="705"/>
      <c r="E8" s="626">
        <v>12.1</v>
      </c>
    </row>
    <row r="9" spans="1:9" x14ac:dyDescent="0.25">
      <c r="B9" s="706" t="s">
        <v>66</v>
      </c>
      <c r="C9" s="707"/>
      <c r="D9" s="707"/>
      <c r="E9" s="92">
        <v>4712.28</v>
      </c>
    </row>
    <row r="10" spans="1:9" ht="15.75" thickBot="1" x14ac:dyDescent="0.3">
      <c r="B10" s="628" t="s">
        <v>35</v>
      </c>
      <c r="C10" s="629"/>
      <c r="D10" s="629"/>
      <c r="E10" s="94">
        <v>11009.84</v>
      </c>
    </row>
    <row r="11" spans="1:9" ht="9.75" customHeight="1" x14ac:dyDescent="0.25">
      <c r="A11" s="12"/>
      <c r="B11" s="630"/>
      <c r="C11" s="630"/>
      <c r="D11" s="630"/>
      <c r="E11" s="631"/>
      <c r="F11" s="12"/>
      <c r="G11" s="12"/>
      <c r="H11" s="12"/>
    </row>
    <row r="12" spans="1:9" ht="13.5" customHeight="1" thickBot="1" x14ac:dyDescent="0.3">
      <c r="B12" s="2"/>
      <c r="C12" s="2"/>
    </row>
    <row r="13" spans="1:9" s="3" customFormat="1" ht="72" x14ac:dyDescent="0.25">
      <c r="B13" s="632" t="s">
        <v>15</v>
      </c>
      <c r="C13" s="633" t="s">
        <v>161</v>
      </c>
      <c r="D13" s="633" t="s">
        <v>162</v>
      </c>
      <c r="E13" s="633" t="s">
        <v>163</v>
      </c>
      <c r="F13" s="633" t="s">
        <v>164</v>
      </c>
      <c r="G13" s="633" t="s">
        <v>165</v>
      </c>
      <c r="H13" s="634" t="s">
        <v>470</v>
      </c>
      <c r="I13" s="14"/>
    </row>
    <row r="14" spans="1:9" s="3" customFormat="1" x14ac:dyDescent="0.25">
      <c r="B14" s="635" t="s">
        <v>169</v>
      </c>
      <c r="C14" s="17" t="s">
        <v>158</v>
      </c>
      <c r="D14" s="17" t="s">
        <v>159</v>
      </c>
      <c r="E14" s="17" t="s">
        <v>159</v>
      </c>
      <c r="F14" s="17" t="s">
        <v>159</v>
      </c>
      <c r="G14" s="17" t="s">
        <v>160</v>
      </c>
      <c r="H14" s="636" t="s">
        <v>249</v>
      </c>
      <c r="I14" s="14"/>
    </row>
    <row r="15" spans="1:9" x14ac:dyDescent="0.25">
      <c r="B15" s="637" t="s">
        <v>18</v>
      </c>
      <c r="C15" s="105">
        <v>62394.25</v>
      </c>
      <c r="D15" s="105">
        <v>18397.3</v>
      </c>
      <c r="E15" s="105">
        <v>6548.87</v>
      </c>
      <c r="F15" s="105">
        <v>693</v>
      </c>
      <c r="G15" s="105">
        <v>5796.83</v>
      </c>
      <c r="H15" s="638">
        <v>0</v>
      </c>
      <c r="I15" s="15"/>
    </row>
    <row r="16" spans="1:9" x14ac:dyDescent="0.25">
      <c r="B16" s="637" t="s">
        <v>28</v>
      </c>
      <c r="C16" s="105">
        <v>23677.24</v>
      </c>
      <c r="D16" s="105">
        <v>6284.53</v>
      </c>
      <c r="E16" s="105">
        <v>2309.37</v>
      </c>
      <c r="F16" s="105">
        <v>244.38</v>
      </c>
      <c r="G16" s="105">
        <v>2092.41</v>
      </c>
      <c r="H16" s="638">
        <v>2202.09</v>
      </c>
      <c r="I16" s="15"/>
    </row>
    <row r="17" spans="2:9" x14ac:dyDescent="0.25">
      <c r="B17" s="637" t="s">
        <v>19</v>
      </c>
      <c r="C17" s="105">
        <f>C18+C19+C20+C21+C22+C23</f>
        <v>136919.29</v>
      </c>
      <c r="D17" s="105">
        <f t="shared" ref="D17:G17" si="0">D18+D19+D20+D21+D22+D23</f>
        <v>12547.550000000001</v>
      </c>
      <c r="E17" s="105">
        <f t="shared" si="0"/>
        <v>16633.13</v>
      </c>
      <c r="F17" s="105">
        <f t="shared" si="0"/>
        <v>669.31000000000006</v>
      </c>
      <c r="G17" s="105">
        <f t="shared" si="0"/>
        <v>6279.63</v>
      </c>
      <c r="H17" s="638">
        <f>+H18+H19+H20+H21+H22+H23</f>
        <v>7554</v>
      </c>
      <c r="I17" s="15"/>
    </row>
    <row r="18" spans="2:9" x14ac:dyDescent="0.25">
      <c r="B18" s="100" t="s">
        <v>29</v>
      </c>
      <c r="C18" s="103">
        <v>87794.66</v>
      </c>
      <c r="D18" s="103">
        <v>7581.35</v>
      </c>
      <c r="E18" s="103">
        <v>5102.83</v>
      </c>
      <c r="F18" s="103">
        <v>0</v>
      </c>
      <c r="G18" s="103">
        <v>0</v>
      </c>
      <c r="H18" s="639">
        <v>0</v>
      </c>
      <c r="I18" s="15"/>
    </row>
    <row r="19" spans="2:9" x14ac:dyDescent="0.25">
      <c r="B19" s="100" t="s">
        <v>21</v>
      </c>
      <c r="C19" s="103">
        <v>4072.94</v>
      </c>
      <c r="D19" s="103">
        <v>1918.2</v>
      </c>
      <c r="E19" s="103">
        <v>1324.64</v>
      </c>
      <c r="F19" s="103">
        <v>299.99</v>
      </c>
      <c r="G19" s="103">
        <v>4791.7299999999996</v>
      </c>
      <c r="H19" s="639">
        <v>359</v>
      </c>
      <c r="I19" s="15"/>
    </row>
    <row r="20" spans="2:9" x14ac:dyDescent="0.25">
      <c r="B20" s="100" t="s">
        <v>22</v>
      </c>
      <c r="C20" s="103">
        <v>3080.15</v>
      </c>
      <c r="D20" s="103">
        <v>0</v>
      </c>
      <c r="E20" s="103">
        <v>0</v>
      </c>
      <c r="F20" s="103">
        <v>237.22</v>
      </c>
      <c r="G20" s="103">
        <v>1167.18</v>
      </c>
      <c r="H20" s="639">
        <v>0</v>
      </c>
      <c r="I20" s="15"/>
    </row>
    <row r="21" spans="2:9" x14ac:dyDescent="0.25">
      <c r="B21" s="100" t="s">
        <v>27</v>
      </c>
      <c r="C21" s="103">
        <v>31073.87</v>
      </c>
      <c r="D21" s="103">
        <v>75.680000000000007</v>
      </c>
      <c r="E21" s="103">
        <v>42</v>
      </c>
      <c r="F21" s="103">
        <v>0</v>
      </c>
      <c r="G21" s="103">
        <v>0</v>
      </c>
      <c r="H21" s="639">
        <v>0</v>
      </c>
      <c r="I21" s="15"/>
    </row>
    <row r="22" spans="2:9" x14ac:dyDescent="0.25">
      <c r="B22" s="100" t="s">
        <v>23</v>
      </c>
      <c r="C22" s="103">
        <v>0</v>
      </c>
      <c r="D22" s="103">
        <v>0</v>
      </c>
      <c r="E22" s="103">
        <v>1250</v>
      </c>
      <c r="F22" s="103">
        <v>0</v>
      </c>
      <c r="G22" s="103">
        <v>0</v>
      </c>
      <c r="H22" s="639">
        <v>0</v>
      </c>
      <c r="I22" s="15"/>
    </row>
    <row r="23" spans="2:9" x14ac:dyDescent="0.25">
      <c r="B23" s="100" t="s">
        <v>24</v>
      </c>
      <c r="C23" s="103">
        <v>10897.67</v>
      </c>
      <c r="D23" s="103">
        <v>2972.32</v>
      </c>
      <c r="E23" s="103">
        <v>8913.66</v>
      </c>
      <c r="F23" s="103">
        <v>132.1</v>
      </c>
      <c r="G23" s="103">
        <v>320.72000000000003</v>
      </c>
      <c r="H23" s="639">
        <v>7195</v>
      </c>
      <c r="I23" s="15"/>
    </row>
    <row r="24" spans="2:9" x14ac:dyDescent="0.25">
      <c r="B24" s="637" t="s">
        <v>25</v>
      </c>
      <c r="C24" s="104">
        <v>1199.93</v>
      </c>
      <c r="D24" s="104">
        <v>805.56</v>
      </c>
      <c r="E24" s="104">
        <v>0</v>
      </c>
      <c r="F24" s="104">
        <v>0</v>
      </c>
      <c r="G24" s="104">
        <v>0</v>
      </c>
      <c r="H24" s="640">
        <v>0</v>
      </c>
      <c r="I24" s="15"/>
    </row>
    <row r="25" spans="2:9" s="107" customFormat="1" ht="6.75" customHeight="1" x14ac:dyDescent="0.25">
      <c r="B25" s="641"/>
      <c r="C25" s="108"/>
      <c r="D25" s="108"/>
      <c r="E25" s="108"/>
      <c r="F25" s="108"/>
      <c r="G25" s="108"/>
      <c r="H25" s="642"/>
      <c r="I25" s="106"/>
    </row>
    <row r="26" spans="2:9" ht="20.25" customHeight="1" x14ac:dyDescent="0.25">
      <c r="B26" s="643" t="s">
        <v>135</v>
      </c>
      <c r="C26" s="275">
        <f t="shared" ref="C26:H26" si="1">C15+C16+C17+C24</f>
        <v>224190.71000000002</v>
      </c>
      <c r="D26" s="275">
        <f t="shared" si="1"/>
        <v>38034.939999999995</v>
      </c>
      <c r="E26" s="275">
        <f t="shared" si="1"/>
        <v>25491.370000000003</v>
      </c>
      <c r="F26" s="275">
        <f t="shared" si="1"/>
        <v>1606.69</v>
      </c>
      <c r="G26" s="275">
        <f t="shared" si="1"/>
        <v>14168.869999999999</v>
      </c>
      <c r="H26" s="644">
        <f t="shared" si="1"/>
        <v>9756.09</v>
      </c>
      <c r="I26" s="16"/>
    </row>
    <row r="27" spans="2:9" ht="18" customHeight="1" thickBot="1" x14ac:dyDescent="0.3">
      <c r="B27" s="645" t="s">
        <v>204</v>
      </c>
      <c r="C27" s="646">
        <v>0</v>
      </c>
      <c r="D27" s="646">
        <v>0</v>
      </c>
      <c r="E27" s="646">
        <v>0</v>
      </c>
      <c r="F27" s="646">
        <v>0</v>
      </c>
      <c r="G27" s="646">
        <v>0</v>
      </c>
      <c r="H27" s="647">
        <v>0</v>
      </c>
      <c r="I27" s="12"/>
    </row>
    <row r="28" spans="2:9" ht="15.75" thickBot="1" x14ac:dyDescent="0.3">
      <c r="H28" s="12"/>
      <c r="I28" s="12"/>
    </row>
    <row r="29" spans="2:9" s="3" customFormat="1" ht="60" x14ac:dyDescent="0.25">
      <c r="B29" s="632" t="s">
        <v>15</v>
      </c>
      <c r="C29" s="633" t="s">
        <v>154</v>
      </c>
      <c r="D29" s="633" t="s">
        <v>155</v>
      </c>
      <c r="E29" s="633" t="s">
        <v>156</v>
      </c>
      <c r="F29" s="633" t="s">
        <v>419</v>
      </c>
      <c r="G29" s="633" t="s">
        <v>157</v>
      </c>
      <c r="H29" s="634" t="s">
        <v>334</v>
      </c>
      <c r="I29" s="14"/>
    </row>
    <row r="30" spans="2:9" s="3" customFormat="1" x14ac:dyDescent="0.25">
      <c r="B30" s="635" t="s">
        <v>169</v>
      </c>
      <c r="C30" s="17" t="s">
        <v>166</v>
      </c>
      <c r="D30" s="17" t="s">
        <v>166</v>
      </c>
      <c r="E30" s="17" t="s">
        <v>166</v>
      </c>
      <c r="F30" s="17" t="s">
        <v>166</v>
      </c>
      <c r="G30" s="17" t="s">
        <v>167</v>
      </c>
      <c r="H30" s="636" t="s">
        <v>159</v>
      </c>
      <c r="I30" s="14"/>
    </row>
    <row r="31" spans="2:9" x14ac:dyDescent="0.25">
      <c r="B31" s="637" t="s">
        <v>18</v>
      </c>
      <c r="C31" s="105">
        <v>88840.43</v>
      </c>
      <c r="D31" s="105">
        <v>109387.44</v>
      </c>
      <c r="E31" s="105">
        <v>0</v>
      </c>
      <c r="F31" s="105">
        <v>6996.14</v>
      </c>
      <c r="G31" s="105">
        <v>0</v>
      </c>
      <c r="H31" s="638">
        <v>29931.8</v>
      </c>
      <c r="I31" s="15"/>
    </row>
    <row r="32" spans="2:9" x14ac:dyDescent="0.25">
      <c r="B32" s="637" t="s">
        <v>28</v>
      </c>
      <c r="C32" s="105">
        <v>30249.759999999998</v>
      </c>
      <c r="D32" s="105">
        <v>38268.269999999997</v>
      </c>
      <c r="E32" s="105">
        <v>0</v>
      </c>
      <c r="F32" s="105">
        <v>2799.09</v>
      </c>
      <c r="G32" s="105">
        <v>0</v>
      </c>
      <c r="H32" s="638">
        <v>19143.060000000001</v>
      </c>
      <c r="I32" s="15"/>
    </row>
    <row r="33" spans="2:9" x14ac:dyDescent="0.25">
      <c r="B33" s="637" t="s">
        <v>19</v>
      </c>
      <c r="C33" s="105">
        <f>C34+C35+C36+C37+C38+C39</f>
        <v>269692.92000000004</v>
      </c>
      <c r="D33" s="105">
        <f t="shared" ref="D33:G33" si="2">D34+D35+D36+D37+D38+D39</f>
        <v>191715</v>
      </c>
      <c r="E33" s="105">
        <f t="shared" si="2"/>
        <v>3148.02</v>
      </c>
      <c r="F33" s="105">
        <f t="shared" si="2"/>
        <v>41464.21</v>
      </c>
      <c r="G33" s="105">
        <f t="shared" si="2"/>
        <v>118811.81999999999</v>
      </c>
      <c r="H33" s="638">
        <f>H34+H35+H36+H37+H38+H39</f>
        <v>60827.59</v>
      </c>
      <c r="I33" s="15"/>
    </row>
    <row r="34" spans="2:9" x14ac:dyDescent="0.25">
      <c r="B34" s="100" t="s">
        <v>29</v>
      </c>
      <c r="C34" s="103">
        <v>206481.14</v>
      </c>
      <c r="D34" s="103">
        <v>144531.34</v>
      </c>
      <c r="E34" s="103">
        <v>0</v>
      </c>
      <c r="F34" s="103">
        <v>0</v>
      </c>
      <c r="G34" s="103">
        <v>108947.05</v>
      </c>
      <c r="H34" s="639">
        <v>0</v>
      </c>
      <c r="I34" s="15"/>
    </row>
    <row r="35" spans="2:9" x14ac:dyDescent="0.25">
      <c r="B35" s="100" t="s">
        <v>21</v>
      </c>
      <c r="C35" s="103">
        <v>18515.23</v>
      </c>
      <c r="D35" s="103">
        <v>16486.599999999999</v>
      </c>
      <c r="E35" s="103">
        <v>0</v>
      </c>
      <c r="F35" s="103">
        <v>36274.33</v>
      </c>
      <c r="G35" s="103">
        <v>1052.73</v>
      </c>
      <c r="H35" s="639">
        <v>8755.15</v>
      </c>
      <c r="I35" s="15"/>
    </row>
    <row r="36" spans="2:9" x14ac:dyDescent="0.25">
      <c r="B36" s="100" t="s">
        <v>22</v>
      </c>
      <c r="C36" s="103">
        <v>0</v>
      </c>
      <c r="D36" s="103">
        <v>0</v>
      </c>
      <c r="E36" s="103">
        <v>0</v>
      </c>
      <c r="F36" s="103">
        <v>720.65</v>
      </c>
      <c r="G36" s="103">
        <v>0</v>
      </c>
      <c r="H36" s="639">
        <v>9538.7199999999993</v>
      </c>
      <c r="I36" s="15"/>
    </row>
    <row r="37" spans="2:9" x14ac:dyDescent="0.25">
      <c r="B37" s="100" t="s">
        <v>27</v>
      </c>
      <c r="C37" s="103">
        <v>14434.9</v>
      </c>
      <c r="D37" s="103">
        <v>15327.56</v>
      </c>
      <c r="E37" s="103">
        <v>0</v>
      </c>
      <c r="F37" s="103">
        <v>3120.24</v>
      </c>
      <c r="G37" s="103">
        <v>5268.03</v>
      </c>
      <c r="H37" s="639">
        <v>14145.94</v>
      </c>
      <c r="I37" s="15"/>
    </row>
    <row r="38" spans="2:9" x14ac:dyDescent="0.25">
      <c r="B38" s="100" t="s">
        <v>23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639">
        <v>42</v>
      </c>
      <c r="I38" s="15"/>
    </row>
    <row r="39" spans="2:9" x14ac:dyDescent="0.25">
      <c r="B39" s="100" t="s">
        <v>24</v>
      </c>
      <c r="C39" s="103">
        <v>30261.65</v>
      </c>
      <c r="D39" s="103">
        <v>15369.5</v>
      </c>
      <c r="E39" s="103">
        <v>3148.02</v>
      </c>
      <c r="F39" s="103">
        <v>1348.99</v>
      </c>
      <c r="G39" s="103">
        <v>3544.01</v>
      </c>
      <c r="H39" s="639">
        <v>28345.78</v>
      </c>
      <c r="I39" s="15"/>
    </row>
    <row r="40" spans="2:9" x14ac:dyDescent="0.25">
      <c r="B40" s="637" t="s">
        <v>25</v>
      </c>
      <c r="C40" s="104">
        <v>96.4</v>
      </c>
      <c r="D40" s="104">
        <v>950.46</v>
      </c>
      <c r="E40" s="104">
        <v>0</v>
      </c>
      <c r="F40" s="104">
        <v>0</v>
      </c>
      <c r="G40" s="104">
        <v>0</v>
      </c>
      <c r="H40" s="640">
        <v>143.1</v>
      </c>
      <c r="I40" s="15"/>
    </row>
    <row r="41" spans="2:9" s="109" customFormat="1" ht="6.75" customHeight="1" x14ac:dyDescent="0.25">
      <c r="B41" s="648"/>
      <c r="C41" s="110"/>
      <c r="D41" s="110"/>
      <c r="E41" s="110"/>
      <c r="F41" s="110"/>
      <c r="G41" s="110"/>
      <c r="H41" s="642"/>
      <c r="I41" s="111"/>
    </row>
    <row r="42" spans="2:9" ht="18.75" customHeight="1" x14ac:dyDescent="0.25">
      <c r="B42" s="643" t="s">
        <v>135</v>
      </c>
      <c r="C42" s="275">
        <f t="shared" ref="C42:H42" si="3">C31+C32+C33+C40</f>
        <v>388879.51000000007</v>
      </c>
      <c r="D42" s="275">
        <f t="shared" si="3"/>
        <v>340321.17</v>
      </c>
      <c r="E42" s="275">
        <f t="shared" si="3"/>
        <v>3148.02</v>
      </c>
      <c r="F42" s="275">
        <f t="shared" si="3"/>
        <v>51259.44</v>
      </c>
      <c r="G42" s="275">
        <f t="shared" si="3"/>
        <v>118811.81999999999</v>
      </c>
      <c r="H42" s="644">
        <f t="shared" si="3"/>
        <v>110045.55</v>
      </c>
      <c r="I42" s="16"/>
    </row>
    <row r="43" spans="2:9" ht="20.25" customHeight="1" thickBot="1" x14ac:dyDescent="0.3">
      <c r="B43" s="645" t="s">
        <v>204</v>
      </c>
      <c r="C43" s="646">
        <v>0</v>
      </c>
      <c r="D43" s="646">
        <v>0</v>
      </c>
      <c r="E43" s="646">
        <v>0</v>
      </c>
      <c r="F43" s="646">
        <v>0</v>
      </c>
      <c r="G43" s="646">
        <v>0</v>
      </c>
      <c r="H43" s="647">
        <v>0</v>
      </c>
    </row>
    <row r="46" spans="2:9" s="215" customFormat="1" x14ac:dyDescent="0.25"/>
    <row r="47" spans="2:9" s="215" customFormat="1" x14ac:dyDescent="0.25"/>
    <row r="48" spans="2:9" s="215" customFormat="1" x14ac:dyDescent="0.25"/>
    <row r="49" spans="2:10" s="215" customFormat="1" x14ac:dyDescent="0.25"/>
    <row r="50" spans="2:10" s="215" customFormat="1" x14ac:dyDescent="0.25"/>
    <row r="51" spans="2:10" s="215" customFormat="1" x14ac:dyDescent="0.25"/>
    <row r="52" spans="2:10" s="215" customFormat="1" x14ac:dyDescent="0.25"/>
    <row r="55" spans="2:10" ht="15.75" thickBot="1" x14ac:dyDescent="0.3"/>
    <row r="56" spans="2:10" s="3" customFormat="1" ht="60" x14ac:dyDescent="0.25">
      <c r="B56" s="632" t="s">
        <v>15</v>
      </c>
      <c r="C56" s="633" t="s">
        <v>335</v>
      </c>
      <c r="D56" s="633" t="s">
        <v>205</v>
      </c>
      <c r="E56" s="633" t="s">
        <v>206</v>
      </c>
      <c r="F56" s="633" t="s">
        <v>208</v>
      </c>
      <c r="G56" s="633" t="s">
        <v>207</v>
      </c>
      <c r="H56" s="649" t="s">
        <v>26</v>
      </c>
    </row>
    <row r="57" spans="2:10" s="3" customFormat="1" x14ac:dyDescent="0.25">
      <c r="B57" s="650" t="s">
        <v>169</v>
      </c>
      <c r="C57" s="17" t="s">
        <v>168</v>
      </c>
      <c r="D57" s="17" t="s">
        <v>168</v>
      </c>
      <c r="E57" s="17" t="s">
        <v>159</v>
      </c>
      <c r="F57" s="17" t="s">
        <v>159</v>
      </c>
      <c r="G57" s="17" t="s">
        <v>141</v>
      </c>
      <c r="H57" s="651"/>
    </row>
    <row r="58" spans="2:10" x14ac:dyDescent="0.25">
      <c r="B58" s="637" t="s">
        <v>18</v>
      </c>
      <c r="C58" s="105">
        <v>0</v>
      </c>
      <c r="D58" s="105">
        <v>22914.32</v>
      </c>
      <c r="E58" s="105">
        <v>1098.6300000000001</v>
      </c>
      <c r="F58" s="105">
        <v>84701.22</v>
      </c>
      <c r="G58" s="105">
        <v>0</v>
      </c>
      <c r="H58" s="652">
        <f>G58+F58+E58+D58+C58+H31+G31+F31+E31+D31+C31+H15+G15+F15+E15+D15+C15</f>
        <v>437700.23</v>
      </c>
      <c r="J58" s="4"/>
    </row>
    <row r="59" spans="2:10" x14ac:dyDescent="0.25">
      <c r="B59" s="637" t="s">
        <v>28</v>
      </c>
      <c r="C59" s="105">
        <v>160.72</v>
      </c>
      <c r="D59" s="105">
        <v>8029.29</v>
      </c>
      <c r="E59" s="105">
        <v>384.25</v>
      </c>
      <c r="F59" s="105">
        <v>36488.47</v>
      </c>
      <c r="G59" s="105">
        <v>0</v>
      </c>
      <c r="H59" s="652">
        <f>G59+F59+E59+D59+C59+H32+G32+F32+E32+D32+C32+H16+G16+F16+E16+D16+C16</f>
        <v>172332.93</v>
      </c>
    </row>
    <row r="60" spans="2:10" x14ac:dyDescent="0.25">
      <c r="B60" s="637" t="s">
        <v>19</v>
      </c>
      <c r="C60" s="105">
        <f>C61+C62+C63+C64+C65+C66</f>
        <v>5272.51</v>
      </c>
      <c r="D60" s="105">
        <f t="shared" ref="D60:G60" si="4">D61+D62+D63+D64+D65+D66</f>
        <v>11783.72</v>
      </c>
      <c r="E60" s="105">
        <f t="shared" si="4"/>
        <v>4879.51</v>
      </c>
      <c r="F60" s="105">
        <f t="shared" si="4"/>
        <v>51964.380000000005</v>
      </c>
      <c r="G60" s="105">
        <f t="shared" si="4"/>
        <v>17116.89</v>
      </c>
      <c r="H60" s="652">
        <f>H61+H62+H63+H64+H65+H66</f>
        <v>957279.48</v>
      </c>
    </row>
    <row r="61" spans="2:10" x14ac:dyDescent="0.25">
      <c r="B61" s="100" t="s">
        <v>29</v>
      </c>
      <c r="C61" s="103">
        <v>1462.24</v>
      </c>
      <c r="D61" s="103">
        <v>532.30999999999995</v>
      </c>
      <c r="E61" s="103">
        <v>3435.34</v>
      </c>
      <c r="F61" s="103">
        <v>3389.73</v>
      </c>
      <c r="G61" s="103">
        <v>16986.89</v>
      </c>
      <c r="H61" s="653">
        <f>G61+F61+E61+D61+C61+H34+G34+F34+E34+D34+C34+H18+G18+F18+E18+D18+C18</f>
        <v>586244.88</v>
      </c>
    </row>
    <row r="62" spans="2:10" x14ac:dyDescent="0.25">
      <c r="B62" s="100" t="s">
        <v>21</v>
      </c>
      <c r="C62" s="103">
        <v>2393.0700000000002</v>
      </c>
      <c r="D62" s="103">
        <v>3296.69</v>
      </c>
      <c r="E62" s="103">
        <v>607.6</v>
      </c>
      <c r="F62" s="103">
        <v>3085.81</v>
      </c>
      <c r="G62" s="103">
        <v>0</v>
      </c>
      <c r="H62" s="653">
        <f>G62+F62+E62+D62+C62+H35+G35+F35+E35+D35+C35+H19+G19+F19+E19+D19+C19</f>
        <v>103233.71</v>
      </c>
    </row>
    <row r="63" spans="2:10" x14ac:dyDescent="0.25">
      <c r="B63" s="100" t="s">
        <v>22</v>
      </c>
      <c r="C63" s="103">
        <v>191.25</v>
      </c>
      <c r="D63" s="103">
        <v>2318.0700000000002</v>
      </c>
      <c r="E63" s="103">
        <v>0</v>
      </c>
      <c r="F63" s="103">
        <v>9344.4500000000007</v>
      </c>
      <c r="G63" s="103">
        <v>0</v>
      </c>
      <c r="H63" s="653">
        <f>G63+F63+E63+D63+C63+H36+G36+F36+E36+D36+C36+H20+G20+F20+E20+D20+C20</f>
        <v>26597.690000000002</v>
      </c>
    </row>
    <row r="64" spans="2:10" x14ac:dyDescent="0.25">
      <c r="B64" s="100" t="s">
        <v>27</v>
      </c>
      <c r="C64" s="103">
        <v>0</v>
      </c>
      <c r="D64" s="103">
        <v>179.19</v>
      </c>
      <c r="E64" s="103">
        <v>0</v>
      </c>
      <c r="F64" s="103">
        <v>3843.66</v>
      </c>
      <c r="G64" s="103">
        <v>0</v>
      </c>
      <c r="H64" s="653">
        <f>G64+F64+E64+D64+C64+H37+G37+F37+E37+D37+C37+H21+G21+F21+E21+D21+C21</f>
        <v>87511.069999999992</v>
      </c>
    </row>
    <row r="65" spans="2:8" x14ac:dyDescent="0.25">
      <c r="B65" s="100" t="s">
        <v>23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653">
        <f>G65+F65+E65+D65+C65+H38+G38+F38+E38+D38+C38+H22+G22+F22+E22+D22+C22</f>
        <v>1292</v>
      </c>
    </row>
    <row r="66" spans="2:8" x14ac:dyDescent="0.25">
      <c r="B66" s="100" t="s">
        <v>24</v>
      </c>
      <c r="C66" s="103">
        <v>1225.95</v>
      </c>
      <c r="D66" s="103">
        <v>5457.46</v>
      </c>
      <c r="E66" s="103">
        <v>836.57</v>
      </c>
      <c r="F66" s="103">
        <v>32300.73</v>
      </c>
      <c r="G66" s="103">
        <v>130</v>
      </c>
      <c r="H66" s="653">
        <f>G66+F66+E66+D66+C66+H39+G39+F39+E39+D39+C39+H23+G23+F23+E23+D23+C23</f>
        <v>152400.13000000003</v>
      </c>
    </row>
    <row r="67" spans="2:8" x14ac:dyDescent="0.25">
      <c r="B67" s="637" t="s">
        <v>25</v>
      </c>
      <c r="C67" s="105">
        <v>0</v>
      </c>
      <c r="D67" s="105">
        <v>240.54</v>
      </c>
      <c r="E67" s="105">
        <v>0</v>
      </c>
      <c r="F67" s="105">
        <v>1146.81</v>
      </c>
      <c r="G67" s="105">
        <v>0</v>
      </c>
      <c r="H67" s="652">
        <f>G67+F67+E67+D67+C67+H40+G40+F40+E40+D40+C40+H24+G24+F24+E24+D24+C24</f>
        <v>4582.8</v>
      </c>
    </row>
    <row r="68" spans="2:8" s="109" customFormat="1" ht="6.75" customHeight="1" x14ac:dyDescent="0.25">
      <c r="B68" s="648"/>
      <c r="C68" s="112"/>
      <c r="D68" s="112"/>
      <c r="E68" s="112"/>
      <c r="F68" s="112"/>
      <c r="G68" s="112"/>
      <c r="H68" s="654"/>
    </row>
    <row r="69" spans="2:8" x14ac:dyDescent="0.25">
      <c r="B69" s="643" t="s">
        <v>135</v>
      </c>
      <c r="C69" s="275">
        <f t="shared" ref="C69:H69" si="5">C58+C59+C60+C67</f>
        <v>5433.2300000000005</v>
      </c>
      <c r="D69" s="309">
        <f t="shared" si="5"/>
        <v>42967.87</v>
      </c>
      <c r="E69" s="309">
        <f t="shared" si="5"/>
        <v>6362.39</v>
      </c>
      <c r="F69" s="309">
        <f t="shared" si="5"/>
        <v>174300.88</v>
      </c>
      <c r="G69" s="309">
        <f t="shared" si="5"/>
        <v>17116.89</v>
      </c>
      <c r="H69" s="655">
        <f t="shared" si="5"/>
        <v>1571895.44</v>
      </c>
    </row>
    <row r="70" spans="2:8" x14ac:dyDescent="0.25">
      <c r="B70" s="643" t="s">
        <v>204</v>
      </c>
      <c r="C70" s="275"/>
      <c r="D70" s="309">
        <v>12000</v>
      </c>
      <c r="E70" s="309">
        <v>0</v>
      </c>
      <c r="F70" s="309">
        <v>0</v>
      </c>
      <c r="G70" s="309">
        <v>0</v>
      </c>
      <c r="H70" s="655">
        <f>G70+F70+E70+D70+C70+H43+G43+F43+E43+D43+C43+H27+G27+F27+E27+D27+C27</f>
        <v>12000</v>
      </c>
    </row>
    <row r="71" spans="2:8" ht="15.75" thickBot="1" x14ac:dyDescent="0.3">
      <c r="B71" s="656" t="s">
        <v>471</v>
      </c>
      <c r="C71" s="657"/>
      <c r="D71" s="658"/>
      <c r="E71" s="658"/>
      <c r="F71" s="658"/>
      <c r="G71" s="658"/>
      <c r="H71" s="659">
        <f>H69+H70</f>
        <v>1583895.44</v>
      </c>
    </row>
    <row r="73" spans="2:8" x14ac:dyDescent="0.25">
      <c r="B73" s="84"/>
    </row>
  </sheetData>
  <mergeCells count="6">
    <mergeCell ref="B2:H2"/>
    <mergeCell ref="B8:D8"/>
    <mergeCell ref="B9:D9"/>
    <mergeCell ref="B5:D5"/>
    <mergeCell ref="B6:D6"/>
    <mergeCell ref="B7:D7"/>
  </mergeCells>
  <phoneticPr fontId="6" type="noConversion"/>
  <pageMargins left="0.65" right="0.18" top="0.55118110236220474" bottom="0.31496062992125984" header="0.51181102362204722" footer="0.27559055118110237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14"/>
  <sheetViews>
    <sheetView workbookViewId="0">
      <selection activeCell="C15" sqref="C15"/>
    </sheetView>
  </sheetViews>
  <sheetFormatPr defaultRowHeight="12.75" x14ac:dyDescent="0.2"/>
  <cols>
    <col min="1" max="1" width="9.140625" style="119"/>
    <col min="2" max="2" width="9.85546875" style="119" customWidth="1"/>
    <col min="3" max="3" width="42.28515625" style="119" customWidth="1"/>
    <col min="4" max="4" width="13.5703125" style="119" customWidth="1"/>
    <col min="5" max="5" width="12.7109375" style="119" customWidth="1"/>
    <col min="6" max="6" width="13.7109375" style="119" customWidth="1"/>
    <col min="7" max="16384" width="9.140625" style="119"/>
  </cols>
  <sheetData>
    <row r="2" spans="2:8" x14ac:dyDescent="0.2">
      <c r="F2" s="286" t="s">
        <v>466</v>
      </c>
    </row>
    <row r="4" spans="2:8" ht="42.75" customHeight="1" x14ac:dyDescent="0.2">
      <c r="B4" s="900" t="s">
        <v>601</v>
      </c>
      <c r="C4" s="900"/>
      <c r="D4" s="900"/>
      <c r="E4" s="900"/>
      <c r="F4" s="900"/>
      <c r="G4" s="259"/>
      <c r="H4" s="259"/>
    </row>
    <row r="5" spans="2:8" ht="13.5" thickBot="1" x14ac:dyDescent="0.25"/>
    <row r="6" spans="2:8" ht="36" customHeight="1" x14ac:dyDescent="0.2">
      <c r="B6" s="903" t="s">
        <v>68</v>
      </c>
      <c r="C6" s="904"/>
      <c r="D6" s="149" t="s">
        <v>218</v>
      </c>
      <c r="E6" s="148" t="s">
        <v>219</v>
      </c>
      <c r="F6" s="150" t="s">
        <v>220</v>
      </c>
    </row>
    <row r="7" spans="2:8" ht="18" customHeight="1" x14ac:dyDescent="0.2">
      <c r="B7" s="390"/>
      <c r="C7" s="391" t="s">
        <v>400</v>
      </c>
      <c r="D7" s="392">
        <f>SUM(D8:D11)</f>
        <v>1899910</v>
      </c>
      <c r="E7" s="392">
        <f>SUM(E8:E11)</f>
        <v>3356338</v>
      </c>
      <c r="F7" s="392">
        <f>SUM(F8:F11)</f>
        <v>3349328.23</v>
      </c>
    </row>
    <row r="8" spans="2:8" x14ac:dyDescent="0.2">
      <c r="B8" s="260">
        <v>455</v>
      </c>
      <c r="C8" s="261" t="s">
        <v>401</v>
      </c>
      <c r="D8" s="262">
        <v>0</v>
      </c>
      <c r="E8" s="262">
        <v>0</v>
      </c>
      <c r="F8" s="263">
        <v>2209.59</v>
      </c>
    </row>
    <row r="9" spans="2:8" s="209" customFormat="1" ht="25.5" x14ac:dyDescent="0.25">
      <c r="B9" s="264">
        <v>453</v>
      </c>
      <c r="C9" s="265" t="s">
        <v>405</v>
      </c>
      <c r="D9" s="262">
        <v>0</v>
      </c>
      <c r="E9" s="262">
        <v>585264</v>
      </c>
      <c r="F9" s="263">
        <v>585264.24</v>
      </c>
    </row>
    <row r="10" spans="2:8" s="209" customFormat="1" x14ac:dyDescent="0.25">
      <c r="B10" s="260">
        <v>454001</v>
      </c>
      <c r="C10" s="265" t="s">
        <v>407</v>
      </c>
      <c r="D10" s="262">
        <v>200000</v>
      </c>
      <c r="E10" s="262">
        <v>389404</v>
      </c>
      <c r="F10" s="263">
        <v>389404</v>
      </c>
    </row>
    <row r="11" spans="2:8" x14ac:dyDescent="0.2">
      <c r="B11" s="266">
        <v>513002</v>
      </c>
      <c r="C11" s="267" t="s">
        <v>406</v>
      </c>
      <c r="D11" s="268">
        <v>1699910</v>
      </c>
      <c r="E11" s="268">
        <v>2381670</v>
      </c>
      <c r="F11" s="269">
        <v>2372450.4</v>
      </c>
    </row>
    <row r="12" spans="2:8" ht="18" customHeight="1" x14ac:dyDescent="0.2">
      <c r="B12" s="390"/>
      <c r="C12" s="391" t="s">
        <v>402</v>
      </c>
      <c r="D12" s="392">
        <f>SUM(D13:D14)</f>
        <v>1485592</v>
      </c>
      <c r="E12" s="392">
        <f>SUM(E13:E14)</f>
        <v>1485592</v>
      </c>
      <c r="F12" s="393">
        <f>SUM(F13:F14)</f>
        <v>1485514.52</v>
      </c>
    </row>
    <row r="13" spans="2:8" ht="25.5" x14ac:dyDescent="0.2">
      <c r="B13" s="266">
        <v>821005</v>
      </c>
      <c r="C13" s="88" t="s">
        <v>403</v>
      </c>
      <c r="D13" s="268">
        <v>1463592</v>
      </c>
      <c r="E13" s="268">
        <v>1463592</v>
      </c>
      <c r="F13" s="269">
        <v>1463506.08</v>
      </c>
    </row>
    <row r="14" spans="2:8" ht="25.5" customHeight="1" thickBot="1" x14ac:dyDescent="0.25">
      <c r="B14" s="270">
        <v>827007</v>
      </c>
      <c r="C14" s="271" t="s">
        <v>404</v>
      </c>
      <c r="D14" s="272">
        <v>22000</v>
      </c>
      <c r="E14" s="272">
        <v>22000</v>
      </c>
      <c r="F14" s="273">
        <v>22008.44</v>
      </c>
    </row>
  </sheetData>
  <mergeCells count="2">
    <mergeCell ref="B4:F4"/>
    <mergeCell ref="B6:C6"/>
  </mergeCells>
  <pageMargins left="0.46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0"/>
  <sheetViews>
    <sheetView workbookViewId="0"/>
  </sheetViews>
  <sheetFormatPr defaultRowHeight="15" x14ac:dyDescent="0.25"/>
  <cols>
    <col min="2" max="2" width="18.42578125" customWidth="1"/>
    <col min="4" max="4" width="12.85546875" customWidth="1"/>
    <col min="5" max="5" width="8.7109375" customWidth="1"/>
    <col min="6" max="6" width="13" customWidth="1"/>
    <col min="8" max="8" width="14.42578125" customWidth="1"/>
    <col min="10" max="10" width="13.7109375" customWidth="1"/>
    <col min="12" max="12" width="13.140625" customWidth="1"/>
  </cols>
  <sheetData>
    <row r="1" spans="2:12" s="215" customFormat="1" x14ac:dyDescent="0.25"/>
    <row r="2" spans="2:12" s="215" customFormat="1" x14ac:dyDescent="0.25">
      <c r="L2" s="583" t="s">
        <v>866</v>
      </c>
    </row>
    <row r="3" spans="2:12" s="215" customFormat="1" ht="23.25" customHeight="1" x14ac:dyDescent="0.25">
      <c r="B3" s="905" t="s">
        <v>868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</row>
    <row r="5" spans="2:12" ht="15.75" thickBot="1" x14ac:dyDescent="0.3"/>
    <row r="6" spans="2:12" ht="39" customHeight="1" x14ac:dyDescent="0.25">
      <c r="B6" s="906"/>
      <c r="C6" s="915" t="s">
        <v>792</v>
      </c>
      <c r="D6" s="916"/>
      <c r="E6" s="915" t="s">
        <v>795</v>
      </c>
      <c r="F6" s="916"/>
      <c r="G6" s="915" t="s">
        <v>796</v>
      </c>
      <c r="H6" s="916"/>
      <c r="I6" s="915" t="s">
        <v>797</v>
      </c>
      <c r="J6" s="916"/>
      <c r="K6" s="909" t="s">
        <v>798</v>
      </c>
      <c r="L6" s="912" t="s">
        <v>799</v>
      </c>
    </row>
    <row r="7" spans="2:12" ht="3.75" customHeight="1" x14ac:dyDescent="0.25">
      <c r="B7" s="907"/>
      <c r="C7" s="917"/>
      <c r="D7" s="918"/>
      <c r="E7" s="917"/>
      <c r="F7" s="918"/>
      <c r="G7" s="917"/>
      <c r="H7" s="918"/>
      <c r="I7" s="917"/>
      <c r="J7" s="918"/>
      <c r="K7" s="910"/>
      <c r="L7" s="913"/>
    </row>
    <row r="8" spans="2:12" s="215" customFormat="1" ht="38.25" x14ac:dyDescent="0.25">
      <c r="B8" s="908"/>
      <c r="C8" s="521" t="s">
        <v>793</v>
      </c>
      <c r="D8" s="521" t="s">
        <v>794</v>
      </c>
      <c r="E8" s="521" t="s">
        <v>793</v>
      </c>
      <c r="F8" s="522" t="s">
        <v>794</v>
      </c>
      <c r="G8" s="521" t="s">
        <v>793</v>
      </c>
      <c r="H8" s="521" t="s">
        <v>794</v>
      </c>
      <c r="I8" s="521" t="s">
        <v>793</v>
      </c>
      <c r="J8" s="521" t="s">
        <v>794</v>
      </c>
      <c r="K8" s="911"/>
      <c r="L8" s="914"/>
    </row>
    <row r="9" spans="2:12" x14ac:dyDescent="0.25">
      <c r="B9" s="537" t="s">
        <v>783</v>
      </c>
      <c r="C9" s="523">
        <v>28</v>
      </c>
      <c r="D9" s="524">
        <v>27.8</v>
      </c>
      <c r="E9" s="532">
        <v>7</v>
      </c>
      <c r="F9" s="534">
        <v>5.8</v>
      </c>
      <c r="G9" s="532">
        <v>7</v>
      </c>
      <c r="H9" s="534">
        <v>6.5</v>
      </c>
      <c r="I9" s="532">
        <v>7</v>
      </c>
      <c r="J9" s="534">
        <v>6.5</v>
      </c>
      <c r="K9" s="536">
        <f>C9+E9+G9+I9</f>
        <v>49</v>
      </c>
      <c r="L9" s="620">
        <f>D9+F9+H9+J9</f>
        <v>46.6</v>
      </c>
    </row>
    <row r="10" spans="2:12" x14ac:dyDescent="0.25">
      <c r="B10" s="537" t="s">
        <v>784</v>
      </c>
      <c r="C10" s="523">
        <v>41</v>
      </c>
      <c r="D10" s="524">
        <v>39.299999999999997</v>
      </c>
      <c r="E10" s="532">
        <v>9</v>
      </c>
      <c r="F10" s="534">
        <v>7.49</v>
      </c>
      <c r="G10" s="532">
        <v>7</v>
      </c>
      <c r="H10" s="534">
        <v>6.8</v>
      </c>
      <c r="I10" s="532">
        <v>8</v>
      </c>
      <c r="J10" s="534">
        <v>8</v>
      </c>
      <c r="K10" s="536">
        <f t="shared" ref="K10:K19" si="0">C10+E10+G10+I10</f>
        <v>65</v>
      </c>
      <c r="L10" s="620">
        <f t="shared" ref="L10:L19" si="1">D10+F10+H10+J10</f>
        <v>61.589999999999996</v>
      </c>
    </row>
    <row r="11" spans="2:12" x14ac:dyDescent="0.25">
      <c r="B11" s="537" t="s">
        <v>785</v>
      </c>
      <c r="C11" s="523">
        <v>73</v>
      </c>
      <c r="D11" s="524">
        <v>70.22</v>
      </c>
      <c r="E11" s="532">
        <v>13</v>
      </c>
      <c r="F11" s="534">
        <v>13</v>
      </c>
      <c r="G11" s="532">
        <v>12</v>
      </c>
      <c r="H11" s="534">
        <v>11.53</v>
      </c>
      <c r="I11" s="532">
        <v>0</v>
      </c>
      <c r="J11" s="534">
        <v>0</v>
      </c>
      <c r="K11" s="536">
        <f t="shared" si="0"/>
        <v>98</v>
      </c>
      <c r="L11" s="620">
        <f t="shared" si="1"/>
        <v>94.75</v>
      </c>
    </row>
    <row r="12" spans="2:12" x14ac:dyDescent="0.25">
      <c r="B12" s="537" t="s">
        <v>786</v>
      </c>
      <c r="C12" s="523">
        <v>28</v>
      </c>
      <c r="D12" s="524">
        <v>25.05</v>
      </c>
      <c r="E12" s="532">
        <v>4</v>
      </c>
      <c r="F12" s="534">
        <v>3.66</v>
      </c>
      <c r="G12" s="532">
        <v>6</v>
      </c>
      <c r="H12" s="534">
        <v>6</v>
      </c>
      <c r="I12" s="532">
        <v>5</v>
      </c>
      <c r="J12" s="534">
        <v>5</v>
      </c>
      <c r="K12" s="536">
        <f t="shared" si="0"/>
        <v>43</v>
      </c>
      <c r="L12" s="620">
        <f t="shared" si="1"/>
        <v>39.71</v>
      </c>
    </row>
    <row r="13" spans="2:12" x14ac:dyDescent="0.25">
      <c r="B13" s="537" t="s">
        <v>787</v>
      </c>
      <c r="C13" s="523">
        <v>21</v>
      </c>
      <c r="D13" s="524">
        <v>18.62</v>
      </c>
      <c r="E13" s="532">
        <v>3</v>
      </c>
      <c r="F13" s="534">
        <v>3</v>
      </c>
      <c r="G13" s="532">
        <v>6</v>
      </c>
      <c r="H13" s="534">
        <v>6</v>
      </c>
      <c r="I13" s="532">
        <v>6</v>
      </c>
      <c r="J13" s="534">
        <v>6</v>
      </c>
      <c r="K13" s="536">
        <f t="shared" si="0"/>
        <v>36</v>
      </c>
      <c r="L13" s="620">
        <f t="shared" si="1"/>
        <v>33.620000000000005</v>
      </c>
    </row>
    <row r="14" spans="2:12" x14ac:dyDescent="0.25">
      <c r="B14" s="537" t="s">
        <v>788</v>
      </c>
      <c r="C14" s="523">
        <v>54</v>
      </c>
      <c r="D14" s="525">
        <v>51.25</v>
      </c>
      <c r="E14" s="532">
        <v>7</v>
      </c>
      <c r="F14" s="534">
        <v>7</v>
      </c>
      <c r="G14" s="532">
        <v>11</v>
      </c>
      <c r="H14" s="534">
        <v>11</v>
      </c>
      <c r="I14" s="532">
        <v>9</v>
      </c>
      <c r="J14" s="534">
        <v>9</v>
      </c>
      <c r="K14" s="536">
        <f t="shared" si="0"/>
        <v>81</v>
      </c>
      <c r="L14" s="620">
        <f t="shared" si="1"/>
        <v>78.25</v>
      </c>
    </row>
    <row r="15" spans="2:12" x14ac:dyDescent="0.25">
      <c r="B15" s="537" t="s">
        <v>791</v>
      </c>
      <c r="C15" s="526">
        <v>16</v>
      </c>
      <c r="D15" s="527">
        <v>15.65</v>
      </c>
      <c r="E15" s="532">
        <v>3</v>
      </c>
      <c r="F15" s="534">
        <v>2.6</v>
      </c>
      <c r="G15" s="532">
        <v>6</v>
      </c>
      <c r="H15" s="534">
        <v>6</v>
      </c>
      <c r="I15" s="532">
        <v>6</v>
      </c>
      <c r="J15" s="534">
        <v>6</v>
      </c>
      <c r="K15" s="536">
        <f t="shared" si="0"/>
        <v>31</v>
      </c>
      <c r="L15" s="620">
        <f t="shared" si="1"/>
        <v>30.25</v>
      </c>
    </row>
    <row r="16" spans="2:12" x14ac:dyDescent="0.25">
      <c r="B16" s="537" t="s">
        <v>790</v>
      </c>
      <c r="C16" s="523">
        <v>42</v>
      </c>
      <c r="D16" s="528">
        <v>40.270000000000003</v>
      </c>
      <c r="E16" s="532">
        <v>5</v>
      </c>
      <c r="F16" s="534">
        <v>4.8099999999999996</v>
      </c>
      <c r="G16" s="532">
        <v>10</v>
      </c>
      <c r="H16" s="534">
        <v>8.3000000000000007</v>
      </c>
      <c r="I16" s="532">
        <v>8</v>
      </c>
      <c r="J16" s="534">
        <v>8.4</v>
      </c>
      <c r="K16" s="536">
        <f t="shared" si="0"/>
        <v>65</v>
      </c>
      <c r="L16" s="620">
        <f t="shared" si="1"/>
        <v>61.780000000000008</v>
      </c>
    </row>
    <row r="17" spans="2:12" x14ac:dyDescent="0.25">
      <c r="B17" s="537" t="s">
        <v>789</v>
      </c>
      <c r="C17" s="523">
        <v>6</v>
      </c>
      <c r="D17" s="524">
        <v>4.0999999999999996</v>
      </c>
      <c r="E17" s="532">
        <v>1</v>
      </c>
      <c r="F17" s="534">
        <v>1</v>
      </c>
      <c r="G17" s="532">
        <v>1</v>
      </c>
      <c r="H17" s="534">
        <v>1</v>
      </c>
      <c r="I17" s="532">
        <v>0</v>
      </c>
      <c r="J17" s="534">
        <v>0</v>
      </c>
      <c r="K17" s="536">
        <f t="shared" si="0"/>
        <v>8</v>
      </c>
      <c r="L17" s="620">
        <f t="shared" si="1"/>
        <v>6.1</v>
      </c>
    </row>
    <row r="18" spans="2:12" x14ac:dyDescent="0.25">
      <c r="B18" s="537" t="s">
        <v>324</v>
      </c>
      <c r="C18" s="523">
        <v>52</v>
      </c>
      <c r="D18" s="524">
        <v>43.8</v>
      </c>
      <c r="E18" s="532">
        <v>0</v>
      </c>
      <c r="F18" s="534">
        <v>0</v>
      </c>
      <c r="G18" s="532">
        <v>9</v>
      </c>
      <c r="H18" s="534">
        <v>8.3000000000000007</v>
      </c>
      <c r="I18" s="532">
        <v>0</v>
      </c>
      <c r="J18" s="534">
        <v>0</v>
      </c>
      <c r="K18" s="536">
        <f t="shared" si="0"/>
        <v>61</v>
      </c>
      <c r="L18" s="620">
        <f t="shared" si="1"/>
        <v>52.099999999999994</v>
      </c>
    </row>
    <row r="19" spans="2:12" ht="15.75" thickBot="1" x14ac:dyDescent="0.3">
      <c r="B19" s="537" t="s">
        <v>325</v>
      </c>
      <c r="C19" s="523">
        <v>5</v>
      </c>
      <c r="D19" s="524">
        <v>5</v>
      </c>
      <c r="E19" s="532">
        <v>0</v>
      </c>
      <c r="F19" s="534">
        <v>0</v>
      </c>
      <c r="G19" s="532">
        <v>2</v>
      </c>
      <c r="H19" s="534">
        <v>2</v>
      </c>
      <c r="I19" s="532">
        <v>0</v>
      </c>
      <c r="J19" s="534">
        <v>0</v>
      </c>
      <c r="K19" s="536">
        <f t="shared" si="0"/>
        <v>7</v>
      </c>
      <c r="L19" s="620">
        <f t="shared" si="1"/>
        <v>7</v>
      </c>
    </row>
    <row r="20" spans="2:12" ht="15.75" thickBot="1" x14ac:dyDescent="0.3">
      <c r="B20" s="529" t="s">
        <v>57</v>
      </c>
      <c r="C20" s="530">
        <f t="shared" ref="C20:L20" si="2">SUM(C9:C19)</f>
        <v>366</v>
      </c>
      <c r="D20" s="531">
        <f t="shared" si="2"/>
        <v>341.06000000000006</v>
      </c>
      <c r="E20" s="533">
        <f t="shared" si="2"/>
        <v>52</v>
      </c>
      <c r="F20" s="535">
        <f t="shared" si="2"/>
        <v>48.360000000000007</v>
      </c>
      <c r="G20" s="533">
        <f t="shared" si="2"/>
        <v>77</v>
      </c>
      <c r="H20" s="535">
        <f t="shared" si="2"/>
        <v>73.429999999999993</v>
      </c>
      <c r="I20" s="533">
        <f t="shared" si="2"/>
        <v>49</v>
      </c>
      <c r="J20" s="535">
        <f t="shared" si="2"/>
        <v>48.9</v>
      </c>
      <c r="K20" s="533">
        <f t="shared" si="2"/>
        <v>544</v>
      </c>
      <c r="L20" s="621">
        <f t="shared" si="2"/>
        <v>511.75</v>
      </c>
    </row>
  </sheetData>
  <mergeCells count="8">
    <mergeCell ref="B3:L3"/>
    <mergeCell ref="B6:B8"/>
    <mergeCell ref="K6:K8"/>
    <mergeCell ref="L6:L8"/>
    <mergeCell ref="C6:D7"/>
    <mergeCell ref="E6:F7"/>
    <mergeCell ref="G6:H7"/>
    <mergeCell ref="I6:J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46"/>
  <sheetViews>
    <sheetView zoomScaleNormal="100" workbookViewId="0"/>
  </sheetViews>
  <sheetFormatPr defaultRowHeight="15" x14ac:dyDescent="0.25"/>
  <cols>
    <col min="1" max="1" width="2" customWidth="1"/>
    <col min="2" max="2" width="22.7109375" customWidth="1"/>
    <col min="3" max="3" width="10.85546875" customWidth="1"/>
    <col min="4" max="5" width="11.28515625" customWidth="1"/>
    <col min="6" max="6" width="9.28515625" customWidth="1"/>
    <col min="7" max="7" width="11" customWidth="1"/>
    <col min="8" max="9" width="11.5703125" customWidth="1"/>
    <col min="10" max="10" width="10.28515625" customWidth="1"/>
  </cols>
  <sheetData>
    <row r="2" spans="2:10" x14ac:dyDescent="0.25">
      <c r="J2" s="583" t="s">
        <v>409</v>
      </c>
    </row>
    <row r="3" spans="2:10" ht="30" customHeight="1" x14ac:dyDescent="0.25">
      <c r="B3" s="719" t="s">
        <v>199</v>
      </c>
      <c r="C3" s="719"/>
      <c r="D3" s="719"/>
      <c r="E3" s="719"/>
      <c r="F3" s="719"/>
      <c r="G3" s="719"/>
      <c r="H3" s="719"/>
      <c r="I3" s="719"/>
      <c r="J3" s="719"/>
    </row>
    <row r="4" spans="2:10" ht="18" customHeight="1" thickBot="1" x14ac:dyDescent="0.3"/>
    <row r="5" spans="2:10" s="10" customFormat="1" ht="18.75" customHeight="1" x14ac:dyDescent="0.25">
      <c r="B5" s="721" t="s">
        <v>200</v>
      </c>
      <c r="C5" s="722"/>
      <c r="D5" s="723"/>
      <c r="E5" s="276">
        <f>E6+E11+E16+E18+E22+E25+E20</f>
        <v>713839</v>
      </c>
    </row>
    <row r="6" spans="2:10" x14ac:dyDescent="0.25">
      <c r="B6" s="714" t="s">
        <v>0</v>
      </c>
      <c r="C6" s="715"/>
      <c r="D6" s="716"/>
      <c r="E6" s="91">
        <f>SUM(E7:E10)</f>
        <v>128332</v>
      </c>
    </row>
    <row r="7" spans="2:10" ht="17.25" customHeight="1" x14ac:dyDescent="0.25">
      <c r="B7" s="720" t="s">
        <v>1</v>
      </c>
      <c r="C7" s="718"/>
      <c r="D7" s="718"/>
      <c r="E7" s="92">
        <v>111782</v>
      </c>
    </row>
    <row r="8" spans="2:10" ht="17.25" customHeight="1" x14ac:dyDescent="0.25">
      <c r="B8" s="720" t="s">
        <v>197</v>
      </c>
      <c r="C8" s="718"/>
      <c r="D8" s="718"/>
      <c r="E8" s="92">
        <v>9034</v>
      </c>
    </row>
    <row r="9" spans="2:10" ht="17.25" customHeight="1" x14ac:dyDescent="0.25">
      <c r="B9" s="720" t="s">
        <v>198</v>
      </c>
      <c r="C9" s="718"/>
      <c r="D9" s="718"/>
      <c r="E9" s="92">
        <v>6374</v>
      </c>
    </row>
    <row r="10" spans="2:10" ht="17.25" customHeight="1" x14ac:dyDescent="0.25">
      <c r="B10" s="708" t="s">
        <v>328</v>
      </c>
      <c r="C10" s="709"/>
      <c r="D10" s="713"/>
      <c r="E10" s="92">
        <v>1142</v>
      </c>
    </row>
    <row r="11" spans="2:10" x14ac:dyDescent="0.25">
      <c r="B11" s="714" t="s">
        <v>195</v>
      </c>
      <c r="C11" s="715"/>
      <c r="D11" s="716"/>
      <c r="E11" s="91">
        <f>SUM(E12:E15)</f>
        <v>336961</v>
      </c>
    </row>
    <row r="12" spans="2:10" ht="17.25" customHeight="1" x14ac:dyDescent="0.25">
      <c r="B12" s="720" t="s">
        <v>2</v>
      </c>
      <c r="C12" s="718"/>
      <c r="D12" s="718"/>
      <c r="E12" s="92">
        <v>191342</v>
      </c>
    </row>
    <row r="13" spans="2:10" ht="17.25" customHeight="1" x14ac:dyDescent="0.25">
      <c r="B13" s="720" t="s">
        <v>196</v>
      </c>
      <c r="C13" s="718"/>
      <c r="D13" s="718"/>
      <c r="E13" s="92">
        <v>9002</v>
      </c>
    </row>
    <row r="14" spans="2:10" x14ac:dyDescent="0.25">
      <c r="B14" s="720" t="s">
        <v>3</v>
      </c>
      <c r="C14" s="718"/>
      <c r="D14" s="718"/>
      <c r="E14" s="92">
        <v>135481</v>
      </c>
    </row>
    <row r="15" spans="2:10" x14ac:dyDescent="0.25">
      <c r="B15" s="708" t="s">
        <v>329</v>
      </c>
      <c r="C15" s="709"/>
      <c r="D15" s="713"/>
      <c r="E15" s="92">
        <v>1136</v>
      </c>
    </row>
    <row r="16" spans="2:10" x14ac:dyDescent="0.25">
      <c r="B16" s="714" t="s">
        <v>4</v>
      </c>
      <c r="C16" s="715"/>
      <c r="D16" s="716"/>
      <c r="E16" s="91">
        <f>E17</f>
        <v>94743</v>
      </c>
    </row>
    <row r="17" spans="2:10" ht="24.75" customHeight="1" x14ac:dyDescent="0.25">
      <c r="B17" s="720" t="s">
        <v>5</v>
      </c>
      <c r="C17" s="718"/>
      <c r="D17" s="718"/>
      <c r="E17" s="93">
        <v>94743</v>
      </c>
    </row>
    <row r="18" spans="2:10" x14ac:dyDescent="0.25">
      <c r="B18" s="714" t="s">
        <v>6</v>
      </c>
      <c r="C18" s="715"/>
      <c r="D18" s="716"/>
      <c r="E18" s="91">
        <f>E19</f>
        <v>1490</v>
      </c>
    </row>
    <row r="19" spans="2:10" ht="12.75" customHeight="1" x14ac:dyDescent="0.25">
      <c r="B19" s="717" t="s">
        <v>201</v>
      </c>
      <c r="C19" s="718"/>
      <c r="D19" s="718"/>
      <c r="E19" s="92">
        <v>1490</v>
      </c>
    </row>
    <row r="20" spans="2:10" x14ac:dyDescent="0.25">
      <c r="B20" s="714" t="s">
        <v>330</v>
      </c>
      <c r="C20" s="715"/>
      <c r="D20" s="716"/>
      <c r="E20" s="91">
        <f>E21</f>
        <v>5599</v>
      </c>
    </row>
    <row r="21" spans="2:10" ht="12.75" customHeight="1" x14ac:dyDescent="0.25">
      <c r="B21" s="717" t="s">
        <v>331</v>
      </c>
      <c r="C21" s="718"/>
      <c r="D21" s="718"/>
      <c r="E21" s="92">
        <v>5599</v>
      </c>
    </row>
    <row r="22" spans="2:10" x14ac:dyDescent="0.25">
      <c r="B22" s="714" t="s">
        <v>202</v>
      </c>
      <c r="C22" s="715"/>
      <c r="D22" s="716"/>
      <c r="E22" s="91">
        <f>SUM(E23:E24)</f>
        <v>134288</v>
      </c>
    </row>
    <row r="23" spans="2:10" x14ac:dyDescent="0.25">
      <c r="B23" s="720" t="s">
        <v>7</v>
      </c>
      <c r="C23" s="718"/>
      <c r="D23" s="718"/>
      <c r="E23" s="92">
        <v>110125</v>
      </c>
    </row>
    <row r="24" spans="2:10" x14ac:dyDescent="0.25">
      <c r="B24" s="708" t="s">
        <v>8</v>
      </c>
      <c r="C24" s="709"/>
      <c r="D24" s="713"/>
      <c r="E24" s="92">
        <v>24163</v>
      </c>
    </row>
    <row r="25" spans="2:10" x14ac:dyDescent="0.25">
      <c r="B25" s="714" t="s">
        <v>203</v>
      </c>
      <c r="C25" s="715"/>
      <c r="D25" s="716"/>
      <c r="E25" s="91">
        <f>SUM(E26:E30)</f>
        <v>12426</v>
      </c>
    </row>
    <row r="26" spans="2:10" x14ac:dyDescent="0.25">
      <c r="B26" s="720" t="s">
        <v>9</v>
      </c>
      <c r="C26" s="718"/>
      <c r="D26" s="718"/>
      <c r="E26" s="92">
        <v>9</v>
      </c>
    </row>
    <row r="27" spans="2:10" x14ac:dyDescent="0.25">
      <c r="B27" s="708" t="s">
        <v>10</v>
      </c>
      <c r="C27" s="709"/>
      <c r="D27" s="713"/>
      <c r="E27" s="92">
        <v>1005</v>
      </c>
    </row>
    <row r="28" spans="2:10" x14ac:dyDescent="0.25">
      <c r="B28" s="708" t="s">
        <v>11</v>
      </c>
      <c r="C28" s="709"/>
      <c r="D28" s="713"/>
      <c r="E28" s="92">
        <v>2923</v>
      </c>
    </row>
    <row r="29" spans="2:10" s="215" customFormat="1" x14ac:dyDescent="0.25">
      <c r="B29" s="726" t="s">
        <v>12</v>
      </c>
      <c r="C29" s="727"/>
      <c r="D29" s="728"/>
      <c r="E29" s="404">
        <v>7159</v>
      </c>
    </row>
    <row r="30" spans="2:10" ht="15.75" thickBot="1" x14ac:dyDescent="0.3">
      <c r="B30" s="724" t="s">
        <v>472</v>
      </c>
      <c r="C30" s="725"/>
      <c r="D30" s="725"/>
      <c r="E30" s="94">
        <v>1330</v>
      </c>
    </row>
    <row r="31" spans="2:10" ht="17.25" customHeight="1" thickBot="1" x14ac:dyDescent="0.3">
      <c r="B31" s="2"/>
      <c r="C31" s="2"/>
    </row>
    <row r="32" spans="2:10" s="3" customFormat="1" ht="63" customHeight="1" x14ac:dyDescent="0.25">
      <c r="B32" s="95" t="s">
        <v>15</v>
      </c>
      <c r="C32" s="96" t="s">
        <v>184</v>
      </c>
      <c r="D32" s="96" t="s">
        <v>188</v>
      </c>
      <c r="E32" s="96" t="s">
        <v>185</v>
      </c>
      <c r="F32" s="96" t="s">
        <v>190</v>
      </c>
      <c r="G32" s="96" t="s">
        <v>186</v>
      </c>
      <c r="H32" s="96" t="s">
        <v>187</v>
      </c>
      <c r="I32" s="96" t="s">
        <v>189</v>
      </c>
      <c r="J32" s="97" t="s">
        <v>26</v>
      </c>
    </row>
    <row r="33" spans="2:11" ht="18" customHeight="1" x14ac:dyDescent="0.25">
      <c r="B33" s="98" t="s">
        <v>18</v>
      </c>
      <c r="C33" s="11">
        <v>86830</v>
      </c>
      <c r="D33" s="11">
        <v>12230</v>
      </c>
      <c r="E33" s="11">
        <v>144431</v>
      </c>
      <c r="F33" s="11">
        <v>358070</v>
      </c>
      <c r="G33" s="11">
        <v>190495</v>
      </c>
      <c r="H33" s="11">
        <v>4890</v>
      </c>
      <c r="I33" s="11">
        <v>65850</v>
      </c>
      <c r="J33" s="99">
        <f>SUM(C33:I33)</f>
        <v>862796</v>
      </c>
    </row>
    <row r="34" spans="2:11" x14ac:dyDescent="0.25">
      <c r="B34" s="98" t="s">
        <v>28</v>
      </c>
      <c r="C34" s="11">
        <v>30401</v>
      </c>
      <c r="D34" s="11">
        <v>4305</v>
      </c>
      <c r="E34" s="11">
        <v>50750</v>
      </c>
      <c r="F34" s="11">
        <v>125295</v>
      </c>
      <c r="G34" s="11">
        <v>66398</v>
      </c>
      <c r="H34" s="11">
        <v>2202</v>
      </c>
      <c r="I34" s="11">
        <v>23510</v>
      </c>
      <c r="J34" s="99">
        <f t="shared" ref="J34:J42" si="0">SUM(C34:I34)</f>
        <v>302861</v>
      </c>
    </row>
    <row r="35" spans="2:11" x14ac:dyDescent="0.25">
      <c r="B35" s="98" t="s">
        <v>19</v>
      </c>
      <c r="C35" s="11">
        <f>SUM(C36:C41)</f>
        <v>51957</v>
      </c>
      <c r="D35" s="11">
        <f t="shared" ref="D35:I35" si="1">SUM(D36:D41)</f>
        <v>8762</v>
      </c>
      <c r="E35" s="11">
        <f t="shared" si="1"/>
        <v>167926</v>
      </c>
      <c r="F35" s="11">
        <f t="shared" si="1"/>
        <v>353647</v>
      </c>
      <c r="G35" s="11">
        <f t="shared" si="1"/>
        <v>30080</v>
      </c>
      <c r="H35" s="11">
        <f t="shared" si="1"/>
        <v>3010</v>
      </c>
      <c r="I35" s="11">
        <f t="shared" si="1"/>
        <v>24784</v>
      </c>
      <c r="J35" s="99">
        <f t="shared" si="0"/>
        <v>640166</v>
      </c>
    </row>
    <row r="36" spans="2:11" s="215" customFormat="1" x14ac:dyDescent="0.25">
      <c r="B36" s="100" t="s">
        <v>421</v>
      </c>
      <c r="C36" s="9">
        <v>0</v>
      </c>
      <c r="D36" s="9">
        <v>0</v>
      </c>
      <c r="E36" s="9">
        <v>59</v>
      </c>
      <c r="F36" s="9">
        <v>50</v>
      </c>
      <c r="G36" s="9">
        <v>0</v>
      </c>
      <c r="H36" s="9">
        <v>0</v>
      </c>
      <c r="I36" s="9">
        <v>108</v>
      </c>
      <c r="J36" s="101">
        <f>SUM(C36:I36)</f>
        <v>217</v>
      </c>
    </row>
    <row r="37" spans="2:11" x14ac:dyDescent="0.25">
      <c r="B37" s="100" t="s">
        <v>29</v>
      </c>
      <c r="C37" s="9">
        <v>20379</v>
      </c>
      <c r="D37" s="9">
        <v>6430</v>
      </c>
      <c r="E37" s="9">
        <v>65431</v>
      </c>
      <c r="F37" s="9">
        <v>87212</v>
      </c>
      <c r="G37" s="9">
        <v>650</v>
      </c>
      <c r="H37" s="9">
        <v>70</v>
      </c>
      <c r="I37" s="9">
        <v>2301</v>
      </c>
      <c r="J37" s="101">
        <f t="shared" si="0"/>
        <v>182473</v>
      </c>
    </row>
    <row r="38" spans="2:11" x14ac:dyDescent="0.25">
      <c r="B38" s="100" t="s">
        <v>21</v>
      </c>
      <c r="C38" s="9">
        <v>18750</v>
      </c>
      <c r="D38" s="9">
        <v>30</v>
      </c>
      <c r="E38" s="9">
        <v>24781</v>
      </c>
      <c r="F38" s="9">
        <v>18930</v>
      </c>
      <c r="G38" s="9">
        <v>1600</v>
      </c>
      <c r="H38" s="9">
        <v>30</v>
      </c>
      <c r="I38" s="9">
        <v>2218</v>
      </c>
      <c r="J38" s="101">
        <f t="shared" si="0"/>
        <v>66339</v>
      </c>
    </row>
    <row r="39" spans="2:11" x14ac:dyDescent="0.25">
      <c r="B39" s="100" t="s">
        <v>22</v>
      </c>
      <c r="C39" s="9">
        <v>0</v>
      </c>
      <c r="D39" s="9">
        <v>0</v>
      </c>
      <c r="E39" s="9">
        <v>2800</v>
      </c>
      <c r="F39" s="9">
        <v>1369</v>
      </c>
      <c r="G39" s="9">
        <v>4750</v>
      </c>
      <c r="H39" s="9">
        <v>2240</v>
      </c>
      <c r="I39" s="9">
        <v>300</v>
      </c>
      <c r="J39" s="101">
        <f t="shared" si="0"/>
        <v>11459</v>
      </c>
      <c r="K39" s="4"/>
    </row>
    <row r="40" spans="2:11" ht="15.75" customHeight="1" x14ac:dyDescent="0.25">
      <c r="B40" s="100" t="s">
        <v>27</v>
      </c>
      <c r="C40" s="9">
        <v>9290</v>
      </c>
      <c r="D40" s="9">
        <v>260</v>
      </c>
      <c r="E40" s="9">
        <v>16282</v>
      </c>
      <c r="F40" s="9">
        <v>32864</v>
      </c>
      <c r="G40" s="9">
        <v>0</v>
      </c>
      <c r="H40" s="9">
        <v>0</v>
      </c>
      <c r="I40" s="9">
        <v>1600</v>
      </c>
      <c r="J40" s="101">
        <f t="shared" si="0"/>
        <v>60296</v>
      </c>
    </row>
    <row r="41" spans="2:11" x14ac:dyDescent="0.25">
      <c r="B41" s="100" t="s">
        <v>24</v>
      </c>
      <c r="C41" s="9">
        <v>3538</v>
      </c>
      <c r="D41" s="9">
        <v>2042</v>
      </c>
      <c r="E41" s="9">
        <v>58573</v>
      </c>
      <c r="F41" s="9">
        <v>213222</v>
      </c>
      <c r="G41" s="9">
        <v>23080</v>
      </c>
      <c r="H41" s="9">
        <v>670</v>
      </c>
      <c r="I41" s="9">
        <v>18257</v>
      </c>
      <c r="J41" s="101">
        <f t="shared" si="0"/>
        <v>319382</v>
      </c>
    </row>
    <row r="42" spans="2:11" x14ac:dyDescent="0.25">
      <c r="B42" s="98" t="s">
        <v>25</v>
      </c>
      <c r="C42" s="8">
        <v>440</v>
      </c>
      <c r="D42" s="8">
        <v>0</v>
      </c>
      <c r="E42" s="8">
        <v>450</v>
      </c>
      <c r="F42" s="8">
        <v>1950</v>
      </c>
      <c r="G42" s="8">
        <v>2780</v>
      </c>
      <c r="H42" s="8">
        <v>92</v>
      </c>
      <c r="I42" s="8">
        <v>100</v>
      </c>
      <c r="J42" s="102">
        <f t="shared" si="0"/>
        <v>5812</v>
      </c>
    </row>
    <row r="43" spans="2:11" ht="21.75" customHeight="1" thickBot="1" x14ac:dyDescent="0.3">
      <c r="B43" s="308" t="s">
        <v>420</v>
      </c>
      <c r="C43" s="306">
        <f t="shared" ref="C43:I43" si="2">C33+C34+C35+C42</f>
        <v>169628</v>
      </c>
      <c r="D43" s="306">
        <f t="shared" si="2"/>
        <v>25297</v>
      </c>
      <c r="E43" s="306">
        <f t="shared" si="2"/>
        <v>363557</v>
      </c>
      <c r="F43" s="306">
        <f t="shared" si="2"/>
        <v>838962</v>
      </c>
      <c r="G43" s="306">
        <f t="shared" si="2"/>
        <v>289753</v>
      </c>
      <c r="H43" s="306">
        <f t="shared" si="2"/>
        <v>10194</v>
      </c>
      <c r="I43" s="306">
        <f t="shared" si="2"/>
        <v>114244</v>
      </c>
      <c r="J43" s="307">
        <f>SUM(C43:I43)</f>
        <v>1811635</v>
      </c>
    </row>
    <row r="46" spans="2:11" x14ac:dyDescent="0.25">
      <c r="B46" s="215"/>
    </row>
  </sheetData>
  <mergeCells count="27">
    <mergeCell ref="B30:D30"/>
    <mergeCell ref="B16:D16"/>
    <mergeCell ref="B18:D18"/>
    <mergeCell ref="B17:D17"/>
    <mergeCell ref="B23:D23"/>
    <mergeCell ref="B26:D26"/>
    <mergeCell ref="B19:D19"/>
    <mergeCell ref="B22:D22"/>
    <mergeCell ref="B24:D24"/>
    <mergeCell ref="B25:D25"/>
    <mergeCell ref="B27:D27"/>
    <mergeCell ref="B28:D28"/>
    <mergeCell ref="B29:D29"/>
    <mergeCell ref="B15:D15"/>
    <mergeCell ref="B20:D20"/>
    <mergeCell ref="B21:D21"/>
    <mergeCell ref="B3:J3"/>
    <mergeCell ref="B14:D14"/>
    <mergeCell ref="B13:D13"/>
    <mergeCell ref="B8:D8"/>
    <mergeCell ref="B9:D9"/>
    <mergeCell ref="B5:D5"/>
    <mergeCell ref="B6:D6"/>
    <mergeCell ref="B11:D11"/>
    <mergeCell ref="B7:D7"/>
    <mergeCell ref="B12:D12"/>
    <mergeCell ref="B10:D10"/>
  </mergeCells>
  <phoneticPr fontId="6" type="noConversion"/>
  <pageMargins left="0.6692913385826772" right="0.19685039370078741" top="0.51181102362204722" bottom="0.35433070866141736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3"/>
  <sheetViews>
    <sheetView workbookViewId="0"/>
  </sheetViews>
  <sheetFormatPr defaultRowHeight="15" x14ac:dyDescent="0.25"/>
  <cols>
    <col min="1" max="1" width="5.140625" customWidth="1"/>
    <col min="2" max="2" width="22.85546875" customWidth="1"/>
    <col min="3" max="3" width="10.5703125" customWidth="1"/>
    <col min="4" max="4" width="10.85546875" customWidth="1"/>
    <col min="5" max="5" width="11.28515625" customWidth="1"/>
    <col min="6" max="6" width="10.7109375" customWidth="1"/>
    <col min="7" max="7" width="11.7109375" customWidth="1"/>
    <col min="8" max="8" width="10.7109375" customWidth="1"/>
  </cols>
  <sheetData>
    <row r="1" spans="2:9" ht="27.75" customHeight="1" x14ac:dyDescent="0.25">
      <c r="I1" s="584" t="s">
        <v>410</v>
      </c>
    </row>
    <row r="2" spans="2:9" ht="18.75" customHeight="1" x14ac:dyDescent="0.3">
      <c r="B2" s="729" t="s">
        <v>192</v>
      </c>
      <c r="C2" s="729"/>
      <c r="D2" s="729"/>
      <c r="E2" s="729"/>
      <c r="F2" s="729"/>
      <c r="G2" s="729"/>
      <c r="H2" s="729"/>
      <c r="I2" s="729"/>
    </row>
    <row r="3" spans="2:9" ht="22.5" customHeight="1" thickBot="1" x14ac:dyDescent="0.3"/>
    <row r="4" spans="2:9" x14ac:dyDescent="0.25">
      <c r="B4" s="735" t="s">
        <v>14</v>
      </c>
      <c r="C4" s="736"/>
      <c r="D4" s="736"/>
      <c r="E4" s="737"/>
    </row>
    <row r="5" spans="2:9" ht="24.75" customHeight="1" x14ac:dyDescent="0.25">
      <c r="B5" s="708" t="s">
        <v>173</v>
      </c>
      <c r="C5" s="709"/>
      <c r="D5" s="713"/>
      <c r="E5" s="660">
        <v>7423.88</v>
      </c>
    </row>
    <row r="6" spans="2:9" x14ac:dyDescent="0.25">
      <c r="B6" s="710" t="s">
        <v>174</v>
      </c>
      <c r="C6" s="711"/>
      <c r="D6" s="738"/>
      <c r="E6" s="660">
        <v>125563.64</v>
      </c>
    </row>
    <row r="7" spans="2:9" ht="15" customHeight="1" x14ac:dyDescent="0.25">
      <c r="B7" s="708" t="s">
        <v>175</v>
      </c>
      <c r="C7" s="712"/>
      <c r="D7" s="739"/>
      <c r="E7" s="660">
        <v>561.55999999999995</v>
      </c>
    </row>
    <row r="8" spans="2:9" s="1" customFormat="1" x14ac:dyDescent="0.25">
      <c r="B8" s="704" t="s">
        <v>176</v>
      </c>
      <c r="C8" s="705"/>
      <c r="D8" s="730"/>
      <c r="E8" s="626">
        <v>9.7899999999999991</v>
      </c>
    </row>
    <row r="9" spans="2:9" s="1" customFormat="1" x14ac:dyDescent="0.2">
      <c r="B9" s="706" t="s">
        <v>473</v>
      </c>
      <c r="C9" s="707"/>
      <c r="D9" s="731"/>
      <c r="E9" s="626">
        <v>113</v>
      </c>
    </row>
    <row r="10" spans="2:9" x14ac:dyDescent="0.25">
      <c r="B10" s="706" t="s">
        <v>66</v>
      </c>
      <c r="C10" s="707"/>
      <c r="D10" s="731"/>
      <c r="E10" s="93">
        <v>8579.4</v>
      </c>
    </row>
    <row r="11" spans="2:9" x14ac:dyDescent="0.25">
      <c r="B11" s="627" t="s">
        <v>177</v>
      </c>
      <c r="C11" s="592"/>
      <c r="D11" s="593"/>
      <c r="E11" s="93">
        <v>2351.29</v>
      </c>
    </row>
    <row r="12" spans="2:9" s="215" customFormat="1" x14ac:dyDescent="0.25">
      <c r="B12" s="627" t="s">
        <v>422</v>
      </c>
      <c r="C12" s="592"/>
      <c r="D12" s="593"/>
      <c r="E12" s="93">
        <v>711.49</v>
      </c>
    </row>
    <row r="13" spans="2:9" s="85" customFormat="1" ht="21.75" customHeight="1" thickBot="1" x14ac:dyDescent="0.3">
      <c r="B13" s="732" t="s">
        <v>26</v>
      </c>
      <c r="C13" s="733"/>
      <c r="D13" s="734"/>
      <c r="E13" s="307">
        <f>SUM(E5:E12)</f>
        <v>145314.04999999999</v>
      </c>
    </row>
    <row r="14" spans="2:9" ht="5.25" customHeight="1" x14ac:dyDescent="0.25">
      <c r="B14" s="2"/>
      <c r="C14" s="2"/>
    </row>
    <row r="15" spans="2:9" ht="13.5" customHeight="1" x14ac:dyDescent="0.25">
      <c r="B15" s="2"/>
      <c r="C15" s="2"/>
    </row>
    <row r="16" spans="2:9" ht="15.75" thickBot="1" x14ac:dyDescent="0.3"/>
    <row r="17" spans="2:9" s="3" customFormat="1" ht="48" x14ac:dyDescent="0.25">
      <c r="B17" s="632" t="s">
        <v>15</v>
      </c>
      <c r="C17" s="633" t="s">
        <v>178</v>
      </c>
      <c r="D17" s="633" t="s">
        <v>179</v>
      </c>
      <c r="E17" s="633" t="s">
        <v>180</v>
      </c>
      <c r="F17" s="633" t="s">
        <v>193</v>
      </c>
      <c r="G17" s="633" t="s">
        <v>181</v>
      </c>
      <c r="H17" s="633" t="s">
        <v>182</v>
      </c>
      <c r="I17" s="661" t="s">
        <v>26</v>
      </c>
    </row>
    <row r="18" spans="2:9" s="3" customFormat="1" x14ac:dyDescent="0.25">
      <c r="B18" s="662" t="s">
        <v>194</v>
      </c>
      <c r="C18" s="86" t="s">
        <v>140</v>
      </c>
      <c r="D18" s="86" t="s">
        <v>143</v>
      </c>
      <c r="E18" s="86" t="s">
        <v>144</v>
      </c>
      <c r="F18" s="86" t="s">
        <v>145</v>
      </c>
      <c r="G18" s="86" t="s">
        <v>146</v>
      </c>
      <c r="H18" s="86" t="s">
        <v>142</v>
      </c>
      <c r="I18" s="663"/>
    </row>
    <row r="19" spans="2:9" s="85" customFormat="1" ht="26.25" customHeight="1" x14ac:dyDescent="0.25">
      <c r="B19" s="664" t="s">
        <v>18</v>
      </c>
      <c r="C19" s="89">
        <v>1155122.6200000001</v>
      </c>
      <c r="D19" s="89">
        <v>57969.45</v>
      </c>
      <c r="E19" s="89">
        <v>7125.05</v>
      </c>
      <c r="F19" s="89">
        <v>112266.11</v>
      </c>
      <c r="G19" s="89">
        <v>208710.85</v>
      </c>
      <c r="H19" s="89">
        <v>0</v>
      </c>
      <c r="I19" s="665">
        <f>C19+D19+E19+F19+G19+H19</f>
        <v>1541194.0800000003</v>
      </c>
    </row>
    <row r="20" spans="2:9" s="85" customFormat="1" ht="26.25" customHeight="1" x14ac:dyDescent="0.25">
      <c r="B20" s="664" t="s">
        <v>28</v>
      </c>
      <c r="C20" s="89">
        <v>420914.63</v>
      </c>
      <c r="D20" s="89">
        <v>22998.95</v>
      </c>
      <c r="E20" s="89">
        <v>2489.67</v>
      </c>
      <c r="F20" s="89">
        <v>40006.120000000003</v>
      </c>
      <c r="G20" s="89">
        <v>75641.27</v>
      </c>
      <c r="H20" s="89">
        <v>0</v>
      </c>
      <c r="I20" s="665">
        <f>C20+D20+E20+F20+G20+H20</f>
        <v>562050.64</v>
      </c>
    </row>
    <row r="21" spans="2:9" s="85" customFormat="1" ht="22.5" customHeight="1" x14ac:dyDescent="0.25">
      <c r="B21" s="664" t="s">
        <v>19</v>
      </c>
      <c r="C21" s="89">
        <f t="shared" ref="C21:H21" si="0">C22+C23+C24+C25+C26+C27+C28</f>
        <v>520215.7</v>
      </c>
      <c r="D21" s="89">
        <f t="shared" si="0"/>
        <v>33202.939999999995</v>
      </c>
      <c r="E21" s="89">
        <f t="shared" si="0"/>
        <v>516.74</v>
      </c>
      <c r="F21" s="89">
        <f t="shared" si="0"/>
        <v>45653.86</v>
      </c>
      <c r="G21" s="89">
        <f t="shared" si="0"/>
        <v>30031.760000000002</v>
      </c>
      <c r="H21" s="89">
        <f t="shared" si="0"/>
        <v>0</v>
      </c>
      <c r="I21" s="665">
        <f>C21+D21+E21+F21+G21+H21</f>
        <v>629621</v>
      </c>
    </row>
    <row r="22" spans="2:9" s="85" customFormat="1" ht="16.5" customHeight="1" x14ac:dyDescent="0.25">
      <c r="B22" s="666" t="s">
        <v>20</v>
      </c>
      <c r="C22" s="90">
        <v>155.05000000000001</v>
      </c>
      <c r="D22" s="90">
        <v>0</v>
      </c>
      <c r="E22" s="90">
        <v>0</v>
      </c>
      <c r="F22" s="90">
        <v>74.17</v>
      </c>
      <c r="G22" s="90">
        <v>47.48</v>
      </c>
      <c r="H22" s="90">
        <v>0</v>
      </c>
      <c r="I22" s="667">
        <f>C22+D22+E22+F22+G22+H22</f>
        <v>276.70000000000005</v>
      </c>
    </row>
    <row r="23" spans="2:9" s="85" customFormat="1" ht="23.25" customHeight="1" x14ac:dyDescent="0.25">
      <c r="B23" s="666" t="s">
        <v>29</v>
      </c>
      <c r="C23" s="90">
        <v>331155.65000000002</v>
      </c>
      <c r="D23" s="90">
        <v>6719.03</v>
      </c>
      <c r="E23" s="90">
        <v>180</v>
      </c>
      <c r="F23" s="90">
        <v>2025.47</v>
      </c>
      <c r="G23" s="90">
        <v>536.70000000000005</v>
      </c>
      <c r="H23" s="90">
        <v>0</v>
      </c>
      <c r="I23" s="667">
        <f t="shared" ref="I23:I28" si="1">C23+D23+E23+F23+G23+H23</f>
        <v>340616.85000000003</v>
      </c>
    </row>
    <row r="24" spans="2:9" s="85" customFormat="1" x14ac:dyDescent="0.25">
      <c r="B24" s="666" t="s">
        <v>21</v>
      </c>
      <c r="C24" s="90">
        <v>122724.33</v>
      </c>
      <c r="D24" s="90">
        <v>8553.5499999999993</v>
      </c>
      <c r="E24" s="90">
        <v>250</v>
      </c>
      <c r="F24" s="90">
        <v>6420.71</v>
      </c>
      <c r="G24" s="90">
        <v>12386.26</v>
      </c>
      <c r="H24" s="90">
        <v>0</v>
      </c>
      <c r="I24" s="667">
        <f t="shared" si="1"/>
        <v>150334.85</v>
      </c>
    </row>
    <row r="25" spans="2:9" s="85" customFormat="1" x14ac:dyDescent="0.25">
      <c r="B25" s="666" t="s">
        <v>22</v>
      </c>
      <c r="C25" s="90">
        <v>0</v>
      </c>
      <c r="D25" s="90">
        <v>0</v>
      </c>
      <c r="E25" s="90">
        <v>0</v>
      </c>
      <c r="F25" s="90">
        <v>7683.04</v>
      </c>
      <c r="G25" s="90">
        <v>0</v>
      </c>
      <c r="H25" s="90">
        <v>0</v>
      </c>
      <c r="I25" s="667">
        <f t="shared" si="1"/>
        <v>7683.04</v>
      </c>
    </row>
    <row r="26" spans="2:9" s="85" customFormat="1" ht="19.5" customHeight="1" x14ac:dyDescent="0.25">
      <c r="B26" s="666" t="s">
        <v>27</v>
      </c>
      <c r="C26" s="90">
        <v>5722.69</v>
      </c>
      <c r="D26" s="90">
        <v>16034.74</v>
      </c>
      <c r="E26" s="90">
        <v>0</v>
      </c>
      <c r="F26" s="90">
        <v>1251.54</v>
      </c>
      <c r="G26" s="90">
        <v>350</v>
      </c>
      <c r="H26" s="90">
        <v>0</v>
      </c>
      <c r="I26" s="667">
        <f t="shared" si="1"/>
        <v>23358.97</v>
      </c>
    </row>
    <row r="27" spans="2:9" s="85" customFormat="1" x14ac:dyDescent="0.25">
      <c r="B27" s="666" t="s">
        <v>23</v>
      </c>
      <c r="C27" s="90">
        <v>14060.91</v>
      </c>
      <c r="D27" s="90">
        <v>0.03</v>
      </c>
      <c r="E27" s="90">
        <v>0</v>
      </c>
      <c r="F27" s="90">
        <v>1552.01</v>
      </c>
      <c r="G27" s="90">
        <v>0</v>
      </c>
      <c r="H27" s="90">
        <v>0</v>
      </c>
      <c r="I27" s="667">
        <f t="shared" si="1"/>
        <v>15612.95</v>
      </c>
    </row>
    <row r="28" spans="2:9" s="85" customFormat="1" x14ac:dyDescent="0.25">
      <c r="B28" s="666" t="s">
        <v>24</v>
      </c>
      <c r="C28" s="90">
        <v>46397.07</v>
      </c>
      <c r="D28" s="90">
        <v>1895.59</v>
      </c>
      <c r="E28" s="90">
        <v>86.74</v>
      </c>
      <c r="F28" s="90">
        <v>26646.92</v>
      </c>
      <c r="G28" s="90">
        <v>16711.32</v>
      </c>
      <c r="H28" s="90">
        <v>0</v>
      </c>
      <c r="I28" s="667">
        <f t="shared" si="1"/>
        <v>91737.639999999985</v>
      </c>
    </row>
    <row r="29" spans="2:9" x14ac:dyDescent="0.25">
      <c r="B29" s="664" t="s">
        <v>25</v>
      </c>
      <c r="C29" s="87">
        <v>7972.75</v>
      </c>
      <c r="D29" s="87"/>
      <c r="E29" s="87">
        <v>0</v>
      </c>
      <c r="F29" s="87">
        <v>122.77</v>
      </c>
      <c r="G29" s="87">
        <v>1272.8800000000001</v>
      </c>
      <c r="H29" s="87">
        <v>3946.12</v>
      </c>
      <c r="I29" s="668">
        <f>C29+D29+E29+F29+G29+H29</f>
        <v>13314.52</v>
      </c>
    </row>
    <row r="30" spans="2:9" s="215" customFormat="1" x14ac:dyDescent="0.25">
      <c r="B30" s="664" t="s">
        <v>474</v>
      </c>
      <c r="C30" s="87">
        <v>3000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668">
        <f>C30+D30+E30+F30+G30+H30</f>
        <v>3000</v>
      </c>
    </row>
    <row r="31" spans="2:9" ht="23.25" customHeight="1" thickBot="1" x14ac:dyDescent="0.3">
      <c r="B31" s="669" t="s">
        <v>183</v>
      </c>
      <c r="C31" s="670">
        <f>C19+C20+C21+C29+C30</f>
        <v>2107225.7000000002</v>
      </c>
      <c r="D31" s="670">
        <f t="shared" ref="D31:H31" si="2">D19+D20+D21+D29</f>
        <v>114171.34</v>
      </c>
      <c r="E31" s="670">
        <f t="shared" si="2"/>
        <v>10131.460000000001</v>
      </c>
      <c r="F31" s="670">
        <f t="shared" si="2"/>
        <v>198048.86000000002</v>
      </c>
      <c r="G31" s="670">
        <f t="shared" si="2"/>
        <v>315656.76</v>
      </c>
      <c r="H31" s="670">
        <f t="shared" si="2"/>
        <v>3946.12</v>
      </c>
      <c r="I31" s="671">
        <f>H31+G31+F31+E31+D31+C31</f>
        <v>2749180.24</v>
      </c>
    </row>
    <row r="33" spans="2:2" x14ac:dyDescent="0.25">
      <c r="B33" s="215"/>
    </row>
  </sheetData>
  <mergeCells count="9">
    <mergeCell ref="B2:I2"/>
    <mergeCell ref="B8:D8"/>
    <mergeCell ref="B10:D10"/>
    <mergeCell ref="B13:D13"/>
    <mergeCell ref="B4:E4"/>
    <mergeCell ref="B5:D5"/>
    <mergeCell ref="B6:D6"/>
    <mergeCell ref="B7:D7"/>
    <mergeCell ref="B9:D9"/>
  </mergeCells>
  <phoneticPr fontId="6" type="noConversion"/>
  <pageMargins left="0.59055118110236227" right="0.2755905511811023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87"/>
  <sheetViews>
    <sheetView workbookViewId="0"/>
  </sheetViews>
  <sheetFormatPr defaultColWidth="9.28515625" defaultRowHeight="12.75" x14ac:dyDescent="0.2"/>
  <cols>
    <col min="1" max="1" width="16.28515625" style="422" customWidth="1"/>
    <col min="2" max="2" width="10.140625" style="422" customWidth="1"/>
    <col min="3" max="3" width="8.42578125" style="422" customWidth="1"/>
    <col min="4" max="4" width="9.85546875" style="422" customWidth="1"/>
    <col min="5" max="5" width="8.42578125" style="422" customWidth="1"/>
    <col min="6" max="6" width="10.85546875" style="422" customWidth="1"/>
    <col min="7" max="7" width="8.85546875" style="422" customWidth="1"/>
    <col min="8" max="8" width="11.28515625" style="422" customWidth="1"/>
    <col min="9" max="9" width="12" style="422" customWidth="1"/>
    <col min="10" max="256" width="9.28515625" style="422"/>
    <col min="257" max="257" width="16.28515625" style="422" customWidth="1"/>
    <col min="258" max="258" width="10.140625" style="422" customWidth="1"/>
    <col min="259" max="259" width="8.42578125" style="422" customWidth="1"/>
    <col min="260" max="260" width="9.85546875" style="422" customWidth="1"/>
    <col min="261" max="261" width="8.42578125" style="422" customWidth="1"/>
    <col min="262" max="262" width="9" style="422" customWidth="1"/>
    <col min="263" max="263" width="8.85546875" style="422" customWidth="1"/>
    <col min="264" max="264" width="11.28515625" style="422" customWidth="1"/>
    <col min="265" max="265" width="12" style="422" customWidth="1"/>
    <col min="266" max="512" width="9.28515625" style="422"/>
    <col min="513" max="513" width="16.28515625" style="422" customWidth="1"/>
    <col min="514" max="514" width="10.140625" style="422" customWidth="1"/>
    <col min="515" max="515" width="8.42578125" style="422" customWidth="1"/>
    <col min="516" max="516" width="9.85546875" style="422" customWidth="1"/>
    <col min="517" max="517" width="8.42578125" style="422" customWidth="1"/>
    <col min="518" max="518" width="9" style="422" customWidth="1"/>
    <col min="519" max="519" width="8.85546875" style="422" customWidth="1"/>
    <col min="520" max="520" width="11.28515625" style="422" customWidth="1"/>
    <col min="521" max="521" width="12" style="422" customWidth="1"/>
    <col min="522" max="768" width="9.28515625" style="422"/>
    <col min="769" max="769" width="16.28515625" style="422" customWidth="1"/>
    <col min="770" max="770" width="10.140625" style="422" customWidth="1"/>
    <col min="771" max="771" width="8.42578125" style="422" customWidth="1"/>
    <col min="772" max="772" width="9.85546875" style="422" customWidth="1"/>
    <col min="773" max="773" width="8.42578125" style="422" customWidth="1"/>
    <col min="774" max="774" width="9" style="422" customWidth="1"/>
    <col min="775" max="775" width="8.85546875" style="422" customWidth="1"/>
    <col min="776" max="776" width="11.28515625" style="422" customWidth="1"/>
    <col min="777" max="777" width="12" style="422" customWidth="1"/>
    <col min="778" max="1024" width="9.28515625" style="422"/>
    <col min="1025" max="1025" width="16.28515625" style="422" customWidth="1"/>
    <col min="1026" max="1026" width="10.140625" style="422" customWidth="1"/>
    <col min="1027" max="1027" width="8.42578125" style="422" customWidth="1"/>
    <col min="1028" max="1028" width="9.85546875" style="422" customWidth="1"/>
    <col min="1029" max="1029" width="8.42578125" style="422" customWidth="1"/>
    <col min="1030" max="1030" width="9" style="422" customWidth="1"/>
    <col min="1031" max="1031" width="8.85546875" style="422" customWidth="1"/>
    <col min="1032" max="1032" width="11.28515625" style="422" customWidth="1"/>
    <col min="1033" max="1033" width="12" style="422" customWidth="1"/>
    <col min="1034" max="1280" width="9.28515625" style="422"/>
    <col min="1281" max="1281" width="16.28515625" style="422" customWidth="1"/>
    <col min="1282" max="1282" width="10.140625" style="422" customWidth="1"/>
    <col min="1283" max="1283" width="8.42578125" style="422" customWidth="1"/>
    <col min="1284" max="1284" width="9.85546875" style="422" customWidth="1"/>
    <col min="1285" max="1285" width="8.42578125" style="422" customWidth="1"/>
    <col min="1286" max="1286" width="9" style="422" customWidth="1"/>
    <col min="1287" max="1287" width="8.85546875" style="422" customWidth="1"/>
    <col min="1288" max="1288" width="11.28515625" style="422" customWidth="1"/>
    <col min="1289" max="1289" width="12" style="422" customWidth="1"/>
    <col min="1290" max="1536" width="9.28515625" style="422"/>
    <col min="1537" max="1537" width="16.28515625" style="422" customWidth="1"/>
    <col min="1538" max="1538" width="10.140625" style="422" customWidth="1"/>
    <col min="1539" max="1539" width="8.42578125" style="422" customWidth="1"/>
    <col min="1540" max="1540" width="9.85546875" style="422" customWidth="1"/>
    <col min="1541" max="1541" width="8.42578125" style="422" customWidth="1"/>
    <col min="1542" max="1542" width="9" style="422" customWidth="1"/>
    <col min="1543" max="1543" width="8.85546875" style="422" customWidth="1"/>
    <col min="1544" max="1544" width="11.28515625" style="422" customWidth="1"/>
    <col min="1545" max="1545" width="12" style="422" customWidth="1"/>
    <col min="1546" max="1792" width="9.28515625" style="422"/>
    <col min="1793" max="1793" width="16.28515625" style="422" customWidth="1"/>
    <col min="1794" max="1794" width="10.140625" style="422" customWidth="1"/>
    <col min="1795" max="1795" width="8.42578125" style="422" customWidth="1"/>
    <col min="1796" max="1796" width="9.85546875" style="422" customWidth="1"/>
    <col min="1797" max="1797" width="8.42578125" style="422" customWidth="1"/>
    <col min="1798" max="1798" width="9" style="422" customWidth="1"/>
    <col min="1799" max="1799" width="8.85546875" style="422" customWidth="1"/>
    <col min="1800" max="1800" width="11.28515625" style="422" customWidth="1"/>
    <col min="1801" max="1801" width="12" style="422" customWidth="1"/>
    <col min="1802" max="2048" width="9.28515625" style="422"/>
    <col min="2049" max="2049" width="16.28515625" style="422" customWidth="1"/>
    <col min="2050" max="2050" width="10.140625" style="422" customWidth="1"/>
    <col min="2051" max="2051" width="8.42578125" style="422" customWidth="1"/>
    <col min="2052" max="2052" width="9.85546875" style="422" customWidth="1"/>
    <col min="2053" max="2053" width="8.42578125" style="422" customWidth="1"/>
    <col min="2054" max="2054" width="9" style="422" customWidth="1"/>
    <col min="2055" max="2055" width="8.85546875" style="422" customWidth="1"/>
    <col min="2056" max="2056" width="11.28515625" style="422" customWidth="1"/>
    <col min="2057" max="2057" width="12" style="422" customWidth="1"/>
    <col min="2058" max="2304" width="9.28515625" style="422"/>
    <col min="2305" max="2305" width="16.28515625" style="422" customWidth="1"/>
    <col min="2306" max="2306" width="10.140625" style="422" customWidth="1"/>
    <col min="2307" max="2307" width="8.42578125" style="422" customWidth="1"/>
    <col min="2308" max="2308" width="9.85546875" style="422" customWidth="1"/>
    <col min="2309" max="2309" width="8.42578125" style="422" customWidth="1"/>
    <col min="2310" max="2310" width="9" style="422" customWidth="1"/>
    <col min="2311" max="2311" width="8.85546875" style="422" customWidth="1"/>
    <col min="2312" max="2312" width="11.28515625" style="422" customWidth="1"/>
    <col min="2313" max="2313" width="12" style="422" customWidth="1"/>
    <col min="2314" max="2560" width="9.28515625" style="422"/>
    <col min="2561" max="2561" width="16.28515625" style="422" customWidth="1"/>
    <col min="2562" max="2562" width="10.140625" style="422" customWidth="1"/>
    <col min="2563" max="2563" width="8.42578125" style="422" customWidth="1"/>
    <col min="2564" max="2564" width="9.85546875" style="422" customWidth="1"/>
    <col min="2565" max="2565" width="8.42578125" style="422" customWidth="1"/>
    <col min="2566" max="2566" width="9" style="422" customWidth="1"/>
    <col min="2567" max="2567" width="8.85546875" style="422" customWidth="1"/>
    <col min="2568" max="2568" width="11.28515625" style="422" customWidth="1"/>
    <col min="2569" max="2569" width="12" style="422" customWidth="1"/>
    <col min="2570" max="2816" width="9.28515625" style="422"/>
    <col min="2817" max="2817" width="16.28515625" style="422" customWidth="1"/>
    <col min="2818" max="2818" width="10.140625" style="422" customWidth="1"/>
    <col min="2819" max="2819" width="8.42578125" style="422" customWidth="1"/>
    <col min="2820" max="2820" width="9.85546875" style="422" customWidth="1"/>
    <col min="2821" max="2821" width="8.42578125" style="422" customWidth="1"/>
    <col min="2822" max="2822" width="9" style="422" customWidth="1"/>
    <col min="2823" max="2823" width="8.85546875" style="422" customWidth="1"/>
    <col min="2824" max="2824" width="11.28515625" style="422" customWidth="1"/>
    <col min="2825" max="2825" width="12" style="422" customWidth="1"/>
    <col min="2826" max="3072" width="9.28515625" style="422"/>
    <col min="3073" max="3073" width="16.28515625" style="422" customWidth="1"/>
    <col min="3074" max="3074" width="10.140625" style="422" customWidth="1"/>
    <col min="3075" max="3075" width="8.42578125" style="422" customWidth="1"/>
    <col min="3076" max="3076" width="9.85546875" style="422" customWidth="1"/>
    <col min="3077" max="3077" width="8.42578125" style="422" customWidth="1"/>
    <col min="3078" max="3078" width="9" style="422" customWidth="1"/>
    <col min="3079" max="3079" width="8.85546875" style="422" customWidth="1"/>
    <col min="3080" max="3080" width="11.28515625" style="422" customWidth="1"/>
    <col min="3081" max="3081" width="12" style="422" customWidth="1"/>
    <col min="3082" max="3328" width="9.28515625" style="422"/>
    <col min="3329" max="3329" width="16.28515625" style="422" customWidth="1"/>
    <col min="3330" max="3330" width="10.140625" style="422" customWidth="1"/>
    <col min="3331" max="3331" width="8.42578125" style="422" customWidth="1"/>
    <col min="3332" max="3332" width="9.85546875" style="422" customWidth="1"/>
    <col min="3333" max="3333" width="8.42578125" style="422" customWidth="1"/>
    <col min="3334" max="3334" width="9" style="422" customWidth="1"/>
    <col min="3335" max="3335" width="8.85546875" style="422" customWidth="1"/>
    <col min="3336" max="3336" width="11.28515625" style="422" customWidth="1"/>
    <col min="3337" max="3337" width="12" style="422" customWidth="1"/>
    <col min="3338" max="3584" width="9.28515625" style="422"/>
    <col min="3585" max="3585" width="16.28515625" style="422" customWidth="1"/>
    <col min="3586" max="3586" width="10.140625" style="422" customWidth="1"/>
    <col min="3587" max="3587" width="8.42578125" style="422" customWidth="1"/>
    <col min="3588" max="3588" width="9.85546875" style="422" customWidth="1"/>
    <col min="3589" max="3589" width="8.42578125" style="422" customWidth="1"/>
    <col min="3590" max="3590" width="9" style="422" customWidth="1"/>
    <col min="3591" max="3591" width="8.85546875" style="422" customWidth="1"/>
    <col min="3592" max="3592" width="11.28515625" style="422" customWidth="1"/>
    <col min="3593" max="3593" width="12" style="422" customWidth="1"/>
    <col min="3594" max="3840" width="9.28515625" style="422"/>
    <col min="3841" max="3841" width="16.28515625" style="422" customWidth="1"/>
    <col min="3842" max="3842" width="10.140625" style="422" customWidth="1"/>
    <col min="3843" max="3843" width="8.42578125" style="422" customWidth="1"/>
    <col min="3844" max="3844" width="9.85546875" style="422" customWidth="1"/>
    <col min="3845" max="3845" width="8.42578125" style="422" customWidth="1"/>
    <col min="3846" max="3846" width="9" style="422" customWidth="1"/>
    <col min="3847" max="3847" width="8.85546875" style="422" customWidth="1"/>
    <col min="3848" max="3848" width="11.28515625" style="422" customWidth="1"/>
    <col min="3849" max="3849" width="12" style="422" customWidth="1"/>
    <col min="3850" max="4096" width="9.28515625" style="422"/>
    <col min="4097" max="4097" width="16.28515625" style="422" customWidth="1"/>
    <col min="4098" max="4098" width="10.140625" style="422" customWidth="1"/>
    <col min="4099" max="4099" width="8.42578125" style="422" customWidth="1"/>
    <col min="4100" max="4100" width="9.85546875" style="422" customWidth="1"/>
    <col min="4101" max="4101" width="8.42578125" style="422" customWidth="1"/>
    <col min="4102" max="4102" width="9" style="422" customWidth="1"/>
    <col min="4103" max="4103" width="8.85546875" style="422" customWidth="1"/>
    <col min="4104" max="4104" width="11.28515625" style="422" customWidth="1"/>
    <col min="4105" max="4105" width="12" style="422" customWidth="1"/>
    <col min="4106" max="4352" width="9.28515625" style="422"/>
    <col min="4353" max="4353" width="16.28515625" style="422" customWidth="1"/>
    <col min="4354" max="4354" width="10.140625" style="422" customWidth="1"/>
    <col min="4355" max="4355" width="8.42578125" style="422" customWidth="1"/>
    <col min="4356" max="4356" width="9.85546875" style="422" customWidth="1"/>
    <col min="4357" max="4357" width="8.42578125" style="422" customWidth="1"/>
    <col min="4358" max="4358" width="9" style="422" customWidth="1"/>
    <col min="4359" max="4359" width="8.85546875" style="422" customWidth="1"/>
    <col min="4360" max="4360" width="11.28515625" style="422" customWidth="1"/>
    <col min="4361" max="4361" width="12" style="422" customWidth="1"/>
    <col min="4362" max="4608" width="9.28515625" style="422"/>
    <col min="4609" max="4609" width="16.28515625" style="422" customWidth="1"/>
    <col min="4610" max="4610" width="10.140625" style="422" customWidth="1"/>
    <col min="4611" max="4611" width="8.42578125" style="422" customWidth="1"/>
    <col min="4612" max="4612" width="9.85546875" style="422" customWidth="1"/>
    <col min="4613" max="4613" width="8.42578125" style="422" customWidth="1"/>
    <col min="4614" max="4614" width="9" style="422" customWidth="1"/>
    <col min="4615" max="4615" width="8.85546875" style="422" customWidth="1"/>
    <col min="4616" max="4616" width="11.28515625" style="422" customWidth="1"/>
    <col min="4617" max="4617" width="12" style="422" customWidth="1"/>
    <col min="4618" max="4864" width="9.28515625" style="422"/>
    <col min="4865" max="4865" width="16.28515625" style="422" customWidth="1"/>
    <col min="4866" max="4866" width="10.140625" style="422" customWidth="1"/>
    <col min="4867" max="4867" width="8.42578125" style="422" customWidth="1"/>
    <col min="4868" max="4868" width="9.85546875" style="422" customWidth="1"/>
    <col min="4869" max="4869" width="8.42578125" style="422" customWidth="1"/>
    <col min="4870" max="4870" width="9" style="422" customWidth="1"/>
    <col min="4871" max="4871" width="8.85546875" style="422" customWidth="1"/>
    <col min="4872" max="4872" width="11.28515625" style="422" customWidth="1"/>
    <col min="4873" max="4873" width="12" style="422" customWidth="1"/>
    <col min="4874" max="5120" width="9.28515625" style="422"/>
    <col min="5121" max="5121" width="16.28515625" style="422" customWidth="1"/>
    <col min="5122" max="5122" width="10.140625" style="422" customWidth="1"/>
    <col min="5123" max="5123" width="8.42578125" style="422" customWidth="1"/>
    <col min="5124" max="5124" width="9.85546875" style="422" customWidth="1"/>
    <col min="5125" max="5125" width="8.42578125" style="422" customWidth="1"/>
    <col min="5126" max="5126" width="9" style="422" customWidth="1"/>
    <col min="5127" max="5127" width="8.85546875" style="422" customWidth="1"/>
    <col min="5128" max="5128" width="11.28515625" style="422" customWidth="1"/>
    <col min="5129" max="5129" width="12" style="422" customWidth="1"/>
    <col min="5130" max="5376" width="9.28515625" style="422"/>
    <col min="5377" max="5377" width="16.28515625" style="422" customWidth="1"/>
    <col min="5378" max="5378" width="10.140625" style="422" customWidth="1"/>
    <col min="5379" max="5379" width="8.42578125" style="422" customWidth="1"/>
    <col min="5380" max="5380" width="9.85546875" style="422" customWidth="1"/>
    <col min="5381" max="5381" width="8.42578125" style="422" customWidth="1"/>
    <col min="5382" max="5382" width="9" style="422" customWidth="1"/>
    <col min="5383" max="5383" width="8.85546875" style="422" customWidth="1"/>
    <col min="5384" max="5384" width="11.28515625" style="422" customWidth="1"/>
    <col min="5385" max="5385" width="12" style="422" customWidth="1"/>
    <col min="5386" max="5632" width="9.28515625" style="422"/>
    <col min="5633" max="5633" width="16.28515625" style="422" customWidth="1"/>
    <col min="5634" max="5634" width="10.140625" style="422" customWidth="1"/>
    <col min="5635" max="5635" width="8.42578125" style="422" customWidth="1"/>
    <col min="5636" max="5636" width="9.85546875" style="422" customWidth="1"/>
    <col min="5637" max="5637" width="8.42578125" style="422" customWidth="1"/>
    <col min="5638" max="5638" width="9" style="422" customWidth="1"/>
    <col min="5639" max="5639" width="8.85546875" style="422" customWidth="1"/>
    <col min="5640" max="5640" width="11.28515625" style="422" customWidth="1"/>
    <col min="5641" max="5641" width="12" style="422" customWidth="1"/>
    <col min="5642" max="5888" width="9.28515625" style="422"/>
    <col min="5889" max="5889" width="16.28515625" style="422" customWidth="1"/>
    <col min="5890" max="5890" width="10.140625" style="422" customWidth="1"/>
    <col min="5891" max="5891" width="8.42578125" style="422" customWidth="1"/>
    <col min="5892" max="5892" width="9.85546875" style="422" customWidth="1"/>
    <col min="5893" max="5893" width="8.42578125" style="422" customWidth="1"/>
    <col min="5894" max="5894" width="9" style="422" customWidth="1"/>
    <col min="5895" max="5895" width="8.85546875" style="422" customWidth="1"/>
    <col min="5896" max="5896" width="11.28515625" style="422" customWidth="1"/>
    <col min="5897" max="5897" width="12" style="422" customWidth="1"/>
    <col min="5898" max="6144" width="9.28515625" style="422"/>
    <col min="6145" max="6145" width="16.28515625" style="422" customWidth="1"/>
    <col min="6146" max="6146" width="10.140625" style="422" customWidth="1"/>
    <col min="6147" max="6147" width="8.42578125" style="422" customWidth="1"/>
    <col min="6148" max="6148" width="9.85546875" style="422" customWidth="1"/>
    <col min="6149" max="6149" width="8.42578125" style="422" customWidth="1"/>
    <col min="6150" max="6150" width="9" style="422" customWidth="1"/>
    <col min="6151" max="6151" width="8.85546875" style="422" customWidth="1"/>
    <col min="6152" max="6152" width="11.28515625" style="422" customWidth="1"/>
    <col min="6153" max="6153" width="12" style="422" customWidth="1"/>
    <col min="6154" max="6400" width="9.28515625" style="422"/>
    <col min="6401" max="6401" width="16.28515625" style="422" customWidth="1"/>
    <col min="6402" max="6402" width="10.140625" style="422" customWidth="1"/>
    <col min="6403" max="6403" width="8.42578125" style="422" customWidth="1"/>
    <col min="6404" max="6404" width="9.85546875" style="422" customWidth="1"/>
    <col min="6405" max="6405" width="8.42578125" style="422" customWidth="1"/>
    <col min="6406" max="6406" width="9" style="422" customWidth="1"/>
    <col min="6407" max="6407" width="8.85546875" style="422" customWidth="1"/>
    <col min="6408" max="6408" width="11.28515625" style="422" customWidth="1"/>
    <col min="6409" max="6409" width="12" style="422" customWidth="1"/>
    <col min="6410" max="6656" width="9.28515625" style="422"/>
    <col min="6657" max="6657" width="16.28515625" style="422" customWidth="1"/>
    <col min="6658" max="6658" width="10.140625" style="422" customWidth="1"/>
    <col min="6659" max="6659" width="8.42578125" style="422" customWidth="1"/>
    <col min="6660" max="6660" width="9.85546875" style="422" customWidth="1"/>
    <col min="6661" max="6661" width="8.42578125" style="422" customWidth="1"/>
    <col min="6662" max="6662" width="9" style="422" customWidth="1"/>
    <col min="6663" max="6663" width="8.85546875" style="422" customWidth="1"/>
    <col min="6664" max="6664" width="11.28515625" style="422" customWidth="1"/>
    <col min="6665" max="6665" width="12" style="422" customWidth="1"/>
    <col min="6666" max="6912" width="9.28515625" style="422"/>
    <col min="6913" max="6913" width="16.28515625" style="422" customWidth="1"/>
    <col min="6914" max="6914" width="10.140625" style="422" customWidth="1"/>
    <col min="6915" max="6915" width="8.42578125" style="422" customWidth="1"/>
    <col min="6916" max="6916" width="9.85546875" style="422" customWidth="1"/>
    <col min="6917" max="6917" width="8.42578125" style="422" customWidth="1"/>
    <col min="6918" max="6918" width="9" style="422" customWidth="1"/>
    <col min="6919" max="6919" width="8.85546875" style="422" customWidth="1"/>
    <col min="6920" max="6920" width="11.28515625" style="422" customWidth="1"/>
    <col min="6921" max="6921" width="12" style="422" customWidth="1"/>
    <col min="6922" max="7168" width="9.28515625" style="422"/>
    <col min="7169" max="7169" width="16.28515625" style="422" customWidth="1"/>
    <col min="7170" max="7170" width="10.140625" style="422" customWidth="1"/>
    <col min="7171" max="7171" width="8.42578125" style="422" customWidth="1"/>
    <col min="7172" max="7172" width="9.85546875" style="422" customWidth="1"/>
    <col min="7173" max="7173" width="8.42578125" style="422" customWidth="1"/>
    <col min="7174" max="7174" width="9" style="422" customWidth="1"/>
    <col min="7175" max="7175" width="8.85546875" style="422" customWidth="1"/>
    <col min="7176" max="7176" width="11.28515625" style="422" customWidth="1"/>
    <col min="7177" max="7177" width="12" style="422" customWidth="1"/>
    <col min="7178" max="7424" width="9.28515625" style="422"/>
    <col min="7425" max="7425" width="16.28515625" style="422" customWidth="1"/>
    <col min="7426" max="7426" width="10.140625" style="422" customWidth="1"/>
    <col min="7427" max="7427" width="8.42578125" style="422" customWidth="1"/>
    <col min="7428" max="7428" width="9.85546875" style="422" customWidth="1"/>
    <col min="7429" max="7429" width="8.42578125" style="422" customWidth="1"/>
    <col min="7430" max="7430" width="9" style="422" customWidth="1"/>
    <col min="7431" max="7431" width="8.85546875" style="422" customWidth="1"/>
    <col min="7432" max="7432" width="11.28515625" style="422" customWidth="1"/>
    <col min="7433" max="7433" width="12" style="422" customWidth="1"/>
    <col min="7434" max="7680" width="9.28515625" style="422"/>
    <col min="7681" max="7681" width="16.28515625" style="422" customWidth="1"/>
    <col min="7682" max="7682" width="10.140625" style="422" customWidth="1"/>
    <col min="7683" max="7683" width="8.42578125" style="422" customWidth="1"/>
    <col min="7684" max="7684" width="9.85546875" style="422" customWidth="1"/>
    <col min="7685" max="7685" width="8.42578125" style="422" customWidth="1"/>
    <col min="7686" max="7686" width="9" style="422" customWidth="1"/>
    <col min="7687" max="7687" width="8.85546875" style="422" customWidth="1"/>
    <col min="7688" max="7688" width="11.28515625" style="422" customWidth="1"/>
    <col min="7689" max="7689" width="12" style="422" customWidth="1"/>
    <col min="7690" max="7936" width="9.28515625" style="422"/>
    <col min="7937" max="7937" width="16.28515625" style="422" customWidth="1"/>
    <col min="7938" max="7938" width="10.140625" style="422" customWidth="1"/>
    <col min="7939" max="7939" width="8.42578125" style="422" customWidth="1"/>
    <col min="7940" max="7940" width="9.85546875" style="422" customWidth="1"/>
    <col min="7941" max="7941" width="8.42578125" style="422" customWidth="1"/>
    <col min="7942" max="7942" width="9" style="422" customWidth="1"/>
    <col min="7943" max="7943" width="8.85546875" style="422" customWidth="1"/>
    <col min="7944" max="7944" width="11.28515625" style="422" customWidth="1"/>
    <col min="7945" max="7945" width="12" style="422" customWidth="1"/>
    <col min="7946" max="8192" width="9.28515625" style="422"/>
    <col min="8193" max="8193" width="16.28515625" style="422" customWidth="1"/>
    <col min="8194" max="8194" width="10.140625" style="422" customWidth="1"/>
    <col min="8195" max="8195" width="8.42578125" style="422" customWidth="1"/>
    <col min="8196" max="8196" width="9.85546875" style="422" customWidth="1"/>
    <col min="8197" max="8197" width="8.42578125" style="422" customWidth="1"/>
    <col min="8198" max="8198" width="9" style="422" customWidth="1"/>
    <col min="8199" max="8199" width="8.85546875" style="422" customWidth="1"/>
    <col min="8200" max="8200" width="11.28515625" style="422" customWidth="1"/>
    <col min="8201" max="8201" width="12" style="422" customWidth="1"/>
    <col min="8202" max="8448" width="9.28515625" style="422"/>
    <col min="8449" max="8449" width="16.28515625" style="422" customWidth="1"/>
    <col min="8450" max="8450" width="10.140625" style="422" customWidth="1"/>
    <col min="8451" max="8451" width="8.42578125" style="422" customWidth="1"/>
    <col min="8452" max="8452" width="9.85546875" style="422" customWidth="1"/>
    <col min="8453" max="8453" width="8.42578125" style="422" customWidth="1"/>
    <col min="8454" max="8454" width="9" style="422" customWidth="1"/>
    <col min="8455" max="8455" width="8.85546875" style="422" customWidth="1"/>
    <col min="8456" max="8456" width="11.28515625" style="422" customWidth="1"/>
    <col min="8457" max="8457" width="12" style="422" customWidth="1"/>
    <col min="8458" max="8704" width="9.28515625" style="422"/>
    <col min="8705" max="8705" width="16.28515625" style="422" customWidth="1"/>
    <col min="8706" max="8706" width="10.140625" style="422" customWidth="1"/>
    <col min="8707" max="8707" width="8.42578125" style="422" customWidth="1"/>
    <col min="8708" max="8708" width="9.85546875" style="422" customWidth="1"/>
    <col min="8709" max="8709" width="8.42578125" style="422" customWidth="1"/>
    <col min="8710" max="8710" width="9" style="422" customWidth="1"/>
    <col min="8711" max="8711" width="8.85546875" style="422" customWidth="1"/>
    <col min="8712" max="8712" width="11.28515625" style="422" customWidth="1"/>
    <col min="8713" max="8713" width="12" style="422" customWidth="1"/>
    <col min="8714" max="8960" width="9.28515625" style="422"/>
    <col min="8961" max="8961" width="16.28515625" style="422" customWidth="1"/>
    <col min="8962" max="8962" width="10.140625" style="422" customWidth="1"/>
    <col min="8963" max="8963" width="8.42578125" style="422" customWidth="1"/>
    <col min="8964" max="8964" width="9.85546875" style="422" customWidth="1"/>
    <col min="8965" max="8965" width="8.42578125" style="422" customWidth="1"/>
    <col min="8966" max="8966" width="9" style="422" customWidth="1"/>
    <col min="8967" max="8967" width="8.85546875" style="422" customWidth="1"/>
    <col min="8968" max="8968" width="11.28515625" style="422" customWidth="1"/>
    <col min="8969" max="8969" width="12" style="422" customWidth="1"/>
    <col min="8970" max="9216" width="9.28515625" style="422"/>
    <col min="9217" max="9217" width="16.28515625" style="422" customWidth="1"/>
    <col min="9218" max="9218" width="10.140625" style="422" customWidth="1"/>
    <col min="9219" max="9219" width="8.42578125" style="422" customWidth="1"/>
    <col min="9220" max="9220" width="9.85546875" style="422" customWidth="1"/>
    <col min="9221" max="9221" width="8.42578125" style="422" customWidth="1"/>
    <col min="9222" max="9222" width="9" style="422" customWidth="1"/>
    <col min="9223" max="9223" width="8.85546875" style="422" customWidth="1"/>
    <col min="9224" max="9224" width="11.28515625" style="422" customWidth="1"/>
    <col min="9225" max="9225" width="12" style="422" customWidth="1"/>
    <col min="9226" max="9472" width="9.28515625" style="422"/>
    <col min="9473" max="9473" width="16.28515625" style="422" customWidth="1"/>
    <col min="9474" max="9474" width="10.140625" style="422" customWidth="1"/>
    <col min="9475" max="9475" width="8.42578125" style="422" customWidth="1"/>
    <col min="9476" max="9476" width="9.85546875" style="422" customWidth="1"/>
    <col min="9477" max="9477" width="8.42578125" style="422" customWidth="1"/>
    <col min="9478" max="9478" width="9" style="422" customWidth="1"/>
    <col min="9479" max="9479" width="8.85546875" style="422" customWidth="1"/>
    <col min="9480" max="9480" width="11.28515625" style="422" customWidth="1"/>
    <col min="9481" max="9481" width="12" style="422" customWidth="1"/>
    <col min="9482" max="9728" width="9.28515625" style="422"/>
    <col min="9729" max="9729" width="16.28515625" style="422" customWidth="1"/>
    <col min="9730" max="9730" width="10.140625" style="422" customWidth="1"/>
    <col min="9731" max="9731" width="8.42578125" style="422" customWidth="1"/>
    <col min="9732" max="9732" width="9.85546875" style="422" customWidth="1"/>
    <col min="9733" max="9733" width="8.42578125" style="422" customWidth="1"/>
    <col min="9734" max="9734" width="9" style="422" customWidth="1"/>
    <col min="9735" max="9735" width="8.85546875" style="422" customWidth="1"/>
    <col min="9736" max="9736" width="11.28515625" style="422" customWidth="1"/>
    <col min="9737" max="9737" width="12" style="422" customWidth="1"/>
    <col min="9738" max="9984" width="9.28515625" style="422"/>
    <col min="9985" max="9985" width="16.28515625" style="422" customWidth="1"/>
    <col min="9986" max="9986" width="10.140625" style="422" customWidth="1"/>
    <col min="9987" max="9987" width="8.42578125" style="422" customWidth="1"/>
    <col min="9988" max="9988" width="9.85546875" style="422" customWidth="1"/>
    <col min="9989" max="9989" width="8.42578125" style="422" customWidth="1"/>
    <col min="9990" max="9990" width="9" style="422" customWidth="1"/>
    <col min="9991" max="9991" width="8.85546875" style="422" customWidth="1"/>
    <col min="9992" max="9992" width="11.28515625" style="422" customWidth="1"/>
    <col min="9993" max="9993" width="12" style="422" customWidth="1"/>
    <col min="9994" max="10240" width="9.28515625" style="422"/>
    <col min="10241" max="10241" width="16.28515625" style="422" customWidth="1"/>
    <col min="10242" max="10242" width="10.140625" style="422" customWidth="1"/>
    <col min="10243" max="10243" width="8.42578125" style="422" customWidth="1"/>
    <col min="10244" max="10244" width="9.85546875" style="422" customWidth="1"/>
    <col min="10245" max="10245" width="8.42578125" style="422" customWidth="1"/>
    <col min="10246" max="10246" width="9" style="422" customWidth="1"/>
    <col min="10247" max="10247" width="8.85546875" style="422" customWidth="1"/>
    <col min="10248" max="10248" width="11.28515625" style="422" customWidth="1"/>
    <col min="10249" max="10249" width="12" style="422" customWidth="1"/>
    <col min="10250" max="10496" width="9.28515625" style="422"/>
    <col min="10497" max="10497" width="16.28515625" style="422" customWidth="1"/>
    <col min="10498" max="10498" width="10.140625" style="422" customWidth="1"/>
    <col min="10499" max="10499" width="8.42578125" style="422" customWidth="1"/>
    <col min="10500" max="10500" width="9.85546875" style="422" customWidth="1"/>
    <col min="10501" max="10501" width="8.42578125" style="422" customWidth="1"/>
    <col min="10502" max="10502" width="9" style="422" customWidth="1"/>
    <col min="10503" max="10503" width="8.85546875" style="422" customWidth="1"/>
    <col min="10504" max="10504" width="11.28515625" style="422" customWidth="1"/>
    <col min="10505" max="10505" width="12" style="422" customWidth="1"/>
    <col min="10506" max="10752" width="9.28515625" style="422"/>
    <col min="10753" max="10753" width="16.28515625" style="422" customWidth="1"/>
    <col min="10754" max="10754" width="10.140625" style="422" customWidth="1"/>
    <col min="10755" max="10755" width="8.42578125" style="422" customWidth="1"/>
    <col min="10756" max="10756" width="9.85546875" style="422" customWidth="1"/>
    <col min="10757" max="10757" width="8.42578125" style="422" customWidth="1"/>
    <col min="10758" max="10758" width="9" style="422" customWidth="1"/>
    <col min="10759" max="10759" width="8.85546875" style="422" customWidth="1"/>
    <col min="10760" max="10760" width="11.28515625" style="422" customWidth="1"/>
    <col min="10761" max="10761" width="12" style="422" customWidth="1"/>
    <col min="10762" max="11008" width="9.28515625" style="422"/>
    <col min="11009" max="11009" width="16.28515625" style="422" customWidth="1"/>
    <col min="11010" max="11010" width="10.140625" style="422" customWidth="1"/>
    <col min="11011" max="11011" width="8.42578125" style="422" customWidth="1"/>
    <col min="11012" max="11012" width="9.85546875" style="422" customWidth="1"/>
    <col min="11013" max="11013" width="8.42578125" style="422" customWidth="1"/>
    <col min="11014" max="11014" width="9" style="422" customWidth="1"/>
    <col min="11015" max="11015" width="8.85546875" style="422" customWidth="1"/>
    <col min="11016" max="11016" width="11.28515625" style="422" customWidth="1"/>
    <col min="11017" max="11017" width="12" style="422" customWidth="1"/>
    <col min="11018" max="11264" width="9.28515625" style="422"/>
    <col min="11265" max="11265" width="16.28515625" style="422" customWidth="1"/>
    <col min="11266" max="11266" width="10.140625" style="422" customWidth="1"/>
    <col min="11267" max="11267" width="8.42578125" style="422" customWidth="1"/>
    <col min="11268" max="11268" width="9.85546875" style="422" customWidth="1"/>
    <col min="11269" max="11269" width="8.42578125" style="422" customWidth="1"/>
    <col min="11270" max="11270" width="9" style="422" customWidth="1"/>
    <col min="11271" max="11271" width="8.85546875" style="422" customWidth="1"/>
    <col min="11272" max="11272" width="11.28515625" style="422" customWidth="1"/>
    <col min="11273" max="11273" width="12" style="422" customWidth="1"/>
    <col min="11274" max="11520" width="9.28515625" style="422"/>
    <col min="11521" max="11521" width="16.28515625" style="422" customWidth="1"/>
    <col min="11522" max="11522" width="10.140625" style="422" customWidth="1"/>
    <col min="11523" max="11523" width="8.42578125" style="422" customWidth="1"/>
    <col min="11524" max="11524" width="9.85546875" style="422" customWidth="1"/>
    <col min="11525" max="11525" width="8.42578125" style="422" customWidth="1"/>
    <col min="11526" max="11526" width="9" style="422" customWidth="1"/>
    <col min="11527" max="11527" width="8.85546875" style="422" customWidth="1"/>
    <col min="11528" max="11528" width="11.28515625" style="422" customWidth="1"/>
    <col min="11529" max="11529" width="12" style="422" customWidth="1"/>
    <col min="11530" max="11776" width="9.28515625" style="422"/>
    <col min="11777" max="11777" width="16.28515625" style="422" customWidth="1"/>
    <col min="11778" max="11778" width="10.140625" style="422" customWidth="1"/>
    <col min="11779" max="11779" width="8.42578125" style="422" customWidth="1"/>
    <col min="11780" max="11780" width="9.85546875" style="422" customWidth="1"/>
    <col min="11781" max="11781" width="8.42578125" style="422" customWidth="1"/>
    <col min="11782" max="11782" width="9" style="422" customWidth="1"/>
    <col min="11783" max="11783" width="8.85546875" style="422" customWidth="1"/>
    <col min="11784" max="11784" width="11.28515625" style="422" customWidth="1"/>
    <col min="11785" max="11785" width="12" style="422" customWidth="1"/>
    <col min="11786" max="12032" width="9.28515625" style="422"/>
    <col min="12033" max="12033" width="16.28515625" style="422" customWidth="1"/>
    <col min="12034" max="12034" width="10.140625" style="422" customWidth="1"/>
    <col min="12035" max="12035" width="8.42578125" style="422" customWidth="1"/>
    <col min="12036" max="12036" width="9.85546875" style="422" customWidth="1"/>
    <col min="12037" max="12037" width="8.42578125" style="422" customWidth="1"/>
    <col min="12038" max="12038" width="9" style="422" customWidth="1"/>
    <col min="12039" max="12039" width="8.85546875" style="422" customWidth="1"/>
    <col min="12040" max="12040" width="11.28515625" style="422" customWidth="1"/>
    <col min="12041" max="12041" width="12" style="422" customWidth="1"/>
    <col min="12042" max="12288" width="9.28515625" style="422"/>
    <col min="12289" max="12289" width="16.28515625" style="422" customWidth="1"/>
    <col min="12290" max="12290" width="10.140625" style="422" customWidth="1"/>
    <col min="12291" max="12291" width="8.42578125" style="422" customWidth="1"/>
    <col min="12292" max="12292" width="9.85546875" style="422" customWidth="1"/>
    <col min="12293" max="12293" width="8.42578125" style="422" customWidth="1"/>
    <col min="12294" max="12294" width="9" style="422" customWidth="1"/>
    <col min="12295" max="12295" width="8.85546875" style="422" customWidth="1"/>
    <col min="12296" max="12296" width="11.28515625" style="422" customWidth="1"/>
    <col min="12297" max="12297" width="12" style="422" customWidth="1"/>
    <col min="12298" max="12544" width="9.28515625" style="422"/>
    <col min="12545" max="12545" width="16.28515625" style="422" customWidth="1"/>
    <col min="12546" max="12546" width="10.140625" style="422" customWidth="1"/>
    <col min="12547" max="12547" width="8.42578125" style="422" customWidth="1"/>
    <col min="12548" max="12548" width="9.85546875" style="422" customWidth="1"/>
    <col min="12549" max="12549" width="8.42578125" style="422" customWidth="1"/>
    <col min="12550" max="12550" width="9" style="422" customWidth="1"/>
    <col min="12551" max="12551" width="8.85546875" style="422" customWidth="1"/>
    <col min="12552" max="12552" width="11.28515625" style="422" customWidth="1"/>
    <col min="12553" max="12553" width="12" style="422" customWidth="1"/>
    <col min="12554" max="12800" width="9.28515625" style="422"/>
    <col min="12801" max="12801" width="16.28515625" style="422" customWidth="1"/>
    <col min="12802" max="12802" width="10.140625" style="422" customWidth="1"/>
    <col min="12803" max="12803" width="8.42578125" style="422" customWidth="1"/>
    <col min="12804" max="12804" width="9.85546875" style="422" customWidth="1"/>
    <col min="12805" max="12805" width="8.42578125" style="422" customWidth="1"/>
    <col min="12806" max="12806" width="9" style="422" customWidth="1"/>
    <col min="12807" max="12807" width="8.85546875" style="422" customWidth="1"/>
    <col min="12808" max="12808" width="11.28515625" style="422" customWidth="1"/>
    <col min="12809" max="12809" width="12" style="422" customWidth="1"/>
    <col min="12810" max="13056" width="9.28515625" style="422"/>
    <col min="13057" max="13057" width="16.28515625" style="422" customWidth="1"/>
    <col min="13058" max="13058" width="10.140625" style="422" customWidth="1"/>
    <col min="13059" max="13059" width="8.42578125" style="422" customWidth="1"/>
    <col min="13060" max="13060" width="9.85546875" style="422" customWidth="1"/>
    <col min="13061" max="13061" width="8.42578125" style="422" customWidth="1"/>
    <col min="13062" max="13062" width="9" style="422" customWidth="1"/>
    <col min="13063" max="13063" width="8.85546875" style="422" customWidth="1"/>
    <col min="13064" max="13064" width="11.28515625" style="422" customWidth="1"/>
    <col min="13065" max="13065" width="12" style="422" customWidth="1"/>
    <col min="13066" max="13312" width="9.28515625" style="422"/>
    <col min="13313" max="13313" width="16.28515625" style="422" customWidth="1"/>
    <col min="13314" max="13314" width="10.140625" style="422" customWidth="1"/>
    <col min="13315" max="13315" width="8.42578125" style="422" customWidth="1"/>
    <col min="13316" max="13316" width="9.85546875" style="422" customWidth="1"/>
    <col min="13317" max="13317" width="8.42578125" style="422" customWidth="1"/>
    <col min="13318" max="13318" width="9" style="422" customWidth="1"/>
    <col min="13319" max="13319" width="8.85546875" style="422" customWidth="1"/>
    <col min="13320" max="13320" width="11.28515625" style="422" customWidth="1"/>
    <col min="13321" max="13321" width="12" style="422" customWidth="1"/>
    <col min="13322" max="13568" width="9.28515625" style="422"/>
    <col min="13569" max="13569" width="16.28515625" style="422" customWidth="1"/>
    <col min="13570" max="13570" width="10.140625" style="422" customWidth="1"/>
    <col min="13571" max="13571" width="8.42578125" style="422" customWidth="1"/>
    <col min="13572" max="13572" width="9.85546875" style="422" customWidth="1"/>
    <col min="13573" max="13573" width="8.42578125" style="422" customWidth="1"/>
    <col min="13574" max="13574" width="9" style="422" customWidth="1"/>
    <col min="13575" max="13575" width="8.85546875" style="422" customWidth="1"/>
    <col min="13576" max="13576" width="11.28515625" style="422" customWidth="1"/>
    <col min="13577" max="13577" width="12" style="422" customWidth="1"/>
    <col min="13578" max="13824" width="9.28515625" style="422"/>
    <col min="13825" max="13825" width="16.28515625" style="422" customWidth="1"/>
    <col min="13826" max="13826" width="10.140625" style="422" customWidth="1"/>
    <col min="13827" max="13827" width="8.42578125" style="422" customWidth="1"/>
    <col min="13828" max="13828" width="9.85546875" style="422" customWidth="1"/>
    <col min="13829" max="13829" width="8.42578125" style="422" customWidth="1"/>
    <col min="13830" max="13830" width="9" style="422" customWidth="1"/>
    <col min="13831" max="13831" width="8.85546875" style="422" customWidth="1"/>
    <col min="13832" max="13832" width="11.28515625" style="422" customWidth="1"/>
    <col min="13833" max="13833" width="12" style="422" customWidth="1"/>
    <col min="13834" max="14080" width="9.28515625" style="422"/>
    <col min="14081" max="14081" width="16.28515625" style="422" customWidth="1"/>
    <col min="14082" max="14082" width="10.140625" style="422" customWidth="1"/>
    <col min="14083" max="14083" width="8.42578125" style="422" customWidth="1"/>
    <col min="14084" max="14084" width="9.85546875" style="422" customWidth="1"/>
    <col min="14085" max="14085" width="8.42578125" style="422" customWidth="1"/>
    <col min="14086" max="14086" width="9" style="422" customWidth="1"/>
    <col min="14087" max="14087" width="8.85546875" style="422" customWidth="1"/>
    <col min="14088" max="14088" width="11.28515625" style="422" customWidth="1"/>
    <col min="14089" max="14089" width="12" style="422" customWidth="1"/>
    <col min="14090" max="14336" width="9.28515625" style="422"/>
    <col min="14337" max="14337" width="16.28515625" style="422" customWidth="1"/>
    <col min="14338" max="14338" width="10.140625" style="422" customWidth="1"/>
    <col min="14339" max="14339" width="8.42578125" style="422" customWidth="1"/>
    <col min="14340" max="14340" width="9.85546875" style="422" customWidth="1"/>
    <col min="14341" max="14341" width="8.42578125" style="422" customWidth="1"/>
    <col min="14342" max="14342" width="9" style="422" customWidth="1"/>
    <col min="14343" max="14343" width="8.85546875" style="422" customWidth="1"/>
    <col min="14344" max="14344" width="11.28515625" style="422" customWidth="1"/>
    <col min="14345" max="14345" width="12" style="422" customWidth="1"/>
    <col min="14346" max="14592" width="9.28515625" style="422"/>
    <col min="14593" max="14593" width="16.28515625" style="422" customWidth="1"/>
    <col min="14594" max="14594" width="10.140625" style="422" customWidth="1"/>
    <col min="14595" max="14595" width="8.42578125" style="422" customWidth="1"/>
    <col min="14596" max="14596" width="9.85546875" style="422" customWidth="1"/>
    <col min="14597" max="14597" width="8.42578125" style="422" customWidth="1"/>
    <col min="14598" max="14598" width="9" style="422" customWidth="1"/>
    <col min="14599" max="14599" width="8.85546875" style="422" customWidth="1"/>
    <col min="14600" max="14600" width="11.28515625" style="422" customWidth="1"/>
    <col min="14601" max="14601" width="12" style="422" customWidth="1"/>
    <col min="14602" max="14848" width="9.28515625" style="422"/>
    <col min="14849" max="14849" width="16.28515625" style="422" customWidth="1"/>
    <col min="14850" max="14850" width="10.140625" style="422" customWidth="1"/>
    <col min="14851" max="14851" width="8.42578125" style="422" customWidth="1"/>
    <col min="14852" max="14852" width="9.85546875" style="422" customWidth="1"/>
    <col min="14853" max="14853" width="8.42578125" style="422" customWidth="1"/>
    <col min="14854" max="14854" width="9" style="422" customWidth="1"/>
    <col min="14855" max="14855" width="8.85546875" style="422" customWidth="1"/>
    <col min="14856" max="14856" width="11.28515625" style="422" customWidth="1"/>
    <col min="14857" max="14857" width="12" style="422" customWidth="1"/>
    <col min="14858" max="15104" width="9.28515625" style="422"/>
    <col min="15105" max="15105" width="16.28515625" style="422" customWidth="1"/>
    <col min="15106" max="15106" width="10.140625" style="422" customWidth="1"/>
    <col min="15107" max="15107" width="8.42578125" style="422" customWidth="1"/>
    <col min="15108" max="15108" width="9.85546875" style="422" customWidth="1"/>
    <col min="15109" max="15109" width="8.42578125" style="422" customWidth="1"/>
    <col min="15110" max="15110" width="9" style="422" customWidth="1"/>
    <col min="15111" max="15111" width="8.85546875" style="422" customWidth="1"/>
    <col min="15112" max="15112" width="11.28515625" style="422" customWidth="1"/>
    <col min="15113" max="15113" width="12" style="422" customWidth="1"/>
    <col min="15114" max="15360" width="9.28515625" style="422"/>
    <col min="15361" max="15361" width="16.28515625" style="422" customWidth="1"/>
    <col min="15362" max="15362" width="10.140625" style="422" customWidth="1"/>
    <col min="15363" max="15363" width="8.42578125" style="422" customWidth="1"/>
    <col min="15364" max="15364" width="9.85546875" style="422" customWidth="1"/>
    <col min="15365" max="15365" width="8.42578125" style="422" customWidth="1"/>
    <col min="15366" max="15366" width="9" style="422" customWidth="1"/>
    <col min="15367" max="15367" width="8.85546875" style="422" customWidth="1"/>
    <col min="15368" max="15368" width="11.28515625" style="422" customWidth="1"/>
    <col min="15369" max="15369" width="12" style="422" customWidth="1"/>
    <col min="15370" max="15616" width="9.28515625" style="422"/>
    <col min="15617" max="15617" width="16.28515625" style="422" customWidth="1"/>
    <col min="15618" max="15618" width="10.140625" style="422" customWidth="1"/>
    <col min="15619" max="15619" width="8.42578125" style="422" customWidth="1"/>
    <col min="15620" max="15620" width="9.85546875" style="422" customWidth="1"/>
    <col min="15621" max="15621" width="8.42578125" style="422" customWidth="1"/>
    <col min="15622" max="15622" width="9" style="422" customWidth="1"/>
    <col min="15623" max="15623" width="8.85546875" style="422" customWidth="1"/>
    <col min="15624" max="15624" width="11.28515625" style="422" customWidth="1"/>
    <col min="15625" max="15625" width="12" style="422" customWidth="1"/>
    <col min="15626" max="15872" width="9.28515625" style="422"/>
    <col min="15873" max="15873" width="16.28515625" style="422" customWidth="1"/>
    <col min="15874" max="15874" width="10.140625" style="422" customWidth="1"/>
    <col min="15875" max="15875" width="8.42578125" style="422" customWidth="1"/>
    <col min="15876" max="15876" width="9.85546875" style="422" customWidth="1"/>
    <col min="15877" max="15877" width="8.42578125" style="422" customWidth="1"/>
    <col min="15878" max="15878" width="9" style="422" customWidth="1"/>
    <col min="15879" max="15879" width="8.85546875" style="422" customWidth="1"/>
    <col min="15880" max="15880" width="11.28515625" style="422" customWidth="1"/>
    <col min="15881" max="15881" width="12" style="422" customWidth="1"/>
    <col min="15882" max="16128" width="9.28515625" style="422"/>
    <col min="16129" max="16129" width="16.28515625" style="422" customWidth="1"/>
    <col min="16130" max="16130" width="10.140625" style="422" customWidth="1"/>
    <col min="16131" max="16131" width="8.42578125" style="422" customWidth="1"/>
    <col min="16132" max="16132" width="9.85546875" style="422" customWidth="1"/>
    <col min="16133" max="16133" width="8.42578125" style="422" customWidth="1"/>
    <col min="16134" max="16134" width="9" style="422" customWidth="1"/>
    <col min="16135" max="16135" width="8.85546875" style="422" customWidth="1"/>
    <col min="16136" max="16136" width="11.28515625" style="422" customWidth="1"/>
    <col min="16137" max="16137" width="12" style="422" customWidth="1"/>
    <col min="16138" max="16384" width="9.28515625" style="422"/>
  </cols>
  <sheetData>
    <row r="2" spans="1:9" x14ac:dyDescent="0.2">
      <c r="A2" s="420"/>
      <c r="B2" s="420"/>
      <c r="C2" s="420"/>
      <c r="D2" s="420"/>
      <c r="E2" s="420"/>
      <c r="F2" s="420"/>
      <c r="G2" s="420"/>
      <c r="H2" s="421" t="s">
        <v>411</v>
      </c>
      <c r="I2" s="419"/>
    </row>
    <row r="3" spans="1:9" x14ac:dyDescent="0.2">
      <c r="A3" s="740" t="s">
        <v>37</v>
      </c>
      <c r="B3" s="740"/>
      <c r="C3" s="740"/>
      <c r="D3" s="740"/>
      <c r="E3" s="740"/>
      <c r="F3" s="740"/>
      <c r="G3" s="740"/>
      <c r="H3" s="740"/>
      <c r="I3" s="423"/>
    </row>
    <row r="4" spans="1:9" x14ac:dyDescent="0.2">
      <c r="A4" s="421"/>
      <c r="B4" s="421"/>
      <c r="C4" s="421"/>
      <c r="D4" s="421"/>
      <c r="E4" s="421"/>
      <c r="F4" s="421"/>
      <c r="G4" s="421"/>
      <c r="H4" s="421"/>
      <c r="I4" s="420"/>
    </row>
    <row r="5" spans="1:9" x14ac:dyDescent="0.2">
      <c r="A5" s="424" t="s">
        <v>38</v>
      </c>
      <c r="B5" s="425"/>
      <c r="C5" s="425"/>
      <c r="D5" s="421"/>
      <c r="E5" s="421"/>
      <c r="F5" s="421"/>
      <c r="G5" s="421"/>
      <c r="H5" s="421"/>
      <c r="I5" s="420"/>
    </row>
    <row r="6" spans="1:9" ht="13.5" thickBot="1" x14ac:dyDescent="0.25">
      <c r="A6" s="421"/>
      <c r="B6" s="421"/>
      <c r="C6" s="421"/>
      <c r="D6" s="421"/>
      <c r="E6" s="421"/>
      <c r="F6" s="421"/>
      <c r="G6" s="426"/>
      <c r="H6" s="426"/>
      <c r="I6" s="419"/>
    </row>
    <row r="7" spans="1:9" ht="14.1" customHeight="1" thickBot="1" x14ac:dyDescent="0.25">
      <c r="A7" s="744" t="s">
        <v>39</v>
      </c>
      <c r="B7" s="743" t="s">
        <v>40</v>
      </c>
      <c r="C7" s="743" t="s">
        <v>41</v>
      </c>
      <c r="D7" s="742">
        <v>610</v>
      </c>
      <c r="E7" s="742">
        <v>620</v>
      </c>
      <c r="F7" s="742">
        <v>630</v>
      </c>
      <c r="G7" s="742">
        <v>640</v>
      </c>
      <c r="H7" s="741" t="s">
        <v>26</v>
      </c>
    </row>
    <row r="8" spans="1:9" x14ac:dyDescent="0.2">
      <c r="A8" s="744"/>
      <c r="B8" s="743"/>
      <c r="C8" s="743"/>
      <c r="D8" s="742"/>
      <c r="E8" s="742"/>
      <c r="F8" s="742"/>
      <c r="G8" s="742"/>
      <c r="H8" s="741"/>
    </row>
    <row r="9" spans="1:9" x14ac:dyDescent="0.2">
      <c r="A9" s="427" t="s">
        <v>42</v>
      </c>
      <c r="B9" s="428">
        <v>72</v>
      </c>
      <c r="C9" s="429">
        <v>7298</v>
      </c>
      <c r="D9" s="430">
        <v>62018</v>
      </c>
      <c r="E9" s="431">
        <v>22926</v>
      </c>
      <c r="F9" s="431">
        <v>16057</v>
      </c>
      <c r="G9" s="431">
        <v>191</v>
      </c>
      <c r="H9" s="432">
        <f t="shared" ref="H9:H25" si="0">SUM(D9:G9)</f>
        <v>101192</v>
      </c>
    </row>
    <row r="10" spans="1:9" x14ac:dyDescent="0.2">
      <c r="A10" s="427" t="s">
        <v>43</v>
      </c>
      <c r="B10" s="428">
        <v>88</v>
      </c>
      <c r="C10" s="429">
        <v>8646</v>
      </c>
      <c r="D10" s="430">
        <v>77105</v>
      </c>
      <c r="E10" s="431">
        <v>28150</v>
      </c>
      <c r="F10" s="431">
        <v>33872</v>
      </c>
      <c r="G10" s="431">
        <v>67</v>
      </c>
      <c r="H10" s="432">
        <f t="shared" si="0"/>
        <v>139194</v>
      </c>
    </row>
    <row r="11" spans="1:9" x14ac:dyDescent="0.2">
      <c r="A11" s="427" t="s">
        <v>44</v>
      </c>
      <c r="B11" s="428">
        <v>72</v>
      </c>
      <c r="C11" s="429">
        <v>7918</v>
      </c>
      <c r="D11" s="430">
        <v>60865</v>
      </c>
      <c r="E11" s="431">
        <v>22802</v>
      </c>
      <c r="F11" s="431">
        <v>24262</v>
      </c>
      <c r="G11" s="431">
        <v>983</v>
      </c>
      <c r="H11" s="432">
        <f t="shared" si="0"/>
        <v>108912</v>
      </c>
    </row>
    <row r="12" spans="1:9" x14ac:dyDescent="0.2">
      <c r="A12" s="427" t="s">
        <v>45</v>
      </c>
      <c r="B12" s="428">
        <v>96</v>
      </c>
      <c r="C12" s="429">
        <v>9468</v>
      </c>
      <c r="D12" s="430">
        <v>77687</v>
      </c>
      <c r="E12" s="431">
        <v>28685</v>
      </c>
      <c r="F12" s="431">
        <v>44073</v>
      </c>
      <c r="G12" s="431">
        <v>1167</v>
      </c>
      <c r="H12" s="432">
        <f t="shared" si="0"/>
        <v>151612</v>
      </c>
    </row>
    <row r="13" spans="1:9" x14ac:dyDescent="0.2">
      <c r="A13" s="427" t="s">
        <v>46</v>
      </c>
      <c r="B13" s="428">
        <v>87</v>
      </c>
      <c r="C13" s="429">
        <v>7560</v>
      </c>
      <c r="D13" s="430">
        <v>76531</v>
      </c>
      <c r="E13" s="431">
        <v>27961</v>
      </c>
      <c r="F13" s="431">
        <v>36067</v>
      </c>
      <c r="G13" s="431">
        <v>553</v>
      </c>
      <c r="H13" s="432">
        <f t="shared" si="0"/>
        <v>141112</v>
      </c>
    </row>
    <row r="14" spans="1:9" x14ac:dyDescent="0.2">
      <c r="A14" s="427" t="s">
        <v>47</v>
      </c>
      <c r="B14" s="428">
        <v>140</v>
      </c>
      <c r="C14" s="433">
        <v>13383</v>
      </c>
      <c r="D14" s="430">
        <v>112023</v>
      </c>
      <c r="E14" s="431">
        <v>40588</v>
      </c>
      <c r="F14" s="431">
        <v>59472</v>
      </c>
      <c r="G14" s="431">
        <v>368</v>
      </c>
      <c r="H14" s="432">
        <f t="shared" si="0"/>
        <v>212451</v>
      </c>
    </row>
    <row r="15" spans="1:9" x14ac:dyDescent="0.2">
      <c r="A15" s="427" t="s">
        <v>48</v>
      </c>
      <c r="B15" s="434">
        <v>213</v>
      </c>
      <c r="C15" s="435">
        <v>19969</v>
      </c>
      <c r="D15" s="430">
        <v>196982</v>
      </c>
      <c r="E15" s="431">
        <v>71790</v>
      </c>
      <c r="F15" s="431">
        <v>71360</v>
      </c>
      <c r="G15" s="431">
        <v>618</v>
      </c>
      <c r="H15" s="432">
        <f t="shared" si="0"/>
        <v>340750</v>
      </c>
    </row>
    <row r="16" spans="1:9" x14ac:dyDescent="0.2">
      <c r="A16" s="427" t="s">
        <v>49</v>
      </c>
      <c r="B16" s="428">
        <v>138</v>
      </c>
      <c r="C16" s="436">
        <v>13395</v>
      </c>
      <c r="D16" s="430">
        <v>113371</v>
      </c>
      <c r="E16" s="431">
        <v>40518</v>
      </c>
      <c r="F16" s="431">
        <v>67627</v>
      </c>
      <c r="G16" s="431">
        <v>652</v>
      </c>
      <c r="H16" s="432">
        <f t="shared" si="0"/>
        <v>222168</v>
      </c>
    </row>
    <row r="17" spans="1:10" x14ac:dyDescent="0.2">
      <c r="A17" s="427" t="s">
        <v>50</v>
      </c>
      <c r="B17" s="428">
        <v>70</v>
      </c>
      <c r="C17" s="429">
        <v>5793</v>
      </c>
      <c r="D17" s="430">
        <v>67396</v>
      </c>
      <c r="E17" s="431">
        <v>23772</v>
      </c>
      <c r="F17" s="431">
        <v>18511</v>
      </c>
      <c r="G17" s="431">
        <v>887</v>
      </c>
      <c r="H17" s="432">
        <f t="shared" si="0"/>
        <v>110566</v>
      </c>
    </row>
    <row r="18" spans="1:10" x14ac:dyDescent="0.2">
      <c r="A18" s="427" t="s">
        <v>51</v>
      </c>
      <c r="B18" s="428">
        <v>113</v>
      </c>
      <c r="C18" s="429">
        <v>10393</v>
      </c>
      <c r="D18" s="430">
        <v>99975</v>
      </c>
      <c r="E18" s="431">
        <v>36369</v>
      </c>
      <c r="F18" s="431">
        <v>53936</v>
      </c>
      <c r="G18" s="431">
        <v>291</v>
      </c>
      <c r="H18" s="432">
        <f t="shared" si="0"/>
        <v>190571</v>
      </c>
    </row>
    <row r="19" spans="1:10" x14ac:dyDescent="0.2">
      <c r="A19" s="427" t="s">
        <v>52</v>
      </c>
      <c r="B19" s="428">
        <v>127</v>
      </c>
      <c r="C19" s="429">
        <v>11224</v>
      </c>
      <c r="D19" s="430">
        <v>103007</v>
      </c>
      <c r="E19" s="431">
        <v>37859</v>
      </c>
      <c r="F19" s="431">
        <v>38799</v>
      </c>
      <c r="G19" s="431">
        <v>629</v>
      </c>
      <c r="H19" s="432">
        <f t="shared" si="0"/>
        <v>180294</v>
      </c>
    </row>
    <row r="20" spans="1:10" x14ac:dyDescent="0.2">
      <c r="A20" s="427" t="s">
        <v>53</v>
      </c>
      <c r="B20" s="428">
        <v>90</v>
      </c>
      <c r="C20" s="429">
        <v>7761</v>
      </c>
      <c r="D20" s="430">
        <v>75821</v>
      </c>
      <c r="E20" s="431">
        <v>27809</v>
      </c>
      <c r="F20" s="431">
        <v>29080</v>
      </c>
      <c r="G20" s="431">
        <v>370</v>
      </c>
      <c r="H20" s="432">
        <f t="shared" si="0"/>
        <v>133080</v>
      </c>
    </row>
    <row r="21" spans="1:10" x14ac:dyDescent="0.2">
      <c r="A21" s="427" t="s">
        <v>54</v>
      </c>
      <c r="B21" s="428">
        <v>43</v>
      </c>
      <c r="C21" s="429">
        <v>3496</v>
      </c>
      <c r="D21" s="430">
        <v>37140</v>
      </c>
      <c r="E21" s="431">
        <v>12895</v>
      </c>
      <c r="F21" s="431">
        <v>10461</v>
      </c>
      <c r="G21" s="431"/>
      <c r="H21" s="432">
        <f t="shared" si="0"/>
        <v>60496</v>
      </c>
    </row>
    <row r="22" spans="1:10" x14ac:dyDescent="0.2">
      <c r="A22" s="427" t="s">
        <v>36</v>
      </c>
      <c r="B22" s="428">
        <v>44</v>
      </c>
      <c r="C22" s="429">
        <v>3851</v>
      </c>
      <c r="D22" s="430">
        <v>49221</v>
      </c>
      <c r="E22" s="431">
        <v>18219</v>
      </c>
      <c r="F22" s="431">
        <v>17051</v>
      </c>
      <c r="G22" s="431">
        <v>140</v>
      </c>
      <c r="H22" s="432">
        <f t="shared" si="0"/>
        <v>84631</v>
      </c>
    </row>
    <row r="23" spans="1:10" x14ac:dyDescent="0.2">
      <c r="A23" s="427" t="s">
        <v>55</v>
      </c>
      <c r="B23" s="428">
        <v>38</v>
      </c>
      <c r="C23" s="429">
        <v>3547</v>
      </c>
      <c r="D23" s="430">
        <v>41242</v>
      </c>
      <c r="E23" s="431">
        <v>14790</v>
      </c>
      <c r="F23" s="431">
        <v>14205</v>
      </c>
      <c r="G23" s="431">
        <v>68</v>
      </c>
      <c r="H23" s="432">
        <f t="shared" si="0"/>
        <v>70305</v>
      </c>
    </row>
    <row r="24" spans="1:10" x14ac:dyDescent="0.2">
      <c r="A24" s="437" t="s">
        <v>56</v>
      </c>
      <c r="B24" s="438">
        <v>142</v>
      </c>
      <c r="C24" s="433">
        <v>10570</v>
      </c>
      <c r="D24" s="439">
        <v>101691</v>
      </c>
      <c r="E24" s="440">
        <v>37573</v>
      </c>
      <c r="F24" s="440">
        <v>53804</v>
      </c>
      <c r="G24" s="440">
        <v>1607</v>
      </c>
      <c r="H24" s="441">
        <v>1607</v>
      </c>
    </row>
    <row r="25" spans="1:10" ht="13.5" thickBot="1" x14ac:dyDescent="0.25">
      <c r="A25" s="437" t="s">
        <v>182</v>
      </c>
      <c r="B25" s="438"/>
      <c r="C25" s="433">
        <v>3946</v>
      </c>
      <c r="D25" s="439"/>
      <c r="E25" s="440"/>
      <c r="F25" s="440"/>
      <c r="G25" s="440">
        <v>3946</v>
      </c>
      <c r="H25" s="441">
        <f t="shared" si="0"/>
        <v>3946</v>
      </c>
    </row>
    <row r="26" spans="1:10" ht="13.5" thickBot="1" x14ac:dyDescent="0.25">
      <c r="A26" s="442" t="s">
        <v>57</v>
      </c>
      <c r="B26" s="443">
        <f>SUM(B9:B25)</f>
        <v>1573</v>
      </c>
      <c r="C26" s="444">
        <f>SUM(C9:C25)</f>
        <v>148218</v>
      </c>
      <c r="D26" s="445">
        <f>SUM(D9:D24)</f>
        <v>1352075</v>
      </c>
      <c r="E26" s="445">
        <f>SUM(E9:E24)</f>
        <v>492706</v>
      </c>
      <c r="F26" s="445">
        <f>SUM(F9:F24)</f>
        <v>588637</v>
      </c>
      <c r="G26" s="445">
        <f>SUM(G9:G25)</f>
        <v>12537</v>
      </c>
      <c r="H26" s="446">
        <f>SUM(H9:H25)</f>
        <v>2252887</v>
      </c>
      <c r="I26" s="447"/>
      <c r="J26" s="447"/>
    </row>
    <row r="27" spans="1:10" ht="11.25" customHeight="1" x14ac:dyDescent="0.2">
      <c r="I27" s="447"/>
    </row>
    <row r="28" spans="1:10" ht="11.25" customHeight="1" x14ac:dyDescent="0.2">
      <c r="I28" s="447"/>
    </row>
    <row r="29" spans="1:10" ht="11.25" customHeight="1" x14ac:dyDescent="0.2">
      <c r="I29" s="447"/>
    </row>
    <row r="30" spans="1:10" ht="11.25" customHeight="1" x14ac:dyDescent="0.2">
      <c r="I30" s="447"/>
    </row>
    <row r="31" spans="1:10" ht="11.25" customHeight="1" x14ac:dyDescent="0.2">
      <c r="I31" s="447"/>
    </row>
    <row r="32" spans="1:10" ht="11.25" customHeight="1" x14ac:dyDescent="0.2">
      <c r="I32" s="447"/>
    </row>
    <row r="33" spans="1:9" ht="11.25" customHeight="1" x14ac:dyDescent="0.2">
      <c r="I33" s="447"/>
    </row>
    <row r="34" spans="1:9" x14ac:dyDescent="0.2">
      <c r="A34" s="424" t="s">
        <v>58</v>
      </c>
      <c r="B34" s="425"/>
      <c r="C34" s="425"/>
      <c r="D34" s="421"/>
      <c r="E34" s="421"/>
      <c r="F34" s="421"/>
      <c r="G34" s="421"/>
      <c r="H34" s="421"/>
      <c r="I34" s="420"/>
    </row>
    <row r="35" spans="1:9" ht="13.5" thickBot="1" x14ac:dyDescent="0.25">
      <c r="A35" s="421"/>
      <c r="B35" s="421"/>
      <c r="C35" s="421"/>
      <c r="D35" s="421"/>
      <c r="E35" s="421"/>
      <c r="F35" s="421"/>
      <c r="G35" s="448"/>
      <c r="H35" s="426"/>
    </row>
    <row r="36" spans="1:9" ht="15" customHeight="1" thickBot="1" x14ac:dyDescent="0.25">
      <c r="A36" s="744" t="s">
        <v>39</v>
      </c>
      <c r="B36" s="742">
        <v>610</v>
      </c>
      <c r="C36" s="742">
        <v>620</v>
      </c>
      <c r="D36" s="742">
        <v>630</v>
      </c>
      <c r="E36" s="742">
        <v>640</v>
      </c>
      <c r="F36" s="742" t="s">
        <v>332</v>
      </c>
      <c r="G36" s="741" t="s">
        <v>26</v>
      </c>
    </row>
    <row r="37" spans="1:9" x14ac:dyDescent="0.2">
      <c r="A37" s="744"/>
      <c r="B37" s="742"/>
      <c r="C37" s="742"/>
      <c r="D37" s="742"/>
      <c r="E37" s="742"/>
      <c r="F37" s="742"/>
      <c r="G37" s="741"/>
    </row>
    <row r="38" spans="1:9" x14ac:dyDescent="0.2">
      <c r="A38" s="427" t="s">
        <v>42</v>
      </c>
      <c r="B38" s="430">
        <v>10849</v>
      </c>
      <c r="C38" s="431">
        <v>3891</v>
      </c>
      <c r="D38" s="431">
        <v>1615</v>
      </c>
      <c r="E38" s="431"/>
      <c r="F38" s="449"/>
      <c r="G38" s="432">
        <f>B38+C38+D38+E38</f>
        <v>16355</v>
      </c>
    </row>
    <row r="39" spans="1:9" x14ac:dyDescent="0.2">
      <c r="A39" s="427" t="s">
        <v>43</v>
      </c>
      <c r="B39" s="430">
        <v>13440</v>
      </c>
      <c r="C39" s="431">
        <v>4671</v>
      </c>
      <c r="D39" s="431">
        <v>1736</v>
      </c>
      <c r="E39" s="431">
        <v>69</v>
      </c>
      <c r="F39" s="449"/>
      <c r="G39" s="432">
        <f t="shared" ref="G39:G51" si="1">B39+C39+D39+E39</f>
        <v>19916</v>
      </c>
    </row>
    <row r="40" spans="1:9" x14ac:dyDescent="0.2">
      <c r="A40" s="427" t="s">
        <v>44</v>
      </c>
      <c r="B40" s="430">
        <v>7724</v>
      </c>
      <c r="C40" s="431">
        <v>2836</v>
      </c>
      <c r="D40" s="431">
        <v>1528</v>
      </c>
      <c r="E40" s="431"/>
      <c r="F40" s="449"/>
      <c r="G40" s="432">
        <f t="shared" si="1"/>
        <v>12088</v>
      </c>
    </row>
    <row r="41" spans="1:9" x14ac:dyDescent="0.2">
      <c r="A41" s="427" t="s">
        <v>45</v>
      </c>
      <c r="B41" s="430">
        <v>18292</v>
      </c>
      <c r="C41" s="431">
        <v>6523</v>
      </c>
      <c r="D41" s="431">
        <v>1711</v>
      </c>
      <c r="E41" s="431"/>
      <c r="F41" s="449"/>
      <c r="G41" s="432">
        <f t="shared" si="1"/>
        <v>26526</v>
      </c>
      <c r="H41" s="422" t="s">
        <v>440</v>
      </c>
    </row>
    <row r="42" spans="1:9" x14ac:dyDescent="0.2">
      <c r="A42" s="427" t="s">
        <v>46</v>
      </c>
      <c r="B42" s="430">
        <v>13615</v>
      </c>
      <c r="C42" s="431">
        <v>5203</v>
      </c>
      <c r="D42" s="431">
        <v>1974</v>
      </c>
      <c r="E42" s="431">
        <v>927</v>
      </c>
      <c r="F42" s="449"/>
      <c r="G42" s="432">
        <f t="shared" si="1"/>
        <v>21719</v>
      </c>
    </row>
    <row r="43" spans="1:9" x14ac:dyDescent="0.2">
      <c r="A43" s="427" t="s">
        <v>47</v>
      </c>
      <c r="B43" s="430">
        <v>22399</v>
      </c>
      <c r="C43" s="431">
        <v>8207</v>
      </c>
      <c r="D43" s="431">
        <v>2701</v>
      </c>
      <c r="E43" s="431">
        <v>109</v>
      </c>
      <c r="F43" s="449"/>
      <c r="G43" s="432">
        <f t="shared" si="1"/>
        <v>33416</v>
      </c>
      <c r="H43" s="422" t="s">
        <v>440</v>
      </c>
    </row>
    <row r="44" spans="1:9" x14ac:dyDescent="0.2">
      <c r="A44" s="427" t="s">
        <v>48</v>
      </c>
      <c r="B44" s="430">
        <v>23739</v>
      </c>
      <c r="C44" s="431">
        <v>9284</v>
      </c>
      <c r="D44" s="431">
        <v>4942</v>
      </c>
      <c r="E44" s="431">
        <v>133</v>
      </c>
      <c r="F44" s="449">
        <v>104</v>
      </c>
      <c r="G44" s="432">
        <f t="shared" si="1"/>
        <v>38098</v>
      </c>
    </row>
    <row r="45" spans="1:9" x14ac:dyDescent="0.2">
      <c r="A45" s="427" t="s">
        <v>49</v>
      </c>
      <c r="B45" s="430">
        <v>22273</v>
      </c>
      <c r="C45" s="431">
        <v>7676</v>
      </c>
      <c r="D45" s="431">
        <v>1798</v>
      </c>
      <c r="E45" s="431">
        <v>35</v>
      </c>
      <c r="F45" s="449"/>
      <c r="G45" s="432">
        <f t="shared" si="1"/>
        <v>31782</v>
      </c>
    </row>
    <row r="46" spans="1:9" x14ac:dyDescent="0.2">
      <c r="A46" s="427" t="s">
        <v>50</v>
      </c>
      <c r="B46" s="430">
        <v>10869</v>
      </c>
      <c r="C46" s="431">
        <v>3906</v>
      </c>
      <c r="D46" s="431">
        <v>1638</v>
      </c>
      <c r="E46" s="431"/>
      <c r="F46" s="449">
        <v>25</v>
      </c>
      <c r="G46" s="432">
        <f>B46+C46+D46+E46</f>
        <v>16413</v>
      </c>
      <c r="H46" s="422" t="s">
        <v>441</v>
      </c>
    </row>
    <row r="47" spans="1:9" x14ac:dyDescent="0.2">
      <c r="A47" s="427" t="s">
        <v>51</v>
      </c>
      <c r="B47" s="430">
        <v>11402</v>
      </c>
      <c r="C47" s="431">
        <v>4088</v>
      </c>
      <c r="D47" s="431">
        <v>2058</v>
      </c>
      <c r="E47" s="431"/>
      <c r="F47" s="449">
        <v>433</v>
      </c>
      <c r="G47" s="432">
        <f>B47+C47+D47+E47</f>
        <v>17548</v>
      </c>
      <c r="H47" s="447"/>
    </row>
    <row r="48" spans="1:9" x14ac:dyDescent="0.2">
      <c r="A48" s="427" t="s">
        <v>52</v>
      </c>
      <c r="B48" s="430">
        <v>17227</v>
      </c>
      <c r="C48" s="431">
        <v>6118</v>
      </c>
      <c r="D48" s="431">
        <v>2950</v>
      </c>
      <c r="E48" s="431"/>
      <c r="F48" s="449"/>
      <c r="G48" s="432">
        <f t="shared" si="1"/>
        <v>26295</v>
      </c>
    </row>
    <row r="49" spans="1:9" x14ac:dyDescent="0.2">
      <c r="A49" s="427" t="s">
        <v>53</v>
      </c>
      <c r="B49" s="430">
        <v>15205</v>
      </c>
      <c r="C49" s="431">
        <v>5520</v>
      </c>
      <c r="D49" s="431">
        <v>2350</v>
      </c>
      <c r="E49" s="431"/>
      <c r="F49" s="449"/>
      <c r="G49" s="432">
        <f t="shared" si="1"/>
        <v>23075</v>
      </c>
    </row>
    <row r="50" spans="1:9" x14ac:dyDescent="0.2">
      <c r="A50" s="427" t="s">
        <v>54</v>
      </c>
      <c r="B50" s="430">
        <v>9984</v>
      </c>
      <c r="C50" s="431">
        <v>3421</v>
      </c>
      <c r="D50" s="431">
        <v>1388</v>
      </c>
      <c r="E50" s="431"/>
      <c r="F50" s="449"/>
      <c r="G50" s="432">
        <f t="shared" si="1"/>
        <v>14793</v>
      </c>
    </row>
    <row r="51" spans="1:9" ht="13.5" thickBot="1" x14ac:dyDescent="0.25">
      <c r="A51" s="437" t="s">
        <v>36</v>
      </c>
      <c r="B51" s="439">
        <v>11693</v>
      </c>
      <c r="C51" s="440">
        <v>4297</v>
      </c>
      <c r="D51" s="440">
        <v>1644</v>
      </c>
      <c r="E51" s="440"/>
      <c r="F51" s="450"/>
      <c r="G51" s="441">
        <f t="shared" si="1"/>
        <v>17634</v>
      </c>
    </row>
    <row r="52" spans="1:9" ht="13.5" thickBot="1" x14ac:dyDescent="0.25">
      <c r="A52" s="442" t="s">
        <v>57</v>
      </c>
      <c r="B52" s="444">
        <f t="shared" ref="B52:G52" si="2">SUM(B38:B51)</f>
        <v>208711</v>
      </c>
      <c r="C52" s="445">
        <f t="shared" si="2"/>
        <v>75641</v>
      </c>
      <c r="D52" s="445">
        <f t="shared" si="2"/>
        <v>30033</v>
      </c>
      <c r="E52" s="445">
        <f t="shared" si="2"/>
        <v>1273</v>
      </c>
      <c r="F52" s="445">
        <f t="shared" si="2"/>
        <v>562</v>
      </c>
      <c r="G52" s="446">
        <f t="shared" si="2"/>
        <v>315658</v>
      </c>
      <c r="I52" s="447"/>
    </row>
    <row r="53" spans="1:9" x14ac:dyDescent="0.2">
      <c r="A53" s="451"/>
      <c r="B53" s="452"/>
      <c r="C53" s="452"/>
      <c r="D53" s="452"/>
      <c r="E53" s="452"/>
      <c r="F53" s="452"/>
      <c r="G53" s="452"/>
    </row>
    <row r="54" spans="1:9" x14ac:dyDescent="0.2">
      <c r="A54" s="451"/>
      <c r="B54" s="452"/>
      <c r="C54" s="452"/>
      <c r="D54" s="452"/>
      <c r="E54" s="452"/>
      <c r="F54" s="452"/>
      <c r="G54" s="452"/>
    </row>
    <row r="55" spans="1:9" x14ac:dyDescent="0.2">
      <c r="A55" s="451"/>
      <c r="B55" s="452"/>
      <c r="C55" s="452"/>
      <c r="D55" s="452"/>
      <c r="E55" s="452"/>
      <c r="F55" s="452"/>
      <c r="G55" s="452"/>
    </row>
    <row r="56" spans="1:9" x14ac:dyDescent="0.2">
      <c r="A56" s="451"/>
      <c r="B56" s="452"/>
      <c r="C56" s="452"/>
      <c r="D56" s="452"/>
      <c r="E56" s="452"/>
      <c r="F56" s="452"/>
      <c r="G56" s="452"/>
    </row>
    <row r="57" spans="1:9" x14ac:dyDescent="0.2">
      <c r="A57" s="451"/>
      <c r="B57" s="452"/>
      <c r="C57" s="452"/>
      <c r="D57" s="452"/>
      <c r="E57" s="452"/>
      <c r="F57" s="452"/>
      <c r="G57" s="452"/>
    </row>
    <row r="58" spans="1:9" x14ac:dyDescent="0.2">
      <c r="A58" s="451"/>
      <c r="B58" s="452"/>
      <c r="C58" s="452"/>
      <c r="D58" s="452"/>
      <c r="E58" s="452"/>
      <c r="F58" s="452"/>
      <c r="G58" s="452"/>
    </row>
    <row r="59" spans="1:9" x14ac:dyDescent="0.2">
      <c r="A59" s="451"/>
      <c r="B59" s="452"/>
      <c r="C59" s="452"/>
      <c r="D59" s="452"/>
      <c r="E59" s="452"/>
      <c r="F59" s="452"/>
      <c r="G59" s="452"/>
    </row>
    <row r="60" spans="1:9" x14ac:dyDescent="0.2">
      <c r="A60" s="451"/>
      <c r="B60" s="452"/>
      <c r="C60" s="452"/>
      <c r="D60" s="452"/>
      <c r="E60" s="452"/>
      <c r="F60" s="452"/>
      <c r="G60" s="452"/>
    </row>
    <row r="61" spans="1:9" x14ac:dyDescent="0.2">
      <c r="A61" s="451"/>
      <c r="B61" s="452"/>
      <c r="C61" s="452"/>
      <c r="D61" s="452"/>
      <c r="E61" s="452"/>
      <c r="F61" s="452"/>
      <c r="G61" s="452"/>
    </row>
    <row r="62" spans="1:9" x14ac:dyDescent="0.2">
      <c r="A62" s="453"/>
      <c r="B62" s="453"/>
      <c r="C62" s="453"/>
      <c r="D62" s="453"/>
      <c r="E62" s="453"/>
      <c r="F62" s="453"/>
      <c r="G62" s="453"/>
      <c r="I62" s="447"/>
    </row>
    <row r="63" spans="1:9" x14ac:dyDescent="0.2">
      <c r="A63" s="745" t="s">
        <v>590</v>
      </c>
      <c r="B63" s="745"/>
      <c r="C63" s="745"/>
      <c r="D63" s="745"/>
      <c r="E63" s="745"/>
      <c r="F63" s="745"/>
      <c r="G63" s="745"/>
      <c r="I63" s="447"/>
    </row>
    <row r="64" spans="1:9" ht="13.5" thickBot="1" x14ac:dyDescent="0.25">
      <c r="G64" s="448"/>
    </row>
    <row r="65" spans="1:6" ht="14.1" customHeight="1" thickBot="1" x14ac:dyDescent="0.25">
      <c r="A65" s="744" t="s">
        <v>39</v>
      </c>
      <c r="B65" s="742">
        <v>610</v>
      </c>
      <c r="C65" s="742">
        <v>620</v>
      </c>
      <c r="D65" s="742">
        <v>630</v>
      </c>
      <c r="E65" s="742">
        <v>640</v>
      </c>
      <c r="F65" s="741" t="s">
        <v>26</v>
      </c>
    </row>
    <row r="66" spans="1:6" x14ac:dyDescent="0.2">
      <c r="A66" s="744"/>
      <c r="B66" s="742"/>
      <c r="C66" s="742"/>
      <c r="D66" s="742"/>
      <c r="E66" s="742"/>
      <c r="F66" s="741"/>
    </row>
    <row r="67" spans="1:6" x14ac:dyDescent="0.2">
      <c r="A67" s="427" t="s">
        <v>42</v>
      </c>
      <c r="B67" s="430">
        <f t="shared" ref="B67:B80" si="3">D9+B38</f>
        <v>72867</v>
      </c>
      <c r="C67" s="431">
        <f t="shared" ref="C67:C80" si="4">E9+C38</f>
        <v>26817</v>
      </c>
      <c r="D67" s="431">
        <f t="shared" ref="D67:D80" si="5">F9+D38</f>
        <v>17672</v>
      </c>
      <c r="E67" s="431">
        <f t="shared" ref="E67:E80" si="6">G9+E38</f>
        <v>191</v>
      </c>
      <c r="F67" s="432">
        <f t="shared" ref="F67:F82" si="7">SUM(B67:E67)</f>
        <v>117547</v>
      </c>
    </row>
    <row r="68" spans="1:6" x14ac:dyDescent="0.2">
      <c r="A68" s="427" t="s">
        <v>43</v>
      </c>
      <c r="B68" s="430">
        <f t="shared" si="3"/>
        <v>90545</v>
      </c>
      <c r="C68" s="431">
        <f t="shared" si="4"/>
        <v>32821</v>
      </c>
      <c r="D68" s="431">
        <f t="shared" si="5"/>
        <v>35608</v>
      </c>
      <c r="E68" s="431">
        <f t="shared" si="6"/>
        <v>136</v>
      </c>
      <c r="F68" s="432">
        <f t="shared" si="7"/>
        <v>159110</v>
      </c>
    </row>
    <row r="69" spans="1:6" x14ac:dyDescent="0.2">
      <c r="A69" s="427" t="s">
        <v>44</v>
      </c>
      <c r="B69" s="430">
        <f t="shared" si="3"/>
        <v>68589</v>
      </c>
      <c r="C69" s="431">
        <f t="shared" si="4"/>
        <v>25638</v>
      </c>
      <c r="D69" s="431">
        <f t="shared" si="5"/>
        <v>25790</v>
      </c>
      <c r="E69" s="431">
        <f t="shared" si="6"/>
        <v>983</v>
      </c>
      <c r="F69" s="432">
        <f t="shared" si="7"/>
        <v>121000</v>
      </c>
    </row>
    <row r="70" spans="1:6" x14ac:dyDescent="0.2">
      <c r="A70" s="427" t="s">
        <v>45</v>
      </c>
      <c r="B70" s="430">
        <f t="shared" si="3"/>
        <v>95979</v>
      </c>
      <c r="C70" s="431">
        <f t="shared" si="4"/>
        <v>35208</v>
      </c>
      <c r="D70" s="431">
        <f t="shared" si="5"/>
        <v>45784</v>
      </c>
      <c r="E70" s="431">
        <f t="shared" si="6"/>
        <v>1167</v>
      </c>
      <c r="F70" s="432">
        <f t="shared" si="7"/>
        <v>178138</v>
      </c>
    </row>
    <row r="71" spans="1:6" x14ac:dyDescent="0.2">
      <c r="A71" s="427" t="s">
        <v>46</v>
      </c>
      <c r="B71" s="430">
        <f t="shared" si="3"/>
        <v>90146</v>
      </c>
      <c r="C71" s="431">
        <f t="shared" si="4"/>
        <v>33164</v>
      </c>
      <c r="D71" s="431">
        <f t="shared" si="5"/>
        <v>38041</v>
      </c>
      <c r="E71" s="431">
        <f t="shared" si="6"/>
        <v>1480</v>
      </c>
      <c r="F71" s="432">
        <f t="shared" si="7"/>
        <v>162831</v>
      </c>
    </row>
    <row r="72" spans="1:6" x14ac:dyDescent="0.2">
      <c r="A72" s="427" t="s">
        <v>47</v>
      </c>
      <c r="B72" s="430">
        <f t="shared" si="3"/>
        <v>134422</v>
      </c>
      <c r="C72" s="431">
        <f t="shared" si="4"/>
        <v>48795</v>
      </c>
      <c r="D72" s="431">
        <f t="shared" si="5"/>
        <v>62173</v>
      </c>
      <c r="E72" s="431">
        <f t="shared" si="6"/>
        <v>477</v>
      </c>
      <c r="F72" s="432">
        <f t="shared" si="7"/>
        <v>245867</v>
      </c>
    </row>
    <row r="73" spans="1:6" x14ac:dyDescent="0.2">
      <c r="A73" s="427" t="s">
        <v>48</v>
      </c>
      <c r="B73" s="430">
        <f t="shared" si="3"/>
        <v>220721</v>
      </c>
      <c r="C73" s="431">
        <f t="shared" si="4"/>
        <v>81074</v>
      </c>
      <c r="D73" s="431">
        <f t="shared" si="5"/>
        <v>76302</v>
      </c>
      <c r="E73" s="431">
        <f t="shared" si="6"/>
        <v>751</v>
      </c>
      <c r="F73" s="432">
        <f t="shared" si="7"/>
        <v>378848</v>
      </c>
    </row>
    <row r="74" spans="1:6" x14ac:dyDescent="0.2">
      <c r="A74" s="427" t="s">
        <v>49</v>
      </c>
      <c r="B74" s="430">
        <f t="shared" si="3"/>
        <v>135644</v>
      </c>
      <c r="C74" s="431">
        <f t="shared" si="4"/>
        <v>48194</v>
      </c>
      <c r="D74" s="431">
        <f t="shared" si="5"/>
        <v>69425</v>
      </c>
      <c r="E74" s="431">
        <f t="shared" si="6"/>
        <v>687</v>
      </c>
      <c r="F74" s="432">
        <f t="shared" si="7"/>
        <v>253950</v>
      </c>
    </row>
    <row r="75" spans="1:6" x14ac:dyDescent="0.2">
      <c r="A75" s="427" t="s">
        <v>50</v>
      </c>
      <c r="B75" s="430">
        <f t="shared" si="3"/>
        <v>78265</v>
      </c>
      <c r="C75" s="431">
        <f t="shared" si="4"/>
        <v>27678</v>
      </c>
      <c r="D75" s="431">
        <f t="shared" si="5"/>
        <v>20149</v>
      </c>
      <c r="E75" s="431">
        <f t="shared" si="6"/>
        <v>887</v>
      </c>
      <c r="F75" s="432">
        <f t="shared" si="7"/>
        <v>126979</v>
      </c>
    </row>
    <row r="76" spans="1:6" x14ac:dyDescent="0.2">
      <c r="A76" s="427" t="s">
        <v>51</v>
      </c>
      <c r="B76" s="430">
        <f t="shared" si="3"/>
        <v>111377</v>
      </c>
      <c r="C76" s="431">
        <f t="shared" si="4"/>
        <v>40457</v>
      </c>
      <c r="D76" s="431">
        <f t="shared" si="5"/>
        <v>55994</v>
      </c>
      <c r="E76" s="431">
        <f t="shared" si="6"/>
        <v>291</v>
      </c>
      <c r="F76" s="432">
        <f t="shared" si="7"/>
        <v>208119</v>
      </c>
    </row>
    <row r="77" spans="1:6" x14ac:dyDescent="0.2">
      <c r="A77" s="427" t="s">
        <v>52</v>
      </c>
      <c r="B77" s="430">
        <f t="shared" si="3"/>
        <v>120234</v>
      </c>
      <c r="C77" s="431">
        <f t="shared" si="4"/>
        <v>43977</v>
      </c>
      <c r="D77" s="431">
        <f t="shared" si="5"/>
        <v>41749</v>
      </c>
      <c r="E77" s="431">
        <f t="shared" si="6"/>
        <v>629</v>
      </c>
      <c r="F77" s="432">
        <f t="shared" si="7"/>
        <v>206589</v>
      </c>
    </row>
    <row r="78" spans="1:6" x14ac:dyDescent="0.2">
      <c r="A78" s="427" t="s">
        <v>53</v>
      </c>
      <c r="B78" s="430">
        <f t="shared" si="3"/>
        <v>91026</v>
      </c>
      <c r="C78" s="431">
        <f t="shared" si="4"/>
        <v>33329</v>
      </c>
      <c r="D78" s="431">
        <f t="shared" si="5"/>
        <v>31430</v>
      </c>
      <c r="E78" s="431">
        <f t="shared" si="6"/>
        <v>370</v>
      </c>
      <c r="F78" s="432">
        <f t="shared" si="7"/>
        <v>156155</v>
      </c>
    </row>
    <row r="79" spans="1:6" x14ac:dyDescent="0.2">
      <c r="A79" s="427" t="s">
        <v>54</v>
      </c>
      <c r="B79" s="430">
        <f t="shared" si="3"/>
        <v>47124</v>
      </c>
      <c r="C79" s="431">
        <f t="shared" si="4"/>
        <v>16316</v>
      </c>
      <c r="D79" s="431">
        <f t="shared" si="5"/>
        <v>11849</v>
      </c>
      <c r="E79" s="431">
        <f t="shared" si="6"/>
        <v>0</v>
      </c>
      <c r="F79" s="432">
        <f t="shared" si="7"/>
        <v>75289</v>
      </c>
    </row>
    <row r="80" spans="1:6" x14ac:dyDescent="0.2">
      <c r="A80" s="427" t="s">
        <v>36</v>
      </c>
      <c r="B80" s="430">
        <f t="shared" si="3"/>
        <v>60914</v>
      </c>
      <c r="C80" s="431">
        <f t="shared" si="4"/>
        <v>22516</v>
      </c>
      <c r="D80" s="431">
        <f t="shared" si="5"/>
        <v>18695</v>
      </c>
      <c r="E80" s="431">
        <f t="shared" si="6"/>
        <v>140</v>
      </c>
      <c r="F80" s="432">
        <f t="shared" si="7"/>
        <v>102265</v>
      </c>
    </row>
    <row r="81" spans="1:8" x14ac:dyDescent="0.2">
      <c r="A81" s="427" t="s">
        <v>55</v>
      </c>
      <c r="B81" s="430">
        <f t="shared" ref="B81:D82" si="8">D23</f>
        <v>41242</v>
      </c>
      <c r="C81" s="431">
        <f t="shared" si="8"/>
        <v>14790</v>
      </c>
      <c r="D81" s="431">
        <f t="shared" si="8"/>
        <v>14205</v>
      </c>
      <c r="E81" s="431">
        <f>G23</f>
        <v>68</v>
      </c>
      <c r="F81" s="432">
        <f t="shared" si="7"/>
        <v>70305</v>
      </c>
      <c r="H81" s="447"/>
    </row>
    <row r="82" spans="1:8" ht="13.5" thickBot="1" x14ac:dyDescent="0.25">
      <c r="A82" s="454" t="s">
        <v>56</v>
      </c>
      <c r="B82" s="455">
        <f t="shared" si="8"/>
        <v>101691</v>
      </c>
      <c r="C82" s="456">
        <f t="shared" si="8"/>
        <v>37573</v>
      </c>
      <c r="D82" s="456">
        <f t="shared" si="8"/>
        <v>53804</v>
      </c>
      <c r="E82" s="456">
        <f>G24</f>
        <v>1607</v>
      </c>
      <c r="F82" s="457">
        <f t="shared" si="7"/>
        <v>194675</v>
      </c>
    </row>
    <row r="83" spans="1:8" ht="14.25" thickTop="1" thickBot="1" x14ac:dyDescent="0.25">
      <c r="A83" s="458" t="s">
        <v>57</v>
      </c>
      <c r="B83" s="459">
        <f>SUM(B67:B82)</f>
        <v>1560786</v>
      </c>
      <c r="C83" s="460">
        <f>SUM(C67:C82)</f>
        <v>568347</v>
      </c>
      <c r="D83" s="460">
        <f>SUM(D67:D82)</f>
        <v>618670</v>
      </c>
      <c r="E83" s="461">
        <f>SUM(E67:E82)</f>
        <v>9864</v>
      </c>
      <c r="F83" s="462">
        <f>SUM(F67:F82)</f>
        <v>2757667</v>
      </c>
      <c r="H83" s="447"/>
    </row>
    <row r="84" spans="1:8" x14ac:dyDescent="0.2">
      <c r="H84" s="447"/>
    </row>
    <row r="85" spans="1:8" x14ac:dyDescent="0.2">
      <c r="B85" s="447"/>
      <c r="C85" s="447"/>
      <c r="D85" s="447"/>
      <c r="F85" s="447"/>
      <c r="G85" s="447"/>
    </row>
    <row r="86" spans="1:8" x14ac:dyDescent="0.2">
      <c r="E86" s="447"/>
    </row>
    <row r="87" spans="1:8" x14ac:dyDescent="0.2">
      <c r="F87" s="447"/>
    </row>
  </sheetData>
  <mergeCells count="23">
    <mergeCell ref="A63:G63"/>
    <mergeCell ref="A65:A66"/>
    <mergeCell ref="B65:B66"/>
    <mergeCell ref="C65:C66"/>
    <mergeCell ref="D65:D66"/>
    <mergeCell ref="E65:E66"/>
    <mergeCell ref="F65:F66"/>
    <mergeCell ref="F36:F37"/>
    <mergeCell ref="G36:G37"/>
    <mergeCell ref="D7:D8"/>
    <mergeCell ref="A36:A37"/>
    <mergeCell ref="B36:B37"/>
    <mergeCell ref="C36:C37"/>
    <mergeCell ref="D36:D37"/>
    <mergeCell ref="E36:E37"/>
    <mergeCell ref="A3:H3"/>
    <mergeCell ref="H7:H8"/>
    <mergeCell ref="F7:F8"/>
    <mergeCell ref="G7:G8"/>
    <mergeCell ref="B7:B8"/>
    <mergeCell ref="A7:A8"/>
    <mergeCell ref="E7:E8"/>
    <mergeCell ref="C7:C8"/>
  </mergeCells>
  <phoneticPr fontId="6" type="noConversion"/>
  <pageMargins left="0.81" right="0.2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R330"/>
  <sheetViews>
    <sheetView zoomScaleNormal="100" workbookViewId="0"/>
  </sheetViews>
  <sheetFormatPr defaultRowHeight="12.75" x14ac:dyDescent="0.2"/>
  <cols>
    <col min="1" max="1" width="5.42578125" style="119" customWidth="1"/>
    <col min="2" max="2" width="24.28515625" style="119" customWidth="1"/>
    <col min="3" max="3" width="14.42578125" style="119" customWidth="1"/>
    <col min="4" max="4" width="13.28515625" style="119" customWidth="1"/>
    <col min="5" max="5" width="12.42578125" style="119" customWidth="1"/>
    <col min="6" max="6" width="11.42578125" style="119" customWidth="1"/>
    <col min="7" max="7" width="11.5703125" style="119" customWidth="1"/>
    <col min="8" max="8" width="10.140625" style="119" customWidth="1"/>
    <col min="9" max="9" width="14" style="119" customWidth="1"/>
    <col min="10" max="10" width="13.28515625" style="119" customWidth="1"/>
    <col min="11" max="11" width="12" style="119" customWidth="1"/>
    <col min="12" max="12" width="12.5703125" style="119" customWidth="1"/>
    <col min="13" max="13" width="13.5703125" style="119" customWidth="1"/>
    <col min="14" max="16384" width="9.140625" style="119"/>
  </cols>
  <sheetData>
    <row r="3" spans="2:7" ht="18.75" x14ac:dyDescent="0.3">
      <c r="B3" s="287" t="s">
        <v>13</v>
      </c>
      <c r="G3" s="286" t="s">
        <v>412</v>
      </c>
    </row>
    <row r="4" spans="2:7" ht="7.5" customHeight="1" x14ac:dyDescent="0.2"/>
    <row r="5" spans="2:7" x14ac:dyDescent="0.2">
      <c r="B5" s="755" t="s">
        <v>14</v>
      </c>
      <c r="C5" s="756"/>
      <c r="D5" s="756"/>
      <c r="E5" s="757"/>
    </row>
    <row r="6" spans="2:7" x14ac:dyDescent="0.2">
      <c r="B6" s="761" t="s">
        <v>30</v>
      </c>
      <c r="C6" s="762"/>
      <c r="D6" s="763"/>
      <c r="E6" s="124">
        <v>35813.85</v>
      </c>
    </row>
    <row r="7" spans="2:7" x14ac:dyDescent="0.2">
      <c r="B7" s="761" t="s">
        <v>32</v>
      </c>
      <c r="C7" s="762"/>
      <c r="D7" s="763"/>
      <c r="E7" s="124">
        <v>11328.99</v>
      </c>
    </row>
    <row r="8" spans="2:7" s="117" customFormat="1" x14ac:dyDescent="0.25">
      <c r="B8" s="746" t="s">
        <v>9</v>
      </c>
      <c r="C8" s="747"/>
      <c r="D8" s="748"/>
      <c r="E8" s="116">
        <v>2.61</v>
      </c>
    </row>
    <row r="9" spans="2:7" s="117" customFormat="1" x14ac:dyDescent="0.25">
      <c r="B9" s="405" t="s">
        <v>35</v>
      </c>
      <c r="C9" s="289"/>
      <c r="D9" s="290"/>
      <c r="E9" s="116">
        <v>3060.6</v>
      </c>
    </row>
    <row r="10" spans="2:7" x14ac:dyDescent="0.2">
      <c r="B10" s="347" t="s">
        <v>450</v>
      </c>
      <c r="C10" s="291"/>
      <c r="D10" s="292"/>
      <c r="E10" s="118">
        <v>21190.33</v>
      </c>
    </row>
    <row r="11" spans="2:7" x14ac:dyDescent="0.2">
      <c r="B11" s="764" t="s">
        <v>26</v>
      </c>
      <c r="C11" s="765"/>
      <c r="D11" s="766"/>
      <c r="E11" s="113">
        <f>SUM(E6:E10)</f>
        <v>71396.38</v>
      </c>
    </row>
    <row r="12" spans="2:7" ht="7.5" customHeight="1" x14ac:dyDescent="0.2"/>
    <row r="13" spans="2:7" s="293" customFormat="1" ht="43.5" customHeight="1" x14ac:dyDescent="0.25">
      <c r="B13" s="120" t="s">
        <v>15</v>
      </c>
      <c r="C13" s="121" t="s">
        <v>210</v>
      </c>
      <c r="D13" s="121" t="s">
        <v>214</v>
      </c>
      <c r="E13" s="121" t="s">
        <v>17</v>
      </c>
      <c r="F13" s="121" t="s">
        <v>215</v>
      </c>
      <c r="G13" s="122" t="s">
        <v>26</v>
      </c>
    </row>
    <row r="14" spans="2:7" x14ac:dyDescent="0.2">
      <c r="B14" s="137" t="s">
        <v>18</v>
      </c>
      <c r="C14" s="294">
        <v>637082.56999999995</v>
      </c>
      <c r="D14" s="294">
        <v>51204.5</v>
      </c>
      <c r="E14" s="294">
        <v>49809.52</v>
      </c>
      <c r="F14" s="294">
        <v>0</v>
      </c>
      <c r="G14" s="294">
        <f>SUM(C14:F14)</f>
        <v>738096.59</v>
      </c>
    </row>
    <row r="15" spans="2:7" x14ac:dyDescent="0.2">
      <c r="B15" s="137" t="s">
        <v>28</v>
      </c>
      <c r="C15" s="294">
        <v>219073.77</v>
      </c>
      <c r="D15" s="294">
        <v>17758.5</v>
      </c>
      <c r="E15" s="294">
        <v>17583.55</v>
      </c>
      <c r="F15" s="294">
        <v>0</v>
      </c>
      <c r="G15" s="294">
        <f t="shared" ref="G15:G24" si="0">SUM(C15:F15)</f>
        <v>254415.81999999998</v>
      </c>
    </row>
    <row r="16" spans="2:7" x14ac:dyDescent="0.2">
      <c r="B16" s="137" t="s">
        <v>19</v>
      </c>
      <c r="C16" s="294">
        <f>SUM(C17:C22)</f>
        <v>283815.48</v>
      </c>
      <c r="D16" s="294">
        <f>SUM(D17:D22)</f>
        <v>6079.3</v>
      </c>
      <c r="E16" s="294">
        <f>SUM(E17:E22)</f>
        <v>14645</v>
      </c>
      <c r="F16" s="294">
        <f>SUM(F17:F22)</f>
        <v>2316.46</v>
      </c>
      <c r="G16" s="294">
        <f t="shared" si="0"/>
        <v>306856.24</v>
      </c>
    </row>
    <row r="17" spans="2:8" x14ac:dyDescent="0.2">
      <c r="B17" s="88" t="s">
        <v>20</v>
      </c>
      <c r="C17" s="295">
        <v>183.61</v>
      </c>
      <c r="D17" s="295">
        <v>0</v>
      </c>
      <c r="E17" s="295">
        <v>0</v>
      </c>
      <c r="F17" s="295">
        <v>0</v>
      </c>
      <c r="G17" s="295">
        <f t="shared" si="0"/>
        <v>183.61</v>
      </c>
    </row>
    <row r="18" spans="2:8" x14ac:dyDescent="0.2">
      <c r="B18" s="88" t="s">
        <v>29</v>
      </c>
      <c r="C18" s="295">
        <v>129349.71</v>
      </c>
      <c r="D18" s="295">
        <v>71.84</v>
      </c>
      <c r="E18" s="295">
        <v>303.45</v>
      </c>
      <c r="F18" s="295">
        <v>0</v>
      </c>
      <c r="G18" s="295">
        <f>SUM(C18:F18)</f>
        <v>129725</v>
      </c>
    </row>
    <row r="19" spans="2:8" x14ac:dyDescent="0.2">
      <c r="B19" s="88" t="s">
        <v>21</v>
      </c>
      <c r="C19" s="295">
        <v>72626.259999999995</v>
      </c>
      <c r="D19" s="295">
        <v>2826.98</v>
      </c>
      <c r="E19" s="295">
        <v>3863.17</v>
      </c>
      <c r="F19" s="295">
        <v>2316.46</v>
      </c>
      <c r="G19" s="295">
        <f t="shared" si="0"/>
        <v>81632.87</v>
      </c>
    </row>
    <row r="20" spans="2:8" x14ac:dyDescent="0.2">
      <c r="B20" s="88" t="s">
        <v>22</v>
      </c>
      <c r="C20" s="295">
        <v>25.99</v>
      </c>
      <c r="D20" s="295">
        <v>0</v>
      </c>
      <c r="E20" s="295">
        <v>0</v>
      </c>
      <c r="F20" s="295">
        <v>0</v>
      </c>
      <c r="G20" s="295">
        <f t="shared" si="0"/>
        <v>25.99</v>
      </c>
    </row>
    <row r="21" spans="2:8" x14ac:dyDescent="0.2">
      <c r="B21" s="88" t="s">
        <v>27</v>
      </c>
      <c r="C21" s="295">
        <v>20453.62</v>
      </c>
      <c r="D21" s="295">
        <v>0</v>
      </c>
      <c r="E21" s="295">
        <v>4458.97</v>
      </c>
      <c r="F21" s="295">
        <v>0</v>
      </c>
      <c r="G21" s="295">
        <f t="shared" si="0"/>
        <v>24912.59</v>
      </c>
    </row>
    <row r="22" spans="2:8" x14ac:dyDescent="0.2">
      <c r="B22" s="88" t="s">
        <v>24</v>
      </c>
      <c r="C22" s="295">
        <v>61176.29</v>
      </c>
      <c r="D22" s="295">
        <v>3180.48</v>
      </c>
      <c r="E22" s="295">
        <v>6019.41</v>
      </c>
      <c r="F22" s="295">
        <v>0</v>
      </c>
      <c r="G22" s="295">
        <f t="shared" si="0"/>
        <v>70376.180000000008</v>
      </c>
    </row>
    <row r="23" spans="2:8" x14ac:dyDescent="0.2">
      <c r="B23" s="137" t="s">
        <v>25</v>
      </c>
      <c r="C23" s="294">
        <v>10151.25</v>
      </c>
      <c r="D23" s="294">
        <v>1582.7</v>
      </c>
      <c r="E23" s="294">
        <v>63.93</v>
      </c>
      <c r="F23" s="294">
        <v>0</v>
      </c>
      <c r="G23" s="294">
        <f t="shared" si="0"/>
        <v>11797.880000000001</v>
      </c>
    </row>
    <row r="24" spans="2:8" ht="18.75" customHeight="1" x14ac:dyDescent="0.2">
      <c r="B24" s="134" t="s">
        <v>26</v>
      </c>
      <c r="C24" s="135">
        <f>C14+C15+C16+C23</f>
        <v>1150123.0699999998</v>
      </c>
      <c r="D24" s="135">
        <f>D14+D15+D16+D23</f>
        <v>76625</v>
      </c>
      <c r="E24" s="135">
        <f>E14+E15+E16+E23</f>
        <v>82101.999999999985</v>
      </c>
      <c r="F24" s="135">
        <f>F14+F15+F16+F23</f>
        <v>2316.46</v>
      </c>
      <c r="G24" s="135">
        <f t="shared" si="0"/>
        <v>1311166.5299999998</v>
      </c>
      <c r="H24" s="190"/>
    </row>
    <row r="26" spans="2:8" x14ac:dyDescent="0.2">
      <c r="F26" s="191"/>
    </row>
    <row r="27" spans="2:8" x14ac:dyDescent="0.2">
      <c r="F27" s="191"/>
    </row>
    <row r="29" spans="2:8" ht="18.75" x14ac:dyDescent="0.3">
      <c r="B29" s="287" t="s">
        <v>59</v>
      </c>
    </row>
    <row r="30" spans="2:8" ht="7.5" customHeight="1" x14ac:dyDescent="0.2"/>
    <row r="31" spans="2:8" x14ac:dyDescent="0.2">
      <c r="B31" s="755" t="s">
        <v>14</v>
      </c>
      <c r="C31" s="756"/>
      <c r="D31" s="756"/>
      <c r="E31" s="757"/>
    </row>
    <row r="32" spans="2:8" x14ac:dyDescent="0.2">
      <c r="B32" s="761" t="s">
        <v>30</v>
      </c>
      <c r="C32" s="762"/>
      <c r="D32" s="763"/>
      <c r="E32" s="124">
        <v>20261.93</v>
      </c>
    </row>
    <row r="33" spans="2:7" x14ac:dyDescent="0.2">
      <c r="B33" s="761" t="s">
        <v>32</v>
      </c>
      <c r="C33" s="762"/>
      <c r="D33" s="763"/>
      <c r="E33" s="124">
        <v>6668.76</v>
      </c>
    </row>
    <row r="34" spans="2:7" s="117" customFormat="1" x14ac:dyDescent="0.25">
      <c r="B34" s="746" t="s">
        <v>34</v>
      </c>
      <c r="C34" s="747"/>
      <c r="D34" s="748"/>
      <c r="E34" s="116">
        <v>0.94</v>
      </c>
    </row>
    <row r="35" spans="2:7" x14ac:dyDescent="0.2">
      <c r="B35" s="347" t="s">
        <v>450</v>
      </c>
      <c r="C35" s="291"/>
      <c r="D35" s="292"/>
      <c r="E35" s="118">
        <v>5400.16</v>
      </c>
    </row>
    <row r="36" spans="2:7" x14ac:dyDescent="0.2">
      <c r="B36" s="764" t="s">
        <v>26</v>
      </c>
      <c r="C36" s="765"/>
      <c r="D36" s="766"/>
      <c r="E36" s="113">
        <f>SUM(E32:E35)</f>
        <v>32331.79</v>
      </c>
    </row>
    <row r="37" spans="2:7" ht="7.5" customHeight="1" x14ac:dyDescent="0.2"/>
    <row r="38" spans="2:7" s="293" customFormat="1" ht="51" x14ac:dyDescent="0.25">
      <c r="B38" s="120" t="s">
        <v>15</v>
      </c>
      <c r="C38" s="121" t="s">
        <v>210</v>
      </c>
      <c r="D38" s="121" t="s">
        <v>212</v>
      </c>
      <c r="E38" s="121" t="s">
        <v>17</v>
      </c>
      <c r="F38" s="121" t="s">
        <v>215</v>
      </c>
      <c r="G38" s="122" t="s">
        <v>26</v>
      </c>
    </row>
    <row r="39" spans="2:7" x14ac:dyDescent="0.2">
      <c r="B39" s="137" t="s">
        <v>18</v>
      </c>
      <c r="C39" s="294">
        <v>300885</v>
      </c>
      <c r="D39" s="294">
        <v>29409.86</v>
      </c>
      <c r="E39" s="294">
        <v>30553.99</v>
      </c>
      <c r="F39" s="294">
        <v>0</v>
      </c>
      <c r="G39" s="294">
        <f t="shared" ref="G39:G48" si="1">SUM(C39:F39)</f>
        <v>360848.85</v>
      </c>
    </row>
    <row r="40" spans="2:7" x14ac:dyDescent="0.2">
      <c r="B40" s="137" t="s">
        <v>28</v>
      </c>
      <c r="C40" s="294">
        <v>107591.15</v>
      </c>
      <c r="D40" s="294">
        <v>10670.14</v>
      </c>
      <c r="E40" s="294">
        <v>11560.18</v>
      </c>
      <c r="F40" s="294">
        <v>0</v>
      </c>
      <c r="G40" s="294">
        <f t="shared" si="1"/>
        <v>129821.47</v>
      </c>
    </row>
    <row r="41" spans="2:7" x14ac:dyDescent="0.2">
      <c r="B41" s="137" t="s">
        <v>19</v>
      </c>
      <c r="C41" s="294">
        <f>SUM(C42:C46)</f>
        <v>128137.8</v>
      </c>
      <c r="D41" s="294">
        <f>SUM(D42:D46)</f>
        <v>3045</v>
      </c>
      <c r="E41" s="294">
        <f>SUM(E42:E46)</f>
        <v>13600.000000000002</v>
      </c>
      <c r="F41" s="294">
        <f>SUM(F42:F46)</f>
        <v>0</v>
      </c>
      <c r="G41" s="294">
        <f t="shared" si="1"/>
        <v>144782.79999999999</v>
      </c>
    </row>
    <row r="42" spans="2:7" x14ac:dyDescent="0.2">
      <c r="B42" s="88" t="s">
        <v>20</v>
      </c>
      <c r="C42" s="295">
        <v>74.56</v>
      </c>
      <c r="D42" s="295">
        <v>0</v>
      </c>
      <c r="E42" s="295">
        <v>20</v>
      </c>
      <c r="F42" s="295">
        <v>0</v>
      </c>
      <c r="G42" s="295">
        <f t="shared" si="1"/>
        <v>94.56</v>
      </c>
    </row>
    <row r="43" spans="2:7" x14ac:dyDescent="0.2">
      <c r="B43" s="88" t="s">
        <v>29</v>
      </c>
      <c r="C43" s="295">
        <v>44138.7</v>
      </c>
      <c r="D43" s="295">
        <v>2245</v>
      </c>
      <c r="E43" s="295">
        <v>10860</v>
      </c>
      <c r="F43" s="295">
        <v>0</v>
      </c>
      <c r="G43" s="295">
        <f t="shared" si="1"/>
        <v>57243.7</v>
      </c>
    </row>
    <row r="44" spans="2:7" x14ac:dyDescent="0.2">
      <c r="B44" s="88" t="s">
        <v>21</v>
      </c>
      <c r="C44" s="295">
        <v>13580.32</v>
      </c>
      <c r="D44" s="295">
        <v>150.91999999999999</v>
      </c>
      <c r="E44" s="295">
        <v>399.7</v>
      </c>
      <c r="F44" s="295">
        <v>0</v>
      </c>
      <c r="G44" s="295">
        <f t="shared" si="1"/>
        <v>14130.94</v>
      </c>
    </row>
    <row r="45" spans="2:7" x14ac:dyDescent="0.2">
      <c r="B45" s="88" t="s">
        <v>27</v>
      </c>
      <c r="C45" s="295">
        <v>42703.11</v>
      </c>
      <c r="D45" s="295">
        <v>0</v>
      </c>
      <c r="E45" s="295">
        <v>220.19</v>
      </c>
      <c r="F45" s="295">
        <v>0</v>
      </c>
      <c r="G45" s="295">
        <f t="shared" si="1"/>
        <v>42923.3</v>
      </c>
    </row>
    <row r="46" spans="2:7" x14ac:dyDescent="0.2">
      <c r="B46" s="88" t="s">
        <v>24</v>
      </c>
      <c r="C46" s="295">
        <v>27641.11</v>
      </c>
      <c r="D46" s="295">
        <v>649.08000000000004</v>
      </c>
      <c r="E46" s="295">
        <v>2100.11</v>
      </c>
      <c r="F46" s="295">
        <v>0</v>
      </c>
      <c r="G46" s="295">
        <f t="shared" si="1"/>
        <v>30390.300000000003</v>
      </c>
    </row>
    <row r="47" spans="2:7" x14ac:dyDescent="0.2">
      <c r="B47" s="137" t="s">
        <v>25</v>
      </c>
      <c r="C47" s="294">
        <v>2517.85</v>
      </c>
      <c r="D47" s="294">
        <v>0</v>
      </c>
      <c r="E47" s="294">
        <v>65.83</v>
      </c>
      <c r="F47" s="294">
        <v>1956.32</v>
      </c>
      <c r="G47" s="294">
        <f t="shared" si="1"/>
        <v>4540</v>
      </c>
    </row>
    <row r="48" spans="2:7" ht="22.5" customHeight="1" x14ac:dyDescent="0.2">
      <c r="B48" s="134" t="s">
        <v>26</v>
      </c>
      <c r="C48" s="135">
        <f>C39+C40+C41+C47</f>
        <v>539131.80000000005</v>
      </c>
      <c r="D48" s="135">
        <f>D39+D40+D41+D47</f>
        <v>43125</v>
      </c>
      <c r="E48" s="135">
        <f>E39+E40+E41+E47</f>
        <v>55780</v>
      </c>
      <c r="F48" s="135">
        <f>F39+F40+F41+F47</f>
        <v>1956.32</v>
      </c>
      <c r="G48" s="135">
        <f t="shared" si="1"/>
        <v>639993.12</v>
      </c>
    </row>
    <row r="60" spans="2:5" ht="18.75" x14ac:dyDescent="0.3">
      <c r="B60" s="287" t="s">
        <v>60</v>
      </c>
    </row>
    <row r="61" spans="2:5" ht="7.5" customHeight="1" x14ac:dyDescent="0.2"/>
    <row r="62" spans="2:5" x14ac:dyDescent="0.2">
      <c r="B62" s="755" t="s">
        <v>14</v>
      </c>
      <c r="C62" s="756"/>
      <c r="D62" s="756"/>
      <c r="E62" s="757"/>
    </row>
    <row r="63" spans="2:5" x14ac:dyDescent="0.2">
      <c r="B63" s="761" t="s">
        <v>30</v>
      </c>
      <c r="C63" s="762"/>
      <c r="D63" s="763"/>
      <c r="E63" s="124">
        <v>10644.16</v>
      </c>
    </row>
    <row r="64" spans="2:5" x14ac:dyDescent="0.2">
      <c r="B64" s="761" t="s">
        <v>32</v>
      </c>
      <c r="C64" s="762"/>
      <c r="D64" s="763"/>
      <c r="E64" s="124">
        <v>4337.83</v>
      </c>
    </row>
    <row r="65" spans="2:7" s="117" customFormat="1" x14ac:dyDescent="0.25">
      <c r="B65" s="746" t="s">
        <v>498</v>
      </c>
      <c r="C65" s="747"/>
      <c r="D65" s="748"/>
      <c r="E65" s="116">
        <v>5.27</v>
      </c>
    </row>
    <row r="66" spans="2:7" x14ac:dyDescent="0.2">
      <c r="B66" s="409" t="s">
        <v>499</v>
      </c>
      <c r="C66" s="291"/>
      <c r="D66" s="292"/>
      <c r="E66" s="118">
        <v>16742.46</v>
      </c>
    </row>
    <row r="67" spans="2:7" x14ac:dyDescent="0.2">
      <c r="B67" s="347" t="s">
        <v>450</v>
      </c>
      <c r="C67" s="291"/>
      <c r="D67" s="292"/>
      <c r="E67" s="118">
        <v>30507.45</v>
      </c>
    </row>
    <row r="68" spans="2:7" x14ac:dyDescent="0.2">
      <c r="B68" s="764" t="s">
        <v>26</v>
      </c>
      <c r="C68" s="765"/>
      <c r="D68" s="766"/>
      <c r="E68" s="113">
        <f>SUM(E63:E67)</f>
        <v>62237.17</v>
      </c>
    </row>
    <row r="69" spans="2:7" ht="7.5" customHeight="1" x14ac:dyDescent="0.2"/>
    <row r="70" spans="2:7" s="293" customFormat="1" ht="49.5" customHeight="1" x14ac:dyDescent="0.25">
      <c r="B70" s="120" t="s">
        <v>15</v>
      </c>
      <c r="C70" s="121" t="s">
        <v>211</v>
      </c>
      <c r="D70" s="121" t="s">
        <v>214</v>
      </c>
      <c r="E70" s="121" t="s">
        <v>17</v>
      </c>
      <c r="F70" s="121" t="s">
        <v>215</v>
      </c>
      <c r="G70" s="122" t="s">
        <v>26</v>
      </c>
    </row>
    <row r="71" spans="2:7" x14ac:dyDescent="0.2">
      <c r="B71" s="137" t="s">
        <v>18</v>
      </c>
      <c r="C71" s="294">
        <v>191304.32000000001</v>
      </c>
      <c r="D71" s="294">
        <v>22767.05</v>
      </c>
      <c r="E71" s="294">
        <v>34165.760000000002</v>
      </c>
      <c r="F71" s="294">
        <v>0</v>
      </c>
      <c r="G71" s="294">
        <f>SUM(C71:F71)</f>
        <v>248237.13</v>
      </c>
    </row>
    <row r="72" spans="2:7" x14ac:dyDescent="0.2">
      <c r="B72" s="137" t="s">
        <v>28</v>
      </c>
      <c r="C72" s="294">
        <v>67996.679999999993</v>
      </c>
      <c r="D72" s="294">
        <v>8038.95</v>
      </c>
      <c r="E72" s="294">
        <v>11973.24</v>
      </c>
      <c r="F72" s="294">
        <v>0</v>
      </c>
      <c r="G72" s="294">
        <f t="shared" ref="G72:G81" si="2">SUM(C72:F72)</f>
        <v>88008.87</v>
      </c>
    </row>
    <row r="73" spans="2:7" x14ac:dyDescent="0.2">
      <c r="B73" s="137" t="s">
        <v>19</v>
      </c>
      <c r="C73" s="294">
        <f>SUM(C74:C79)</f>
        <v>146473.09000000003</v>
      </c>
      <c r="D73" s="294">
        <f>SUM(D74:D79)</f>
        <v>3721.52</v>
      </c>
      <c r="E73" s="294">
        <f>SUM(E74:E79)</f>
        <v>34470.269999999997</v>
      </c>
      <c r="F73" s="294">
        <f>SUM(F74:F79)</f>
        <v>1424.78</v>
      </c>
      <c r="G73" s="294">
        <f t="shared" si="2"/>
        <v>186089.66</v>
      </c>
    </row>
    <row r="74" spans="2:7" x14ac:dyDescent="0.2">
      <c r="B74" s="88" t="s">
        <v>20</v>
      </c>
      <c r="C74" s="295">
        <v>151.11000000000001</v>
      </c>
      <c r="D74" s="295">
        <v>0</v>
      </c>
      <c r="E74" s="295">
        <v>0</v>
      </c>
      <c r="F74" s="295">
        <v>0</v>
      </c>
      <c r="G74" s="295">
        <f t="shared" si="2"/>
        <v>151.11000000000001</v>
      </c>
    </row>
    <row r="75" spans="2:7" x14ac:dyDescent="0.2">
      <c r="B75" s="88" t="s">
        <v>29</v>
      </c>
      <c r="C75" s="295">
        <v>70277.75</v>
      </c>
      <c r="D75" s="295">
        <v>740</v>
      </c>
      <c r="E75" s="295">
        <v>27870</v>
      </c>
      <c r="F75" s="295">
        <v>0</v>
      </c>
      <c r="G75" s="295">
        <f t="shared" si="2"/>
        <v>98887.75</v>
      </c>
    </row>
    <row r="76" spans="2:7" x14ac:dyDescent="0.2">
      <c r="B76" s="88" t="s">
        <v>21</v>
      </c>
      <c r="C76" s="295">
        <v>29822.15</v>
      </c>
      <c r="D76" s="295">
        <v>1100</v>
      </c>
      <c r="E76" s="295">
        <v>2455</v>
      </c>
      <c r="F76" s="295">
        <v>1424.78</v>
      </c>
      <c r="G76" s="295">
        <f t="shared" si="2"/>
        <v>34801.93</v>
      </c>
    </row>
    <row r="77" spans="2:7" x14ac:dyDescent="0.2">
      <c r="B77" s="88" t="s">
        <v>27</v>
      </c>
      <c r="C77" s="295">
        <v>30850.98</v>
      </c>
      <c r="D77" s="295">
        <v>0</v>
      </c>
      <c r="E77" s="295">
        <v>730</v>
      </c>
      <c r="F77" s="295">
        <v>0</v>
      </c>
      <c r="G77" s="295">
        <f t="shared" si="2"/>
        <v>31580.98</v>
      </c>
    </row>
    <row r="78" spans="2:7" x14ac:dyDescent="0.2">
      <c r="B78" s="88" t="s">
        <v>23</v>
      </c>
      <c r="C78" s="295">
        <v>1476.66</v>
      </c>
      <c r="D78" s="295">
        <v>0</v>
      </c>
      <c r="E78" s="295">
        <v>0</v>
      </c>
      <c r="F78" s="295">
        <v>0</v>
      </c>
      <c r="G78" s="295">
        <f t="shared" si="2"/>
        <v>1476.66</v>
      </c>
    </row>
    <row r="79" spans="2:7" x14ac:dyDescent="0.2">
      <c r="B79" s="88" t="s">
        <v>24</v>
      </c>
      <c r="C79" s="295">
        <v>13894.44</v>
      </c>
      <c r="D79" s="295">
        <v>1881.52</v>
      </c>
      <c r="E79" s="295">
        <v>3415.27</v>
      </c>
      <c r="F79" s="295">
        <v>0</v>
      </c>
      <c r="G79" s="295">
        <f t="shared" si="2"/>
        <v>19191.23</v>
      </c>
    </row>
    <row r="80" spans="2:7" x14ac:dyDescent="0.2">
      <c r="B80" s="137" t="s">
        <v>25</v>
      </c>
      <c r="C80" s="294">
        <v>400</v>
      </c>
      <c r="D80" s="294">
        <v>0</v>
      </c>
      <c r="E80" s="294">
        <v>139.72999999999999</v>
      </c>
      <c r="F80" s="294">
        <v>0</v>
      </c>
      <c r="G80" s="294">
        <f t="shared" si="2"/>
        <v>539.73</v>
      </c>
    </row>
    <row r="81" spans="2:7" ht="19.5" customHeight="1" x14ac:dyDescent="0.2">
      <c r="B81" s="134" t="s">
        <v>26</v>
      </c>
      <c r="C81" s="135">
        <f>C71+C72+C73+C80</f>
        <v>406174.09</v>
      </c>
      <c r="D81" s="135">
        <f>D71+D72+D73+D80</f>
        <v>34527.519999999997</v>
      </c>
      <c r="E81" s="135">
        <f>E71+E72+E73+E80</f>
        <v>80748.999999999985</v>
      </c>
      <c r="F81" s="135">
        <f>F71+F72+F73+F80</f>
        <v>1424.78</v>
      </c>
      <c r="G81" s="135">
        <f t="shared" si="2"/>
        <v>522875.39000000007</v>
      </c>
    </row>
    <row r="88" spans="2:7" ht="18.75" x14ac:dyDescent="0.3">
      <c r="B88" s="287" t="s">
        <v>61</v>
      </c>
    </row>
    <row r="89" spans="2:7" ht="7.5" customHeight="1" x14ac:dyDescent="0.2"/>
    <row r="90" spans="2:7" x14ac:dyDescent="0.2">
      <c r="B90" s="755" t="s">
        <v>14</v>
      </c>
      <c r="C90" s="756"/>
      <c r="D90" s="756"/>
      <c r="E90" s="757"/>
    </row>
    <row r="91" spans="2:7" x14ac:dyDescent="0.2">
      <c r="B91" s="761" t="s">
        <v>30</v>
      </c>
      <c r="C91" s="762"/>
      <c r="D91" s="763"/>
      <c r="E91" s="124">
        <v>1558.3</v>
      </c>
    </row>
    <row r="92" spans="2:7" x14ac:dyDescent="0.2">
      <c r="B92" s="761" t="s">
        <v>32</v>
      </c>
      <c r="C92" s="762"/>
      <c r="D92" s="763"/>
      <c r="E92" s="124">
        <v>11796.91</v>
      </c>
    </row>
    <row r="93" spans="2:7" s="117" customFormat="1" x14ac:dyDescent="0.25">
      <c r="B93" s="746" t="s">
        <v>498</v>
      </c>
      <c r="C93" s="747"/>
      <c r="D93" s="748"/>
      <c r="E93" s="116">
        <v>2.1</v>
      </c>
    </row>
    <row r="94" spans="2:7" x14ac:dyDescent="0.2">
      <c r="B94" s="749" t="s">
        <v>66</v>
      </c>
      <c r="C94" s="750"/>
      <c r="D94" s="751"/>
      <c r="E94" s="118">
        <v>1073.29</v>
      </c>
    </row>
    <row r="95" spans="2:7" x14ac:dyDescent="0.2">
      <c r="B95" s="347" t="s">
        <v>450</v>
      </c>
      <c r="C95" s="291"/>
      <c r="D95" s="292"/>
      <c r="E95" s="118">
        <v>11640.8</v>
      </c>
    </row>
    <row r="96" spans="2:7" x14ac:dyDescent="0.2">
      <c r="B96" s="764" t="s">
        <v>26</v>
      </c>
      <c r="C96" s="765"/>
      <c r="D96" s="766"/>
      <c r="E96" s="113">
        <f>SUM(E91:E95)</f>
        <v>26071.399999999998</v>
      </c>
    </row>
    <row r="97" spans="2:7" ht="7.5" customHeight="1" x14ac:dyDescent="0.2"/>
    <row r="98" spans="2:7" s="293" customFormat="1" ht="38.25" x14ac:dyDescent="0.25">
      <c r="B98" s="120" t="s">
        <v>15</v>
      </c>
      <c r="C98" s="121" t="s">
        <v>213</v>
      </c>
      <c r="D98" s="121" t="s">
        <v>214</v>
      </c>
      <c r="E98" s="121" t="s">
        <v>17</v>
      </c>
      <c r="F98" s="121" t="s">
        <v>215</v>
      </c>
      <c r="G98" s="122" t="s">
        <v>26</v>
      </c>
    </row>
    <row r="99" spans="2:7" x14ac:dyDescent="0.2">
      <c r="B99" s="137" t="s">
        <v>18</v>
      </c>
      <c r="C99" s="294">
        <v>390691.14</v>
      </c>
      <c r="D99" s="294">
        <v>47304.67</v>
      </c>
      <c r="E99" s="294">
        <v>34137.47</v>
      </c>
      <c r="F99" s="294">
        <v>0</v>
      </c>
      <c r="G99" s="294">
        <f>SUM(C99:F99)</f>
        <v>472133.28</v>
      </c>
    </row>
    <row r="100" spans="2:7" x14ac:dyDescent="0.2">
      <c r="B100" s="137" t="s">
        <v>28</v>
      </c>
      <c r="C100" s="294">
        <v>138633.26999999999</v>
      </c>
      <c r="D100" s="294">
        <v>16069.24</v>
      </c>
      <c r="E100" s="294">
        <v>11579.69</v>
      </c>
      <c r="F100" s="294">
        <v>0</v>
      </c>
      <c r="G100" s="294">
        <f t="shared" ref="G100:G108" si="3">SUM(C100:F100)</f>
        <v>166282.19999999998</v>
      </c>
    </row>
    <row r="101" spans="2:7" x14ac:dyDescent="0.2">
      <c r="B101" s="137" t="s">
        <v>19</v>
      </c>
      <c r="C101" s="294">
        <f>SUM(C102:C106)</f>
        <v>182383.27</v>
      </c>
      <c r="D101" s="294">
        <f>SUM(D102:D106)</f>
        <v>7800</v>
      </c>
      <c r="E101" s="294">
        <f>SUM(E102:E106)</f>
        <v>12510</v>
      </c>
      <c r="F101" s="294">
        <f>SUM(F102:F106)</f>
        <v>0</v>
      </c>
      <c r="G101" s="294">
        <f t="shared" si="3"/>
        <v>202693.27</v>
      </c>
    </row>
    <row r="102" spans="2:7" x14ac:dyDescent="0.2">
      <c r="B102" s="88" t="s">
        <v>20</v>
      </c>
      <c r="C102" s="295">
        <v>25.35</v>
      </c>
      <c r="D102" s="295">
        <v>0</v>
      </c>
      <c r="E102" s="295">
        <v>0</v>
      </c>
      <c r="F102" s="295">
        <v>0</v>
      </c>
      <c r="G102" s="295">
        <f t="shared" si="3"/>
        <v>25.35</v>
      </c>
    </row>
    <row r="103" spans="2:7" x14ac:dyDescent="0.2">
      <c r="B103" s="88" t="s">
        <v>29</v>
      </c>
      <c r="C103" s="295">
        <v>62789.34</v>
      </c>
      <c r="D103" s="295">
        <v>5210</v>
      </c>
      <c r="E103" s="295">
        <v>7770</v>
      </c>
      <c r="F103" s="295">
        <v>0</v>
      </c>
      <c r="G103" s="295">
        <f t="shared" si="3"/>
        <v>75769.34</v>
      </c>
    </row>
    <row r="104" spans="2:7" x14ac:dyDescent="0.2">
      <c r="B104" s="88" t="s">
        <v>21</v>
      </c>
      <c r="C104" s="295">
        <v>13228.55</v>
      </c>
      <c r="D104" s="295">
        <v>880</v>
      </c>
      <c r="E104" s="295">
        <v>1120</v>
      </c>
      <c r="F104" s="295">
        <v>0</v>
      </c>
      <c r="G104" s="295">
        <f t="shared" si="3"/>
        <v>15228.55</v>
      </c>
    </row>
    <row r="105" spans="2:7" x14ac:dyDescent="0.2">
      <c r="B105" s="88" t="s">
        <v>27</v>
      </c>
      <c r="C105" s="295">
        <v>89524.4</v>
      </c>
      <c r="D105" s="295">
        <v>0</v>
      </c>
      <c r="E105" s="295">
        <v>700</v>
      </c>
      <c r="F105" s="295">
        <v>0</v>
      </c>
      <c r="G105" s="295">
        <f t="shared" si="3"/>
        <v>90224.4</v>
      </c>
    </row>
    <row r="106" spans="2:7" x14ac:dyDescent="0.2">
      <c r="B106" s="88" t="s">
        <v>24</v>
      </c>
      <c r="C106" s="295">
        <v>16815.63</v>
      </c>
      <c r="D106" s="295">
        <v>1710</v>
      </c>
      <c r="E106" s="295">
        <v>2920</v>
      </c>
      <c r="F106" s="295">
        <v>0</v>
      </c>
      <c r="G106" s="295">
        <f t="shared" si="3"/>
        <v>21445.63</v>
      </c>
    </row>
    <row r="107" spans="2:7" x14ac:dyDescent="0.2">
      <c r="B107" s="137" t="s">
        <v>25</v>
      </c>
      <c r="C107" s="294">
        <v>2393.54</v>
      </c>
      <c r="D107" s="294">
        <v>206.09</v>
      </c>
      <c r="E107" s="294">
        <v>242.84</v>
      </c>
      <c r="F107" s="294">
        <v>575.24</v>
      </c>
      <c r="G107" s="294">
        <f t="shared" si="3"/>
        <v>3417.71</v>
      </c>
    </row>
    <row r="108" spans="2:7" ht="21" customHeight="1" x14ac:dyDescent="0.2">
      <c r="B108" s="131" t="s">
        <v>26</v>
      </c>
      <c r="C108" s="133">
        <f>C99+C100+C101+C107</f>
        <v>714101.22000000009</v>
      </c>
      <c r="D108" s="133">
        <f>D99+D100+D101+D107</f>
        <v>71380</v>
      </c>
      <c r="E108" s="133">
        <f>E99+E100+E101+E107</f>
        <v>58470</v>
      </c>
      <c r="F108" s="133">
        <f>F99+F100+F101+F107</f>
        <v>575.24</v>
      </c>
      <c r="G108" s="133">
        <f t="shared" si="3"/>
        <v>844526.46000000008</v>
      </c>
    </row>
    <row r="115" spans="2:7" ht="18.75" x14ac:dyDescent="0.3">
      <c r="B115" s="287" t="s">
        <v>62</v>
      </c>
    </row>
    <row r="116" spans="2:7" ht="7.5" customHeight="1" x14ac:dyDescent="0.2"/>
    <row r="117" spans="2:7" x14ac:dyDescent="0.2">
      <c r="B117" s="755" t="s">
        <v>14</v>
      </c>
      <c r="C117" s="756"/>
      <c r="D117" s="756"/>
      <c r="E117" s="757"/>
    </row>
    <row r="118" spans="2:7" x14ac:dyDescent="0.2">
      <c r="B118" s="761" t="s">
        <v>30</v>
      </c>
      <c r="C118" s="762"/>
      <c r="D118" s="763"/>
      <c r="E118" s="118">
        <v>21156.63</v>
      </c>
    </row>
    <row r="119" spans="2:7" x14ac:dyDescent="0.2">
      <c r="B119" s="761" t="s">
        <v>32</v>
      </c>
      <c r="C119" s="762"/>
      <c r="D119" s="763"/>
      <c r="E119" s="118">
        <v>20162.12</v>
      </c>
    </row>
    <row r="120" spans="2:7" s="117" customFormat="1" x14ac:dyDescent="0.25">
      <c r="B120" s="746" t="s">
        <v>498</v>
      </c>
      <c r="C120" s="747"/>
      <c r="D120" s="748"/>
      <c r="E120" s="116">
        <v>2.5499999999999998</v>
      </c>
    </row>
    <row r="121" spans="2:7" x14ac:dyDescent="0.2">
      <c r="B121" s="749" t="s">
        <v>66</v>
      </c>
      <c r="C121" s="750"/>
      <c r="D121" s="751"/>
      <c r="E121" s="118">
        <v>1956.45</v>
      </c>
    </row>
    <row r="122" spans="2:7" x14ac:dyDescent="0.2">
      <c r="B122" s="764" t="s">
        <v>26</v>
      </c>
      <c r="C122" s="765"/>
      <c r="D122" s="766"/>
      <c r="E122" s="136">
        <f>SUM(E118:E121)</f>
        <v>43277.75</v>
      </c>
    </row>
    <row r="123" spans="2:7" ht="7.5" customHeight="1" x14ac:dyDescent="0.2"/>
    <row r="124" spans="2:7" s="293" customFormat="1" ht="38.25" x14ac:dyDescent="0.25">
      <c r="B124" s="120" t="s">
        <v>15</v>
      </c>
      <c r="C124" s="121" t="s">
        <v>213</v>
      </c>
      <c r="D124" s="121" t="s">
        <v>214</v>
      </c>
      <c r="E124" s="121" t="s">
        <v>17</v>
      </c>
      <c r="F124" s="121" t="s">
        <v>215</v>
      </c>
      <c r="G124" s="122" t="s">
        <v>26</v>
      </c>
    </row>
    <row r="125" spans="2:7" x14ac:dyDescent="0.2">
      <c r="B125" s="137" t="s">
        <v>18</v>
      </c>
      <c r="C125" s="294">
        <v>768414.1</v>
      </c>
      <c r="D125" s="294">
        <v>89908.94</v>
      </c>
      <c r="E125" s="294">
        <v>0</v>
      </c>
      <c r="F125" s="294">
        <v>0</v>
      </c>
      <c r="G125" s="294">
        <f>SUM(C125:F125)</f>
        <v>858323.04</v>
      </c>
    </row>
    <row r="126" spans="2:7" x14ac:dyDescent="0.2">
      <c r="B126" s="137" t="s">
        <v>28</v>
      </c>
      <c r="C126" s="294">
        <v>281586.77</v>
      </c>
      <c r="D126" s="294">
        <v>32186.06</v>
      </c>
      <c r="E126" s="294">
        <v>0</v>
      </c>
      <c r="F126" s="294">
        <v>0</v>
      </c>
      <c r="G126" s="294">
        <f t="shared" ref="G126:G135" si="4">SUM(C126:F126)</f>
        <v>313772.83</v>
      </c>
    </row>
    <row r="127" spans="2:7" x14ac:dyDescent="0.2">
      <c r="B127" s="137" t="s">
        <v>19</v>
      </c>
      <c r="C127" s="294">
        <f>SUM(C128:C133)</f>
        <v>230485.61000000002</v>
      </c>
      <c r="D127" s="294">
        <f t="shared" ref="D127:F127" si="5">SUM(D128:D133)</f>
        <v>9825</v>
      </c>
      <c r="E127" s="294">
        <f t="shared" si="5"/>
        <v>106500</v>
      </c>
      <c r="F127" s="294">
        <f t="shared" si="5"/>
        <v>2369.36</v>
      </c>
      <c r="G127" s="294">
        <f>SUM(C127:F127)</f>
        <v>349179.97</v>
      </c>
    </row>
    <row r="128" spans="2:7" x14ac:dyDescent="0.2">
      <c r="B128" s="88" t="s">
        <v>421</v>
      </c>
      <c r="C128" s="295">
        <v>9.75</v>
      </c>
      <c r="D128" s="295">
        <v>0</v>
      </c>
      <c r="E128" s="295">
        <v>0</v>
      </c>
      <c r="F128" s="295">
        <v>0</v>
      </c>
      <c r="G128" s="295">
        <f t="shared" ref="G128" si="6">SUM(C128:F128)</f>
        <v>9.75</v>
      </c>
    </row>
    <row r="129" spans="2:9" x14ac:dyDescent="0.2">
      <c r="B129" s="88" t="s">
        <v>29</v>
      </c>
      <c r="C129" s="295">
        <v>118902.98</v>
      </c>
      <c r="D129" s="295">
        <v>6520.34</v>
      </c>
      <c r="E129" s="295">
        <v>0</v>
      </c>
      <c r="F129" s="295">
        <v>0</v>
      </c>
      <c r="G129" s="295">
        <f t="shared" si="4"/>
        <v>125423.31999999999</v>
      </c>
    </row>
    <row r="130" spans="2:9" x14ac:dyDescent="0.2">
      <c r="B130" s="88" t="s">
        <v>21</v>
      </c>
      <c r="C130" s="295">
        <v>46848.41</v>
      </c>
      <c r="D130" s="295">
        <v>84.29</v>
      </c>
      <c r="E130" s="295">
        <v>0</v>
      </c>
      <c r="F130" s="295">
        <v>2369.36</v>
      </c>
      <c r="G130" s="295">
        <f t="shared" si="4"/>
        <v>49302.060000000005</v>
      </c>
    </row>
    <row r="131" spans="2:9" x14ac:dyDescent="0.2">
      <c r="B131" s="88" t="s">
        <v>27</v>
      </c>
      <c r="C131" s="295">
        <v>18404.759999999998</v>
      </c>
      <c r="D131" s="295">
        <v>0</v>
      </c>
      <c r="E131" s="295">
        <v>0</v>
      </c>
      <c r="F131" s="295">
        <v>0</v>
      </c>
      <c r="G131" s="295">
        <f t="shared" si="4"/>
        <v>18404.759999999998</v>
      </c>
    </row>
    <row r="132" spans="2:9" x14ac:dyDescent="0.2">
      <c r="B132" s="88" t="s">
        <v>587</v>
      </c>
      <c r="C132" s="295">
        <v>11430</v>
      </c>
      <c r="D132" s="295">
        <v>0</v>
      </c>
      <c r="E132" s="295">
        <v>0</v>
      </c>
      <c r="F132" s="295">
        <v>0</v>
      </c>
      <c r="G132" s="295">
        <f t="shared" si="4"/>
        <v>11430</v>
      </c>
    </row>
    <row r="133" spans="2:9" x14ac:dyDescent="0.2">
      <c r="B133" s="88" t="s">
        <v>24</v>
      </c>
      <c r="C133" s="295">
        <v>34889.71</v>
      </c>
      <c r="D133" s="295">
        <v>3220.37</v>
      </c>
      <c r="E133" s="295">
        <v>106500</v>
      </c>
      <c r="F133" s="295">
        <v>0</v>
      </c>
      <c r="G133" s="295">
        <f t="shared" si="4"/>
        <v>144610.08000000002</v>
      </c>
    </row>
    <row r="134" spans="2:9" x14ac:dyDescent="0.2">
      <c r="B134" s="137" t="s">
        <v>25</v>
      </c>
      <c r="C134" s="294">
        <v>5651.91</v>
      </c>
      <c r="D134" s="294">
        <v>490</v>
      </c>
      <c r="E134" s="294">
        <v>0</v>
      </c>
      <c r="F134" s="294">
        <v>0</v>
      </c>
      <c r="G134" s="294">
        <f>SUM(C134:F134)</f>
        <v>6141.91</v>
      </c>
    </row>
    <row r="135" spans="2:9" ht="23.25" customHeight="1" x14ac:dyDescent="0.2">
      <c r="B135" s="134" t="s">
        <v>26</v>
      </c>
      <c r="C135" s="135">
        <f>C125+C126+C127+C134</f>
        <v>1286138.3900000001</v>
      </c>
      <c r="D135" s="135">
        <f>D125+D126+D127+D134</f>
        <v>132410</v>
      </c>
      <c r="E135" s="135">
        <f>E125+E126+E127+E134</f>
        <v>106500</v>
      </c>
      <c r="F135" s="135">
        <f>F125+F126+F127+F134</f>
        <v>2369.36</v>
      </c>
      <c r="G135" s="135">
        <f t="shared" si="4"/>
        <v>1527417.7500000002</v>
      </c>
      <c r="I135" s="191"/>
    </row>
    <row r="141" spans="2:9" ht="18.75" x14ac:dyDescent="0.3">
      <c r="B141" s="287" t="s">
        <v>63</v>
      </c>
    </row>
    <row r="142" spans="2:9" ht="7.5" customHeight="1" x14ac:dyDescent="0.2"/>
    <row r="143" spans="2:9" x14ac:dyDescent="0.2">
      <c r="B143" s="755" t="s">
        <v>14</v>
      </c>
      <c r="C143" s="756"/>
      <c r="D143" s="756"/>
      <c r="E143" s="757"/>
    </row>
    <row r="144" spans="2:9" x14ac:dyDescent="0.2">
      <c r="B144" s="761" t="s">
        <v>30</v>
      </c>
      <c r="C144" s="762"/>
      <c r="D144" s="763"/>
      <c r="E144" s="118">
        <v>6771.7</v>
      </c>
    </row>
    <row r="145" spans="2:7" x14ac:dyDescent="0.2">
      <c r="B145" s="761" t="s">
        <v>32</v>
      </c>
      <c r="C145" s="762"/>
      <c r="D145" s="763"/>
      <c r="E145" s="118">
        <v>4688.05</v>
      </c>
    </row>
    <row r="146" spans="2:7" s="117" customFormat="1" x14ac:dyDescent="0.25">
      <c r="B146" s="746" t="s">
        <v>34</v>
      </c>
      <c r="C146" s="747"/>
      <c r="D146" s="748"/>
      <c r="E146" s="116">
        <v>1.76</v>
      </c>
    </row>
    <row r="147" spans="2:7" x14ac:dyDescent="0.2">
      <c r="B147" s="746" t="s">
        <v>216</v>
      </c>
      <c r="C147" s="747"/>
      <c r="D147" s="748"/>
      <c r="E147" s="118">
        <v>451.13</v>
      </c>
    </row>
    <row r="148" spans="2:7" x14ac:dyDescent="0.2">
      <c r="B148" s="347" t="s">
        <v>450</v>
      </c>
      <c r="C148" s="291"/>
      <c r="D148" s="292"/>
      <c r="E148" s="118">
        <v>8275.94</v>
      </c>
    </row>
    <row r="149" spans="2:7" x14ac:dyDescent="0.2">
      <c r="B149" s="764" t="s">
        <v>26</v>
      </c>
      <c r="C149" s="765"/>
      <c r="D149" s="766"/>
      <c r="E149" s="136">
        <f>SUM(E144:E148)</f>
        <v>20188.580000000002</v>
      </c>
    </row>
    <row r="150" spans="2:7" ht="7.5" customHeight="1" x14ac:dyDescent="0.2"/>
    <row r="151" spans="2:7" s="293" customFormat="1" ht="38.25" x14ac:dyDescent="0.25">
      <c r="B151" s="120" t="s">
        <v>15</v>
      </c>
      <c r="C151" s="121" t="s">
        <v>213</v>
      </c>
      <c r="D151" s="121" t="s">
        <v>214</v>
      </c>
      <c r="E151" s="121" t="s">
        <v>17</v>
      </c>
      <c r="F151" s="121" t="s">
        <v>215</v>
      </c>
      <c r="G151" s="122" t="s">
        <v>26</v>
      </c>
    </row>
    <row r="152" spans="2:7" x14ac:dyDescent="0.2">
      <c r="B152" s="137" t="s">
        <v>18</v>
      </c>
      <c r="C152" s="294">
        <v>209065.76</v>
      </c>
      <c r="D152" s="294">
        <v>20383.099999999999</v>
      </c>
      <c r="E152" s="294">
        <v>36926.269999999997</v>
      </c>
      <c r="F152" s="294">
        <v>0</v>
      </c>
      <c r="G152" s="294">
        <f>SUM(C152:F152)</f>
        <v>266375.13</v>
      </c>
    </row>
    <row r="153" spans="2:7" x14ac:dyDescent="0.2">
      <c r="B153" s="137" t="s">
        <v>28</v>
      </c>
      <c r="C153" s="294">
        <v>74799.929999999993</v>
      </c>
      <c r="D153" s="294">
        <v>6803.9</v>
      </c>
      <c r="E153" s="294">
        <v>11835.73</v>
      </c>
      <c r="F153" s="294">
        <v>0</v>
      </c>
      <c r="G153" s="294">
        <f t="shared" ref="G153:G161" si="7">SUM(C153:F153)</f>
        <v>93439.559999999983</v>
      </c>
    </row>
    <row r="154" spans="2:7" x14ac:dyDescent="0.2">
      <c r="B154" s="137" t="s">
        <v>19</v>
      </c>
      <c r="C154" s="294">
        <f>SUM(C155:C159)</f>
        <v>69015.44</v>
      </c>
      <c r="D154" s="294">
        <f t="shared" ref="D154:F154" si="8">SUM(D155:D159)</f>
        <v>3620</v>
      </c>
      <c r="E154" s="294">
        <f t="shared" si="8"/>
        <v>8724.66</v>
      </c>
      <c r="F154" s="294">
        <f t="shared" si="8"/>
        <v>0</v>
      </c>
      <c r="G154" s="294">
        <f t="shared" si="7"/>
        <v>81360.100000000006</v>
      </c>
    </row>
    <row r="155" spans="2:7" x14ac:dyDescent="0.2">
      <c r="B155" s="88" t="s">
        <v>421</v>
      </c>
      <c r="C155" s="295">
        <v>49</v>
      </c>
      <c r="D155" s="295">
        <v>0</v>
      </c>
      <c r="E155" s="295">
        <v>44.6</v>
      </c>
      <c r="F155" s="295">
        <v>0</v>
      </c>
      <c r="G155" s="295">
        <f t="shared" ref="G155" si="9">SUM(C155:F155)</f>
        <v>93.6</v>
      </c>
    </row>
    <row r="156" spans="2:7" x14ac:dyDescent="0.2">
      <c r="B156" s="88" t="s">
        <v>29</v>
      </c>
      <c r="C156" s="295">
        <v>39195.79</v>
      </c>
      <c r="D156" s="295">
        <v>2950</v>
      </c>
      <c r="E156" s="295">
        <v>4200.3999999999996</v>
      </c>
      <c r="F156" s="295">
        <v>0</v>
      </c>
      <c r="G156" s="295">
        <f t="shared" si="7"/>
        <v>46346.19</v>
      </c>
    </row>
    <row r="157" spans="2:7" x14ac:dyDescent="0.2">
      <c r="B157" s="88" t="s">
        <v>21</v>
      </c>
      <c r="C157" s="295">
        <v>10724.39</v>
      </c>
      <c r="D157" s="295">
        <v>130</v>
      </c>
      <c r="E157" s="295">
        <v>750</v>
      </c>
      <c r="F157" s="295">
        <v>0</v>
      </c>
      <c r="G157" s="295">
        <f t="shared" si="7"/>
        <v>11604.39</v>
      </c>
    </row>
    <row r="158" spans="2:7" x14ac:dyDescent="0.2">
      <c r="B158" s="88" t="s">
        <v>27</v>
      </c>
      <c r="C158" s="295">
        <v>4772.3</v>
      </c>
      <c r="D158" s="295">
        <v>0</v>
      </c>
      <c r="E158" s="295">
        <v>747.77</v>
      </c>
      <c r="F158" s="295">
        <v>0</v>
      </c>
      <c r="G158" s="295">
        <f t="shared" si="7"/>
        <v>5520.07</v>
      </c>
    </row>
    <row r="159" spans="2:7" x14ac:dyDescent="0.2">
      <c r="B159" s="88" t="s">
        <v>24</v>
      </c>
      <c r="C159" s="295">
        <v>14273.96</v>
      </c>
      <c r="D159" s="295">
        <v>540</v>
      </c>
      <c r="E159" s="295">
        <v>2981.89</v>
      </c>
      <c r="F159" s="295">
        <v>0</v>
      </c>
      <c r="G159" s="295">
        <f t="shared" si="7"/>
        <v>17795.849999999999</v>
      </c>
    </row>
    <row r="160" spans="2:7" x14ac:dyDescent="0.2">
      <c r="B160" s="137" t="s">
        <v>25</v>
      </c>
      <c r="C160" s="294">
        <v>600</v>
      </c>
      <c r="D160" s="294">
        <v>0</v>
      </c>
      <c r="E160" s="294">
        <v>138.86000000000001</v>
      </c>
      <c r="F160" s="294">
        <v>2284.1</v>
      </c>
      <c r="G160" s="294">
        <f t="shared" si="7"/>
        <v>3022.96</v>
      </c>
    </row>
    <row r="161" spans="2:7" ht="22.5" customHeight="1" x14ac:dyDescent="0.2">
      <c r="B161" s="134" t="s">
        <v>26</v>
      </c>
      <c r="C161" s="135">
        <f>C152+C153+C154+C160</f>
        <v>353481.13</v>
      </c>
      <c r="D161" s="135">
        <f>D152+D153+D154+D160</f>
        <v>30807</v>
      </c>
      <c r="E161" s="135">
        <f>E152+E153+E154+E160</f>
        <v>57625.520000000004</v>
      </c>
      <c r="F161" s="135">
        <f>F152+F153+F154+F160</f>
        <v>2284.1</v>
      </c>
      <c r="G161" s="135">
        <f t="shared" si="7"/>
        <v>444197.75</v>
      </c>
    </row>
    <row r="173" spans="2:7" ht="18.75" x14ac:dyDescent="0.3">
      <c r="B173" s="287" t="s">
        <v>64</v>
      </c>
    </row>
    <row r="174" spans="2:7" ht="7.5" customHeight="1" x14ac:dyDescent="0.2"/>
    <row r="175" spans="2:7" x14ac:dyDescent="0.2">
      <c r="B175" s="755" t="s">
        <v>14</v>
      </c>
      <c r="C175" s="756"/>
      <c r="D175" s="756"/>
      <c r="E175" s="757"/>
    </row>
    <row r="176" spans="2:7" x14ac:dyDescent="0.2">
      <c r="B176" s="761" t="s">
        <v>30</v>
      </c>
      <c r="C176" s="762"/>
      <c r="D176" s="763"/>
      <c r="E176" s="125">
        <v>1839.04</v>
      </c>
    </row>
    <row r="177" spans="2:9" x14ac:dyDescent="0.2">
      <c r="B177" s="761" t="s">
        <v>32</v>
      </c>
      <c r="C177" s="762"/>
      <c r="D177" s="763"/>
      <c r="E177" s="125">
        <v>14758.81</v>
      </c>
    </row>
    <row r="178" spans="2:9" x14ac:dyDescent="0.2">
      <c r="B178" s="410" t="s">
        <v>588</v>
      </c>
      <c r="C178" s="411"/>
      <c r="D178" s="412"/>
      <c r="E178" s="125">
        <v>10036.67</v>
      </c>
    </row>
    <row r="179" spans="2:9" x14ac:dyDescent="0.2">
      <c r="B179" s="749" t="s">
        <v>66</v>
      </c>
      <c r="C179" s="750"/>
      <c r="D179" s="751"/>
      <c r="E179" s="125">
        <v>372</v>
      </c>
    </row>
    <row r="180" spans="2:9" x14ac:dyDescent="0.2">
      <c r="B180" s="347" t="s">
        <v>450</v>
      </c>
      <c r="C180" s="291"/>
      <c r="D180" s="292"/>
      <c r="E180" s="125">
        <v>7051.82</v>
      </c>
    </row>
    <row r="181" spans="2:9" x14ac:dyDescent="0.2">
      <c r="B181" s="764" t="s">
        <v>26</v>
      </c>
      <c r="C181" s="765"/>
      <c r="D181" s="766"/>
      <c r="E181" s="132">
        <f>SUM(E176:E180)</f>
        <v>34058.339999999997</v>
      </c>
    </row>
    <row r="182" spans="2:9" ht="7.5" customHeight="1" x14ac:dyDescent="0.2"/>
    <row r="183" spans="2:9" s="293" customFormat="1" ht="38.25" x14ac:dyDescent="0.25">
      <c r="B183" s="120" t="s">
        <v>15</v>
      </c>
      <c r="C183" s="121" t="s">
        <v>213</v>
      </c>
      <c r="D183" s="121" t="s">
        <v>214</v>
      </c>
      <c r="E183" s="121" t="s">
        <v>17</v>
      </c>
      <c r="F183" s="121" t="s">
        <v>215</v>
      </c>
      <c r="G183" s="122" t="s">
        <v>26</v>
      </c>
    </row>
    <row r="184" spans="2:9" x14ac:dyDescent="0.2">
      <c r="B184" s="137" t="s">
        <v>18</v>
      </c>
      <c r="C184" s="296">
        <v>558684.18000000005</v>
      </c>
      <c r="D184" s="296">
        <v>60614</v>
      </c>
      <c r="E184" s="296">
        <v>44292</v>
      </c>
      <c r="F184" s="296">
        <v>0</v>
      </c>
      <c r="G184" s="296">
        <f>SUM(C184:F184)</f>
        <v>663590.18000000005</v>
      </c>
      <c r="H184" s="297"/>
      <c r="I184" s="298"/>
    </row>
    <row r="185" spans="2:9" x14ac:dyDescent="0.2">
      <c r="B185" s="137" t="s">
        <v>28</v>
      </c>
      <c r="C185" s="296">
        <v>196050.18</v>
      </c>
      <c r="D185" s="296">
        <v>22531</v>
      </c>
      <c r="E185" s="296">
        <v>16905</v>
      </c>
      <c r="F185" s="296">
        <v>0</v>
      </c>
      <c r="G185" s="296">
        <f t="shared" ref="G185:G192" si="10">SUM(C185:F185)</f>
        <v>235486.18</v>
      </c>
      <c r="H185" s="297"/>
      <c r="I185" s="298"/>
    </row>
    <row r="186" spans="2:9" x14ac:dyDescent="0.2">
      <c r="B186" s="137" t="s">
        <v>19</v>
      </c>
      <c r="C186" s="296">
        <f>SUM(C187:C191)</f>
        <v>236840.12</v>
      </c>
      <c r="D186" s="296">
        <f>SUM(D187:D191)</f>
        <v>800</v>
      </c>
      <c r="E186" s="296">
        <f>SUM(E187:E191)</f>
        <v>6915</v>
      </c>
      <c r="F186" s="296">
        <f>SUM(F187:F191)</f>
        <v>0</v>
      </c>
      <c r="G186" s="296">
        <f t="shared" si="10"/>
        <v>244555.12</v>
      </c>
      <c r="H186" s="299"/>
      <c r="I186" s="300"/>
    </row>
    <row r="187" spans="2:9" x14ac:dyDescent="0.2">
      <c r="B187" s="88" t="s">
        <v>20</v>
      </c>
      <c r="C187" s="301">
        <v>104.2</v>
      </c>
      <c r="D187" s="301">
        <v>0</v>
      </c>
      <c r="E187" s="301">
        <v>0</v>
      </c>
      <c r="F187" s="301">
        <v>0</v>
      </c>
      <c r="G187" s="301">
        <f>SUM(C187:F187)</f>
        <v>104.2</v>
      </c>
      <c r="H187" s="202"/>
      <c r="I187" s="298"/>
    </row>
    <row r="188" spans="2:9" x14ac:dyDescent="0.2">
      <c r="B188" s="88" t="s">
        <v>29</v>
      </c>
      <c r="C188" s="301">
        <v>47496.92</v>
      </c>
      <c r="D188" s="301">
        <v>0</v>
      </c>
      <c r="E188" s="301">
        <v>2915</v>
      </c>
      <c r="F188" s="301">
        <v>0</v>
      </c>
      <c r="G188" s="301">
        <f t="shared" si="10"/>
        <v>50411.92</v>
      </c>
      <c r="H188" s="202"/>
      <c r="I188" s="298"/>
    </row>
    <row r="189" spans="2:9" x14ac:dyDescent="0.2">
      <c r="B189" s="88" t="s">
        <v>21</v>
      </c>
      <c r="C189" s="301">
        <v>37797.78</v>
      </c>
      <c r="D189" s="301">
        <v>800</v>
      </c>
      <c r="E189" s="301">
        <v>2600</v>
      </c>
      <c r="F189" s="301">
        <v>0</v>
      </c>
      <c r="G189" s="301">
        <f t="shared" si="10"/>
        <v>41197.78</v>
      </c>
      <c r="I189" s="298"/>
    </row>
    <row r="190" spans="2:9" x14ac:dyDescent="0.2">
      <c r="B190" s="88" t="s">
        <v>27</v>
      </c>
      <c r="C190" s="301">
        <v>115600</v>
      </c>
      <c r="D190" s="301">
        <v>0</v>
      </c>
      <c r="E190" s="301">
        <v>1000</v>
      </c>
      <c r="F190" s="301">
        <v>0</v>
      </c>
      <c r="G190" s="301">
        <f t="shared" si="10"/>
        <v>116600</v>
      </c>
      <c r="I190" s="298"/>
    </row>
    <row r="191" spans="2:9" x14ac:dyDescent="0.2">
      <c r="B191" s="88" t="s">
        <v>24</v>
      </c>
      <c r="C191" s="301">
        <v>35841.22</v>
      </c>
      <c r="D191" s="301">
        <v>0</v>
      </c>
      <c r="E191" s="301">
        <v>400</v>
      </c>
      <c r="F191" s="301">
        <v>0</v>
      </c>
      <c r="G191" s="301">
        <f t="shared" si="10"/>
        <v>36241.22</v>
      </c>
      <c r="I191" s="298"/>
    </row>
    <row r="192" spans="2:9" x14ac:dyDescent="0.2">
      <c r="B192" s="137" t="s">
        <v>25</v>
      </c>
      <c r="C192" s="296">
        <v>2957.58</v>
      </c>
      <c r="D192" s="296">
        <v>1000</v>
      </c>
      <c r="E192" s="296">
        <v>500</v>
      </c>
      <c r="F192" s="296">
        <v>629.54</v>
      </c>
      <c r="G192" s="296">
        <f t="shared" si="10"/>
        <v>5087.12</v>
      </c>
      <c r="I192" s="298"/>
    </row>
    <row r="193" spans="2:9" ht="24" customHeight="1" x14ac:dyDescent="0.2">
      <c r="B193" s="134" t="s">
        <v>26</v>
      </c>
      <c r="C193" s="138">
        <f>C184+C185+C186+C192</f>
        <v>994532.06</v>
      </c>
      <c r="D193" s="138">
        <f>D184+D185+D186+D192</f>
        <v>84945</v>
      </c>
      <c r="E193" s="138">
        <f>E184+E185+E186+E192</f>
        <v>68612</v>
      </c>
      <c r="F193" s="138">
        <f>F184+F185+F186+F192</f>
        <v>629.54</v>
      </c>
      <c r="G193" s="138">
        <f>SUM(C193:F193)</f>
        <v>1148718.6000000001</v>
      </c>
      <c r="I193" s="190"/>
    </row>
    <row r="194" spans="2:9" x14ac:dyDescent="0.2">
      <c r="I194" s="298"/>
    </row>
    <row r="195" spans="2:9" x14ac:dyDescent="0.2">
      <c r="I195" s="126"/>
    </row>
    <row r="196" spans="2:9" x14ac:dyDescent="0.2">
      <c r="I196" s="126"/>
    </row>
    <row r="197" spans="2:9" x14ac:dyDescent="0.2">
      <c r="I197" s="126"/>
    </row>
    <row r="198" spans="2:9" x14ac:dyDescent="0.2">
      <c r="I198" s="126"/>
    </row>
    <row r="200" spans="2:9" ht="18.75" x14ac:dyDescent="0.3">
      <c r="B200" s="287" t="s">
        <v>65</v>
      </c>
    </row>
    <row r="201" spans="2:9" ht="7.5" customHeight="1" x14ac:dyDescent="0.2"/>
    <row r="202" spans="2:9" x14ac:dyDescent="0.2">
      <c r="B202" s="755" t="s">
        <v>14</v>
      </c>
      <c r="C202" s="756"/>
      <c r="D202" s="756"/>
      <c r="E202" s="757"/>
    </row>
    <row r="203" spans="2:9" x14ac:dyDescent="0.2">
      <c r="B203" s="761" t="s">
        <v>30</v>
      </c>
      <c r="C203" s="762"/>
      <c r="D203" s="763"/>
      <c r="E203" s="118">
        <v>2701.63</v>
      </c>
    </row>
    <row r="204" spans="2:9" x14ac:dyDescent="0.2">
      <c r="B204" s="761" t="s">
        <v>32</v>
      </c>
      <c r="C204" s="762"/>
      <c r="D204" s="763"/>
      <c r="E204" s="118">
        <v>9032.65</v>
      </c>
    </row>
    <row r="205" spans="2:9" s="117" customFormat="1" x14ac:dyDescent="0.25">
      <c r="B205" s="746" t="s">
        <v>34</v>
      </c>
      <c r="C205" s="747"/>
      <c r="D205" s="748"/>
      <c r="E205" s="116">
        <v>1.53</v>
      </c>
    </row>
    <row r="206" spans="2:9" s="117" customFormat="1" x14ac:dyDescent="0.2">
      <c r="B206" s="347" t="s">
        <v>450</v>
      </c>
      <c r="C206" s="289"/>
      <c r="D206" s="290"/>
      <c r="E206" s="116">
        <v>7697.21</v>
      </c>
    </row>
    <row r="207" spans="2:9" s="117" customFormat="1" x14ac:dyDescent="0.25">
      <c r="B207" s="288" t="s">
        <v>451</v>
      </c>
      <c r="C207" s="289"/>
      <c r="D207" s="290"/>
      <c r="E207" s="116">
        <v>250</v>
      </c>
    </row>
    <row r="208" spans="2:9" s="117" customFormat="1" ht="12.75" customHeight="1" x14ac:dyDescent="0.25">
      <c r="B208" s="416" t="s">
        <v>589</v>
      </c>
      <c r="C208" s="417"/>
      <c r="D208" s="418"/>
      <c r="E208" s="116">
        <f>964.57+170.23</f>
        <v>1134.8</v>
      </c>
    </row>
    <row r="209" spans="2:7" x14ac:dyDescent="0.2">
      <c r="B209" s="764" t="s">
        <v>26</v>
      </c>
      <c r="C209" s="765"/>
      <c r="D209" s="766"/>
      <c r="E209" s="136">
        <f>SUM(E203:E208)</f>
        <v>20817.82</v>
      </c>
    </row>
    <row r="210" spans="2:7" ht="7.5" customHeight="1" x14ac:dyDescent="0.2"/>
    <row r="211" spans="2:7" s="293" customFormat="1" ht="38.25" x14ac:dyDescent="0.25">
      <c r="B211" s="120" t="s">
        <v>15</v>
      </c>
      <c r="C211" s="121" t="s">
        <v>213</v>
      </c>
      <c r="D211" s="121" t="s">
        <v>214</v>
      </c>
      <c r="E211" s="121" t="s">
        <v>17</v>
      </c>
      <c r="F211" s="121" t="s">
        <v>215</v>
      </c>
      <c r="G211" s="122" t="s">
        <v>26</v>
      </c>
    </row>
    <row r="212" spans="2:7" x14ac:dyDescent="0.2">
      <c r="B212" s="137" t="s">
        <v>18</v>
      </c>
      <c r="C212" s="294">
        <f>549478.61+964.57+170.23</f>
        <v>550613.40999999992</v>
      </c>
      <c r="D212" s="294">
        <v>39517.839999999997</v>
      </c>
      <c r="E212" s="294">
        <v>45321.42</v>
      </c>
      <c r="F212" s="294">
        <v>0</v>
      </c>
      <c r="G212" s="294">
        <f>SUM(C212:F212)</f>
        <v>635452.66999999993</v>
      </c>
    </row>
    <row r="213" spans="2:7" x14ac:dyDescent="0.2">
      <c r="B213" s="137" t="s">
        <v>28</v>
      </c>
      <c r="C213" s="294">
        <f>190992.59+709.88</f>
        <v>191702.47</v>
      </c>
      <c r="D213" s="294">
        <v>14244.55</v>
      </c>
      <c r="E213" s="294">
        <v>18032.560000000001</v>
      </c>
      <c r="F213" s="294">
        <v>0</v>
      </c>
      <c r="G213" s="294">
        <f t="shared" ref="G213:G223" si="11">SUM(C213:F213)</f>
        <v>223979.58</v>
      </c>
    </row>
    <row r="214" spans="2:7" x14ac:dyDescent="0.2">
      <c r="B214" s="137" t="s">
        <v>19</v>
      </c>
      <c r="C214" s="294">
        <f>C215+C216+C217+C218+C219+C220+C221</f>
        <v>157643.19</v>
      </c>
      <c r="D214" s="294">
        <f>D215+D216+D217+D218+D219+D220+D221</f>
        <v>1510.47</v>
      </c>
      <c r="E214" s="294">
        <f>E215+E216+E217+E218+E219+E220+E221</f>
        <v>11884.400000000001</v>
      </c>
      <c r="F214" s="294">
        <f>F215+F216+F217+F218+F219+F220+F221</f>
        <v>2332.1</v>
      </c>
      <c r="G214" s="294">
        <f t="shared" si="11"/>
        <v>173370.16</v>
      </c>
    </row>
    <row r="215" spans="2:7" x14ac:dyDescent="0.2">
      <c r="B215" s="88" t="s">
        <v>20</v>
      </c>
      <c r="C215" s="295">
        <v>253.34</v>
      </c>
      <c r="D215" s="295">
        <v>0</v>
      </c>
      <c r="E215" s="295">
        <v>42.5</v>
      </c>
      <c r="F215" s="295">
        <v>0</v>
      </c>
      <c r="G215" s="295">
        <f t="shared" si="11"/>
        <v>295.84000000000003</v>
      </c>
    </row>
    <row r="216" spans="2:7" x14ac:dyDescent="0.2">
      <c r="B216" s="88" t="s">
        <v>29</v>
      </c>
      <c r="C216" s="295">
        <f>37747.52+15639.4+1816.89</f>
        <v>55203.81</v>
      </c>
      <c r="D216" s="295">
        <v>187.03</v>
      </c>
      <c r="E216" s="295">
        <v>6960.73</v>
      </c>
      <c r="F216" s="295">
        <v>0</v>
      </c>
      <c r="G216" s="295">
        <f t="shared" si="11"/>
        <v>62351.569999999992</v>
      </c>
    </row>
    <row r="217" spans="2:7" x14ac:dyDescent="0.2">
      <c r="B217" s="88" t="s">
        <v>21</v>
      </c>
      <c r="C217" s="295">
        <f>45984.59+3216.43+328.53+250</f>
        <v>49779.549999999996</v>
      </c>
      <c r="D217" s="295">
        <v>169.76</v>
      </c>
      <c r="E217" s="295">
        <v>2171.38</v>
      </c>
      <c r="F217" s="295">
        <v>2332.1</v>
      </c>
      <c r="G217" s="295">
        <f t="shared" si="11"/>
        <v>54452.789999999994</v>
      </c>
    </row>
    <row r="218" spans="2:7" x14ac:dyDescent="0.2">
      <c r="B218" s="88" t="s">
        <v>22</v>
      </c>
      <c r="C218" s="295">
        <f>256.22+50.64</f>
        <v>306.86</v>
      </c>
      <c r="D218" s="295">
        <v>0</v>
      </c>
      <c r="E218" s="295">
        <v>0</v>
      </c>
      <c r="F218" s="295">
        <v>0</v>
      </c>
      <c r="G218" s="295">
        <f t="shared" si="11"/>
        <v>306.86</v>
      </c>
    </row>
    <row r="219" spans="2:7" x14ac:dyDescent="0.2">
      <c r="B219" s="88" t="s">
        <v>27</v>
      </c>
      <c r="C219" s="295">
        <f>11321.16+1307.43+378.1</f>
        <v>13006.69</v>
      </c>
      <c r="D219" s="295">
        <v>698.76</v>
      </c>
      <c r="E219" s="295">
        <v>1600.58</v>
      </c>
      <c r="F219" s="295">
        <v>0</v>
      </c>
      <c r="G219" s="295">
        <f t="shared" si="11"/>
        <v>15306.03</v>
      </c>
    </row>
    <row r="220" spans="2:7" x14ac:dyDescent="0.2">
      <c r="B220" s="88" t="s">
        <v>23</v>
      </c>
      <c r="C220" s="295">
        <f>3008.28+284.64</f>
        <v>3292.92</v>
      </c>
      <c r="D220" s="295">
        <v>0</v>
      </c>
      <c r="E220" s="295">
        <v>0</v>
      </c>
      <c r="F220" s="295">
        <v>0</v>
      </c>
      <c r="G220" s="295">
        <f t="shared" si="11"/>
        <v>3292.92</v>
      </c>
    </row>
    <row r="221" spans="2:7" x14ac:dyDescent="0.2">
      <c r="B221" s="88" t="s">
        <v>24</v>
      </c>
      <c r="C221" s="295">
        <f>29513.57+2094.22+4192.23</f>
        <v>35800.020000000004</v>
      </c>
      <c r="D221" s="295">
        <v>454.92</v>
      </c>
      <c r="E221" s="295">
        <v>1109.21</v>
      </c>
      <c r="F221" s="295">
        <v>0</v>
      </c>
      <c r="G221" s="295">
        <f t="shared" si="11"/>
        <v>37364.15</v>
      </c>
    </row>
    <row r="222" spans="2:7" x14ac:dyDescent="0.2">
      <c r="B222" s="137" t="s">
        <v>25</v>
      </c>
      <c r="C222" s="294">
        <f>22687.34+232.5</f>
        <v>22919.84</v>
      </c>
      <c r="D222" s="294">
        <v>211.14</v>
      </c>
      <c r="E222" s="294">
        <v>1731.62</v>
      </c>
      <c r="F222" s="294">
        <v>0</v>
      </c>
      <c r="G222" s="294">
        <f t="shared" si="11"/>
        <v>24862.6</v>
      </c>
    </row>
    <row r="223" spans="2:7" ht="19.5" customHeight="1" x14ac:dyDescent="0.2">
      <c r="B223" s="134" t="s">
        <v>26</v>
      </c>
      <c r="C223" s="135">
        <f>C212+C213+C214+C222</f>
        <v>922878.9099999998</v>
      </c>
      <c r="D223" s="135">
        <f>D212+D213+D214+D222</f>
        <v>55484</v>
      </c>
      <c r="E223" s="135">
        <f>E212+E213+E214+E222</f>
        <v>76970</v>
      </c>
      <c r="F223" s="135">
        <f>F212+F213+F214+F222</f>
        <v>2332.1</v>
      </c>
      <c r="G223" s="135">
        <f t="shared" si="11"/>
        <v>1057665.0099999998</v>
      </c>
    </row>
    <row r="226" spans="2:18" x14ac:dyDescent="0.2">
      <c r="F226" s="191"/>
    </row>
    <row r="230" spans="2:18" ht="18.75" x14ac:dyDescent="0.3">
      <c r="B230" s="287" t="s">
        <v>217</v>
      </c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</row>
    <row r="231" spans="2:18" ht="18.75" x14ac:dyDescent="0.3">
      <c r="B231" s="130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</row>
    <row r="232" spans="2:18" x14ac:dyDescent="0.2">
      <c r="I232" s="299"/>
      <c r="J232" s="683"/>
      <c r="K232" s="299"/>
      <c r="L232" s="299"/>
      <c r="M232" s="299"/>
      <c r="N232" s="299"/>
      <c r="O232" s="299"/>
      <c r="P232" s="299"/>
      <c r="Q232" s="299"/>
      <c r="R232" s="299"/>
    </row>
    <row r="233" spans="2:18" x14ac:dyDescent="0.2">
      <c r="B233" s="755" t="s">
        <v>14</v>
      </c>
      <c r="C233" s="756"/>
      <c r="D233" s="756"/>
      <c r="E233" s="757"/>
      <c r="H233" s="191"/>
      <c r="I233" s="684"/>
      <c r="J233" s="299"/>
      <c r="K233" s="202"/>
      <c r="L233" s="685"/>
      <c r="M233" s="685"/>
      <c r="N233" s="299"/>
      <c r="O233" s="299"/>
      <c r="P233" s="299"/>
      <c r="Q233" s="299"/>
      <c r="R233" s="299"/>
    </row>
    <row r="234" spans="2:18" x14ac:dyDescent="0.2">
      <c r="B234" s="761" t="s">
        <v>30</v>
      </c>
      <c r="C234" s="762"/>
      <c r="D234" s="763"/>
      <c r="E234" s="118">
        <f>E203+E176+E144+E118+E91+E63+E32+E6</f>
        <v>100747.24</v>
      </c>
      <c r="F234" s="191"/>
      <c r="I234" s="684"/>
      <c r="J234" s="299"/>
      <c r="K234" s="685"/>
      <c r="L234" s="685"/>
      <c r="M234" s="685"/>
      <c r="N234" s="299"/>
      <c r="O234" s="299"/>
      <c r="P234" s="299"/>
      <c r="Q234" s="299"/>
      <c r="R234" s="299"/>
    </row>
    <row r="235" spans="2:18" ht="12.75" customHeight="1" x14ac:dyDescent="0.2">
      <c r="B235" s="761" t="s">
        <v>32</v>
      </c>
      <c r="C235" s="762"/>
      <c r="D235" s="763"/>
      <c r="E235" s="118">
        <f>E204+E177+E145+E119+E92+E64+E33+E7</f>
        <v>82774.12</v>
      </c>
      <c r="F235" s="191"/>
      <c r="H235" s="191"/>
      <c r="I235" s="684"/>
      <c r="J235" s="299"/>
      <c r="K235" s="685"/>
      <c r="L235" s="685"/>
      <c r="M235" s="685"/>
      <c r="N235" s="299"/>
      <c r="O235" s="299"/>
      <c r="P235" s="299"/>
      <c r="Q235" s="299"/>
      <c r="R235" s="299"/>
    </row>
    <row r="236" spans="2:18" x14ac:dyDescent="0.2">
      <c r="B236" s="758" t="s">
        <v>33</v>
      </c>
      <c r="C236" s="759"/>
      <c r="D236" s="760"/>
      <c r="E236" s="118">
        <f>E178</f>
        <v>10036.67</v>
      </c>
      <c r="F236" s="191"/>
      <c r="I236" s="684"/>
      <c r="J236" s="299"/>
      <c r="K236" s="685"/>
      <c r="L236" s="685"/>
      <c r="M236" s="685"/>
      <c r="N236" s="299"/>
      <c r="O236" s="299"/>
      <c r="P236" s="299"/>
      <c r="Q236" s="299"/>
      <c r="R236" s="299"/>
    </row>
    <row r="237" spans="2:18" x14ac:dyDescent="0.2">
      <c r="B237" s="746" t="s">
        <v>34</v>
      </c>
      <c r="C237" s="747"/>
      <c r="D237" s="748"/>
      <c r="E237" s="116">
        <f>E205+E146+E120+E93+E65+E34+E8</f>
        <v>16.759999999999998</v>
      </c>
      <c r="F237" s="191"/>
      <c r="I237" s="684"/>
      <c r="J237" s="299"/>
      <c r="K237" s="685"/>
      <c r="L237" s="685"/>
      <c r="M237" s="685"/>
      <c r="N237" s="299"/>
      <c r="O237" s="299"/>
      <c r="P237" s="299"/>
      <c r="Q237" s="299"/>
      <c r="R237" s="299"/>
    </row>
    <row r="238" spans="2:18" ht="12.75" customHeight="1" x14ac:dyDescent="0.2">
      <c r="B238" s="746" t="s">
        <v>66</v>
      </c>
      <c r="C238" s="747"/>
      <c r="D238" s="748"/>
      <c r="E238" s="116">
        <f>E179+E121+E94+E66</f>
        <v>20144.199999999997</v>
      </c>
      <c r="F238" s="302"/>
      <c r="G238" s="117"/>
      <c r="I238" s="684"/>
      <c r="J238" s="299"/>
      <c r="K238" s="685"/>
      <c r="L238" s="685"/>
      <c r="M238" s="685"/>
      <c r="N238" s="299"/>
      <c r="O238" s="299"/>
      <c r="P238" s="299"/>
      <c r="Q238" s="299"/>
      <c r="R238" s="299"/>
    </row>
    <row r="239" spans="2:18" ht="15" customHeight="1" x14ac:dyDescent="0.2">
      <c r="B239" s="746" t="s">
        <v>35</v>
      </c>
      <c r="C239" s="747"/>
      <c r="D239" s="748"/>
      <c r="E239" s="116">
        <f>E9</f>
        <v>3060.6</v>
      </c>
      <c r="F239" s="302"/>
      <c r="G239" s="117"/>
      <c r="I239" s="684"/>
      <c r="J239" s="299"/>
      <c r="K239" s="685"/>
      <c r="L239" s="685"/>
      <c r="M239" s="202"/>
      <c r="N239" s="202"/>
      <c r="O239" s="299"/>
      <c r="P239" s="299"/>
      <c r="Q239" s="299"/>
      <c r="R239" s="299"/>
    </row>
    <row r="240" spans="2:18" x14ac:dyDescent="0.2">
      <c r="B240" s="746" t="s">
        <v>216</v>
      </c>
      <c r="C240" s="747"/>
      <c r="D240" s="748"/>
      <c r="E240" s="116">
        <f>E147</f>
        <v>451.13</v>
      </c>
      <c r="F240" s="302"/>
      <c r="G240" s="117"/>
      <c r="I240" s="684"/>
      <c r="J240" s="299"/>
      <c r="K240" s="685"/>
      <c r="L240" s="685"/>
      <c r="M240" s="202"/>
      <c r="N240" s="202"/>
      <c r="O240" s="299"/>
      <c r="P240" s="299"/>
      <c r="Q240" s="299"/>
      <c r="R240" s="299"/>
    </row>
    <row r="241" spans="2:18" x14ac:dyDescent="0.2">
      <c r="B241" s="347" t="s">
        <v>450</v>
      </c>
      <c r="C241" s="289"/>
      <c r="D241" s="290"/>
      <c r="E241" s="116">
        <f>E206+E180+E148+E95+E67+E35+E10</f>
        <v>91763.71</v>
      </c>
      <c r="F241" s="302"/>
      <c r="G241" s="117"/>
      <c r="H241" s="191"/>
      <c r="I241" s="299"/>
      <c r="J241" s="683"/>
      <c r="K241" s="686"/>
      <c r="L241" s="686"/>
      <c r="M241" s="686"/>
      <c r="N241" s="299"/>
      <c r="O241" s="299"/>
      <c r="P241" s="299"/>
      <c r="Q241" s="299"/>
      <c r="R241" s="299"/>
    </row>
    <row r="242" spans="2:18" x14ac:dyDescent="0.2">
      <c r="B242" s="288" t="s">
        <v>451</v>
      </c>
      <c r="C242" s="289"/>
      <c r="D242" s="290"/>
      <c r="E242" s="116">
        <f>E207</f>
        <v>250</v>
      </c>
      <c r="F242" s="302"/>
      <c r="G242" s="117"/>
      <c r="I242" s="299"/>
      <c r="J242" s="299"/>
      <c r="K242" s="299"/>
      <c r="L242" s="299"/>
      <c r="M242" s="202"/>
      <c r="N242" s="299"/>
      <c r="O242" s="299"/>
      <c r="P242" s="299"/>
      <c r="Q242" s="299"/>
      <c r="R242" s="299"/>
    </row>
    <row r="243" spans="2:18" x14ac:dyDescent="0.2">
      <c r="B243" s="416" t="s">
        <v>589</v>
      </c>
      <c r="C243" s="417"/>
      <c r="D243" s="418"/>
      <c r="E243" s="116">
        <f>E208</f>
        <v>1134.8</v>
      </c>
      <c r="F243" s="302"/>
      <c r="G243" s="117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</row>
    <row r="244" spans="2:18" ht="15" x14ac:dyDescent="0.25">
      <c r="B244" s="752" t="s">
        <v>26</v>
      </c>
      <c r="C244" s="753"/>
      <c r="D244" s="754"/>
      <c r="E244" s="140">
        <f>SUM(E234:E243)</f>
        <v>310379.23</v>
      </c>
      <c r="F244" s="302"/>
      <c r="G244" s="117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</row>
    <row r="245" spans="2:18" x14ac:dyDescent="0.2">
      <c r="F245" s="302"/>
      <c r="G245" s="117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</row>
    <row r="246" spans="2:18" ht="38.25" x14ac:dyDescent="0.2">
      <c r="B246" s="120" t="s">
        <v>15</v>
      </c>
      <c r="C246" s="121" t="s">
        <v>213</v>
      </c>
      <c r="D246" s="121" t="s">
        <v>214</v>
      </c>
      <c r="E246" s="121" t="s">
        <v>17</v>
      </c>
      <c r="F246" s="121" t="s">
        <v>215</v>
      </c>
      <c r="G246" s="122" t="s">
        <v>26</v>
      </c>
      <c r="I246" s="299"/>
      <c r="J246" s="202"/>
      <c r="K246" s="299"/>
      <c r="L246" s="299"/>
      <c r="M246" s="299"/>
      <c r="N246" s="299"/>
      <c r="O246" s="299"/>
      <c r="P246" s="299"/>
      <c r="Q246" s="299"/>
      <c r="R246" s="299"/>
    </row>
    <row r="247" spans="2:18" x14ac:dyDescent="0.2">
      <c r="B247" s="137" t="s">
        <v>18</v>
      </c>
      <c r="C247" s="463">
        <f>C14+C39+C71+C99+C125+C152+C184+C212</f>
        <v>3606740.4799999995</v>
      </c>
      <c r="D247" s="463">
        <f>D14+D39+D71+D99+D125+D152+D184+D212</f>
        <v>361109.95999999996</v>
      </c>
      <c r="E247" s="463">
        <f>E14+E39+E71+E99+E125+E152+E184+E212</f>
        <v>275206.43</v>
      </c>
      <c r="F247" s="463">
        <f>F14+F39+F71+F99+F125+F152+F184+F212</f>
        <v>0</v>
      </c>
      <c r="G247" s="294">
        <f>SUM(C247:F247)</f>
        <v>4243056.8699999992</v>
      </c>
    </row>
    <row r="248" spans="2:18" x14ac:dyDescent="0.2">
      <c r="B248" s="137" t="s">
        <v>28</v>
      </c>
      <c r="C248" s="463">
        <f>C15+C40+C72+C100+C126+C153+C185+C213</f>
        <v>1277434.22</v>
      </c>
      <c r="D248" s="463">
        <f>D15+D40+D72+D100+D126+D153+D185+D213</f>
        <v>128302.34</v>
      </c>
      <c r="E248" s="463">
        <f>E15+E40+E72+E100+E126+E153+E185+E213</f>
        <v>99469.95</v>
      </c>
      <c r="F248" s="463">
        <f>F15+F40+F72+F100+F126+F153+F185+F213</f>
        <v>0</v>
      </c>
      <c r="G248" s="294">
        <f>SUM(C248:F248)</f>
        <v>1505206.51</v>
      </c>
    </row>
    <row r="249" spans="2:18" x14ac:dyDescent="0.2">
      <c r="B249" s="137" t="s">
        <v>19</v>
      </c>
      <c r="C249" s="463">
        <f>SUM(C250:C256)</f>
        <v>1434794</v>
      </c>
      <c r="D249" s="463">
        <f>SUM(D250:D256)</f>
        <v>36401.29</v>
      </c>
      <c r="E249" s="463">
        <f>SUM(E250:E256)</f>
        <v>209249.33000000002</v>
      </c>
      <c r="F249" s="463">
        <f>SUM(F250:F256)</f>
        <v>8442.7000000000007</v>
      </c>
      <c r="G249" s="294">
        <f>SUM(C249:F249)</f>
        <v>1688887.32</v>
      </c>
      <c r="H249" s="191"/>
      <c r="I249" s="191"/>
    </row>
    <row r="250" spans="2:18" x14ac:dyDescent="0.2">
      <c r="B250" s="88" t="s">
        <v>20</v>
      </c>
      <c r="C250" s="464">
        <f>C215+C187+C155+C128+C102+C74+C42+C17</f>
        <v>850.92</v>
      </c>
      <c r="D250" s="464">
        <f>D215+D187+D155+D128+D102+D74+D42+D17</f>
        <v>0</v>
      </c>
      <c r="E250" s="464">
        <f>E215+E187+E155+E128+E102+E74+E42+E17</f>
        <v>107.1</v>
      </c>
      <c r="F250" s="464">
        <f>F215+F187+F155+F128+F102+F74+F42+F17</f>
        <v>0</v>
      </c>
      <c r="G250" s="295">
        <f>SUM(C250:F250)</f>
        <v>958.02</v>
      </c>
      <c r="H250" s="191"/>
    </row>
    <row r="251" spans="2:18" x14ac:dyDescent="0.2">
      <c r="B251" s="88" t="s">
        <v>29</v>
      </c>
      <c r="C251" s="464">
        <f>C216+C188+C156+C129+C103+C75+C43+C18</f>
        <v>567355</v>
      </c>
      <c r="D251" s="464">
        <f>D18+D43+D75+D103+D129+D156+D188+D216</f>
        <v>17924.21</v>
      </c>
      <c r="E251" s="464">
        <f>E18+E43+E75+E103+E129+E156+E188+E216</f>
        <v>60879.58</v>
      </c>
      <c r="F251" s="464">
        <f>F18+F43+F75+F103+F129+F156+F188+F216</f>
        <v>0</v>
      </c>
      <c r="G251" s="295">
        <f t="shared" ref="G251:G256" si="12">SUM(C251:F251)</f>
        <v>646158.78999999992</v>
      </c>
      <c r="H251" s="191"/>
    </row>
    <row r="252" spans="2:18" x14ac:dyDescent="0.2">
      <c r="B252" s="88" t="s">
        <v>21</v>
      </c>
      <c r="C252" s="464">
        <f>C19+C44+C76+C104+C130+C157+C189+C217</f>
        <v>274407.41000000003</v>
      </c>
      <c r="D252" s="464">
        <f>D19+D44+D76+D104+D130+D157+D189+D217</f>
        <v>6141.95</v>
      </c>
      <c r="E252" s="464">
        <f>E19+E44+E76+E104+E130+E157+E189+E217</f>
        <v>13359.25</v>
      </c>
      <c r="F252" s="464">
        <f>F19+F44+F76+F104+F130+F157+F189+F217</f>
        <v>8442.7000000000007</v>
      </c>
      <c r="G252" s="295">
        <f t="shared" si="12"/>
        <v>302351.31000000006</v>
      </c>
      <c r="H252" s="191"/>
    </row>
    <row r="253" spans="2:18" x14ac:dyDescent="0.2">
      <c r="B253" s="88" t="s">
        <v>22</v>
      </c>
      <c r="C253" s="464">
        <f>C218+C20</f>
        <v>332.85</v>
      </c>
      <c r="D253" s="464">
        <f>D218+D20</f>
        <v>0</v>
      </c>
      <c r="E253" s="464">
        <f>E218+E20</f>
        <v>0</v>
      </c>
      <c r="F253" s="464">
        <f>F218+F20</f>
        <v>0</v>
      </c>
      <c r="G253" s="295">
        <f t="shared" si="12"/>
        <v>332.85</v>
      </c>
      <c r="H253" s="191"/>
    </row>
    <row r="254" spans="2:18" x14ac:dyDescent="0.2">
      <c r="B254" s="88" t="s">
        <v>27</v>
      </c>
      <c r="C254" s="464">
        <f>C21+C45+C77+C105+C131+C158+C190+C219</f>
        <v>335315.86</v>
      </c>
      <c r="D254" s="464">
        <f>D21+D45+D77+D105+D131+D158+D190+D219</f>
        <v>698.76</v>
      </c>
      <c r="E254" s="464">
        <f>E21+E45+E77+E105+E131+E158+E190+E219</f>
        <v>9457.51</v>
      </c>
      <c r="F254" s="464">
        <f>F21+F45+F77+F105+F131+F158+F190+F219</f>
        <v>0</v>
      </c>
      <c r="G254" s="295">
        <f t="shared" si="12"/>
        <v>345472.13</v>
      </c>
      <c r="H254" s="191"/>
    </row>
    <row r="255" spans="2:18" x14ac:dyDescent="0.2">
      <c r="B255" s="88" t="s">
        <v>23</v>
      </c>
      <c r="C255" s="464">
        <f>C220+C132+C78</f>
        <v>16199.58</v>
      </c>
      <c r="D255" s="464">
        <f>D220+D78</f>
        <v>0</v>
      </c>
      <c r="E255" s="464">
        <f>E220+E78</f>
        <v>0</v>
      </c>
      <c r="F255" s="464">
        <f>F220+F78</f>
        <v>0</v>
      </c>
      <c r="G255" s="295">
        <f t="shared" si="12"/>
        <v>16199.58</v>
      </c>
      <c r="H255" s="191"/>
    </row>
    <row r="256" spans="2:18" x14ac:dyDescent="0.2">
      <c r="B256" s="88" t="s">
        <v>24</v>
      </c>
      <c r="C256" s="464">
        <f>C22+C46+C79+C106+C133+C159+C191+C221</f>
        <v>240332.38</v>
      </c>
      <c r="D256" s="464">
        <f>D22+D46+D79+D106+D133+D159+D191+D221</f>
        <v>11636.37</v>
      </c>
      <c r="E256" s="464">
        <f>E22+E46+E79+E106+E133+E159+E191+E221</f>
        <v>125445.89000000001</v>
      </c>
      <c r="F256" s="464">
        <f>F22+F46+F79+F106+F133+F159+F191+F221</f>
        <v>0</v>
      </c>
      <c r="G256" s="295">
        <f t="shared" si="12"/>
        <v>377414.64</v>
      </c>
      <c r="H256" s="191"/>
    </row>
    <row r="257" spans="2:12" x14ac:dyDescent="0.2">
      <c r="B257" s="137" t="s">
        <v>25</v>
      </c>
      <c r="C257" s="463">
        <f>C23+C47+C80+C107+C134+C160+C192+C222</f>
        <v>47591.97</v>
      </c>
      <c r="D257" s="463">
        <f>D23+D47+D80+D107+D134+D160+D192+D222</f>
        <v>3489.93</v>
      </c>
      <c r="E257" s="463">
        <f>E23+E47+E80+E107+E134+E160+E192+E222</f>
        <v>2882.81</v>
      </c>
      <c r="F257" s="463">
        <f>F23+F47+F80+F107+F134+F160+F192+F222</f>
        <v>5445.2</v>
      </c>
      <c r="G257" s="294">
        <f>SUM(C257:F257)</f>
        <v>59409.909999999996</v>
      </c>
      <c r="H257" s="191"/>
    </row>
    <row r="258" spans="2:12" ht="15" x14ac:dyDescent="0.2">
      <c r="B258" s="134" t="s">
        <v>26</v>
      </c>
      <c r="C258" s="465">
        <f>C247+C248+C249+C257</f>
        <v>6366560.669999999</v>
      </c>
      <c r="D258" s="465">
        <f>D247+D248+D249+D257</f>
        <v>529303.52</v>
      </c>
      <c r="E258" s="465">
        <f t="shared" ref="E258:F258" si="13">E247+E248+E249+E257</f>
        <v>586808.52</v>
      </c>
      <c r="F258" s="465">
        <f t="shared" si="13"/>
        <v>13887.900000000001</v>
      </c>
      <c r="G258" s="135">
        <f>SUM(C258:F258)</f>
        <v>7496560.6099999994</v>
      </c>
      <c r="H258" s="191"/>
      <c r="L258" s="190"/>
    </row>
    <row r="259" spans="2:12" x14ac:dyDescent="0.2">
      <c r="G259" s="191"/>
      <c r="I259" s="191"/>
    </row>
    <row r="260" spans="2:12" x14ac:dyDescent="0.2">
      <c r="G260" s="191"/>
      <c r="I260" s="191"/>
      <c r="J260" s="191"/>
      <c r="K260" s="191"/>
      <c r="L260" s="191"/>
    </row>
    <row r="288" spans="2:2" ht="18.75" x14ac:dyDescent="0.3">
      <c r="B288" s="287" t="s">
        <v>170</v>
      </c>
    </row>
    <row r="290" spans="2:8" x14ac:dyDescent="0.2">
      <c r="B290" s="755" t="s">
        <v>14</v>
      </c>
      <c r="C290" s="756"/>
      <c r="D290" s="756"/>
      <c r="E290" s="757"/>
    </row>
    <row r="291" spans="2:8" x14ac:dyDescent="0.2">
      <c r="B291" s="758" t="s">
        <v>31</v>
      </c>
      <c r="C291" s="759"/>
      <c r="D291" s="760"/>
      <c r="E291" s="124">
        <v>87381.25</v>
      </c>
    </row>
    <row r="292" spans="2:8" x14ac:dyDescent="0.2">
      <c r="B292" s="746" t="s">
        <v>34</v>
      </c>
      <c r="C292" s="747"/>
      <c r="D292" s="748"/>
      <c r="E292" s="116">
        <v>1.98</v>
      </c>
      <c r="F292" s="117"/>
      <c r="G292" s="117"/>
      <c r="H292" s="117"/>
    </row>
    <row r="293" spans="2:8" x14ac:dyDescent="0.2">
      <c r="B293" s="749" t="s">
        <v>66</v>
      </c>
      <c r="C293" s="750"/>
      <c r="D293" s="751"/>
      <c r="E293" s="118">
        <v>12579.48</v>
      </c>
    </row>
    <row r="294" spans="2:8" s="117" customFormat="1" ht="15" x14ac:dyDescent="0.25">
      <c r="B294" s="752" t="s">
        <v>26</v>
      </c>
      <c r="C294" s="753"/>
      <c r="D294" s="754"/>
      <c r="E294" s="141">
        <f>SUM(E291:E293)</f>
        <v>99962.709999999992</v>
      </c>
      <c r="F294" s="119"/>
      <c r="G294" s="119"/>
      <c r="H294" s="119"/>
    </row>
    <row r="296" spans="2:8" ht="38.25" x14ac:dyDescent="0.2">
      <c r="B296" s="120" t="s">
        <v>15</v>
      </c>
      <c r="C296" s="121" t="s">
        <v>212</v>
      </c>
      <c r="D296" s="127"/>
      <c r="E296" s="128"/>
      <c r="F296" s="128"/>
      <c r="G296" s="129"/>
      <c r="H296" s="293"/>
    </row>
    <row r="297" spans="2:8" x14ac:dyDescent="0.2">
      <c r="B297" s="137" t="s">
        <v>18</v>
      </c>
      <c r="C297" s="303">
        <v>466188.19</v>
      </c>
      <c r="D297" s="304"/>
      <c r="E297" s="305"/>
      <c r="F297" s="305"/>
      <c r="G297" s="305"/>
    </row>
    <row r="298" spans="2:8" s="293" customFormat="1" x14ac:dyDescent="0.2">
      <c r="B298" s="137" t="s">
        <v>28</v>
      </c>
      <c r="C298" s="303">
        <v>161500.34</v>
      </c>
      <c r="D298" s="304"/>
      <c r="E298" s="305"/>
      <c r="F298" s="305"/>
      <c r="G298" s="305"/>
      <c r="H298" s="119"/>
    </row>
    <row r="299" spans="2:8" x14ac:dyDescent="0.2">
      <c r="B299" s="137" t="s">
        <v>19</v>
      </c>
      <c r="C299" s="303">
        <f>SUM(C300:C305)</f>
        <v>90722.01999999999</v>
      </c>
      <c r="D299" s="304"/>
      <c r="E299" s="305"/>
      <c r="F299" s="305"/>
      <c r="G299" s="305"/>
    </row>
    <row r="300" spans="2:8" x14ac:dyDescent="0.2">
      <c r="B300" s="88" t="s">
        <v>20</v>
      </c>
      <c r="C300" s="295">
        <v>388.38</v>
      </c>
      <c r="D300" s="304"/>
      <c r="E300" s="305"/>
      <c r="F300" s="305"/>
      <c r="G300" s="305"/>
    </row>
    <row r="301" spans="2:8" x14ac:dyDescent="0.2">
      <c r="B301" s="88" t="s">
        <v>29</v>
      </c>
      <c r="C301" s="295">
        <v>37546.959999999999</v>
      </c>
      <c r="D301" s="304"/>
      <c r="E301" s="305"/>
      <c r="F301" s="305"/>
      <c r="G301" s="305"/>
    </row>
    <row r="302" spans="2:8" x14ac:dyDescent="0.2">
      <c r="B302" s="88" t="s">
        <v>21</v>
      </c>
      <c r="C302" s="295">
        <v>7422.36</v>
      </c>
      <c r="D302" s="304"/>
      <c r="E302" s="305"/>
      <c r="F302" s="305"/>
      <c r="G302" s="305"/>
    </row>
    <row r="303" spans="2:8" x14ac:dyDescent="0.2">
      <c r="B303" s="88" t="s">
        <v>27</v>
      </c>
      <c r="C303" s="295">
        <v>2397.2600000000002</v>
      </c>
      <c r="D303" s="304"/>
      <c r="E303" s="305"/>
      <c r="F303" s="305"/>
      <c r="G303" s="305"/>
    </row>
    <row r="304" spans="2:8" x14ac:dyDescent="0.2">
      <c r="B304" s="88" t="s">
        <v>23</v>
      </c>
      <c r="C304" s="295">
        <v>216.68</v>
      </c>
      <c r="D304" s="304"/>
      <c r="E304" s="305"/>
      <c r="F304" s="305"/>
      <c r="G304" s="305"/>
    </row>
    <row r="305" spans="2:8" x14ac:dyDescent="0.2">
      <c r="B305" s="88" t="s">
        <v>24</v>
      </c>
      <c r="C305" s="295">
        <v>42750.38</v>
      </c>
      <c r="D305" s="304"/>
      <c r="E305" s="305"/>
      <c r="F305" s="305"/>
      <c r="G305" s="305"/>
    </row>
    <row r="306" spans="2:8" x14ac:dyDescent="0.2">
      <c r="B306" s="137" t="s">
        <v>25</v>
      </c>
      <c r="C306" s="303">
        <v>2792.95</v>
      </c>
      <c r="D306" s="304"/>
      <c r="E306" s="305"/>
      <c r="F306" s="305"/>
      <c r="G306" s="305"/>
    </row>
    <row r="307" spans="2:8" ht="15" x14ac:dyDescent="0.2">
      <c r="B307" s="134" t="s">
        <v>26</v>
      </c>
      <c r="C307" s="135">
        <f>C297+C298+C299+C306</f>
        <v>721203.5</v>
      </c>
      <c r="D307" s="13"/>
      <c r="E307" s="16"/>
      <c r="F307" s="16"/>
      <c r="G307" s="16"/>
      <c r="H307" s="190"/>
    </row>
    <row r="309" spans="2:8" ht="18.75" customHeight="1" x14ac:dyDescent="0.2"/>
    <row r="312" spans="2:8" ht="18.75" x14ac:dyDescent="0.3">
      <c r="B312" s="287" t="s">
        <v>171</v>
      </c>
    </row>
    <row r="314" spans="2:8" x14ac:dyDescent="0.2">
      <c r="B314" s="755" t="s">
        <v>14</v>
      </c>
      <c r="C314" s="756"/>
      <c r="D314" s="756"/>
      <c r="E314" s="757"/>
    </row>
    <row r="315" spans="2:8" ht="15" customHeight="1" x14ac:dyDescent="0.2">
      <c r="B315" s="761" t="s">
        <v>172</v>
      </c>
      <c r="C315" s="762"/>
      <c r="D315" s="763"/>
      <c r="E315" s="124">
        <v>2358</v>
      </c>
    </row>
    <row r="316" spans="2:8" x14ac:dyDescent="0.2">
      <c r="B316" s="746" t="s">
        <v>423</v>
      </c>
      <c r="C316" s="747"/>
      <c r="D316" s="748"/>
      <c r="E316" s="116">
        <v>185</v>
      </c>
      <c r="F316" s="117"/>
      <c r="G316" s="117"/>
      <c r="H316" s="117"/>
    </row>
    <row r="317" spans="2:8" x14ac:dyDescent="0.2">
      <c r="B317" s="749" t="s">
        <v>424</v>
      </c>
      <c r="C317" s="750"/>
      <c r="D317" s="751"/>
      <c r="E317" s="118">
        <v>9976.89</v>
      </c>
    </row>
    <row r="318" spans="2:8" s="117" customFormat="1" ht="15" x14ac:dyDescent="0.25">
      <c r="B318" s="752" t="s">
        <v>26</v>
      </c>
      <c r="C318" s="753"/>
      <c r="D318" s="754"/>
      <c r="E318" s="141">
        <f>SUM(E315:E317)</f>
        <v>12519.89</v>
      </c>
      <c r="F318" s="119"/>
      <c r="G318" s="119"/>
      <c r="H318" s="119"/>
    </row>
    <row r="320" spans="2:8" ht="51" x14ac:dyDescent="0.2">
      <c r="B320" s="120" t="s">
        <v>15</v>
      </c>
      <c r="C320" s="121" t="s">
        <v>16</v>
      </c>
      <c r="D320" s="127"/>
      <c r="E320" s="128"/>
      <c r="F320" s="128"/>
      <c r="G320" s="129"/>
      <c r="H320" s="293"/>
    </row>
    <row r="321" spans="2:8" x14ac:dyDescent="0.2">
      <c r="B321" s="137" t="s">
        <v>18</v>
      </c>
      <c r="C321" s="303">
        <v>47261.68</v>
      </c>
      <c r="D321" s="304"/>
      <c r="E321" s="305"/>
      <c r="F321" s="305"/>
      <c r="G321" s="305"/>
    </row>
    <row r="322" spans="2:8" s="293" customFormat="1" x14ac:dyDescent="0.2">
      <c r="B322" s="137" t="s">
        <v>28</v>
      </c>
      <c r="C322" s="303">
        <v>16628</v>
      </c>
      <c r="D322" s="304"/>
      <c r="E322" s="305"/>
      <c r="F322" s="305"/>
      <c r="G322" s="305"/>
      <c r="H322" s="119"/>
    </row>
    <row r="323" spans="2:8" x14ac:dyDescent="0.2">
      <c r="B323" s="137" t="s">
        <v>19</v>
      </c>
      <c r="C323" s="303">
        <f>SUM(C324:C328)</f>
        <v>34204.14</v>
      </c>
      <c r="D323" s="304"/>
      <c r="E323" s="305"/>
      <c r="F323" s="305"/>
      <c r="G323" s="305"/>
    </row>
    <row r="324" spans="2:8" x14ac:dyDescent="0.2">
      <c r="B324" s="88" t="s">
        <v>20</v>
      </c>
      <c r="C324" s="295">
        <v>192</v>
      </c>
      <c r="D324" s="304"/>
      <c r="E324" s="305"/>
      <c r="F324" s="305"/>
      <c r="G324" s="305"/>
    </row>
    <row r="325" spans="2:8" x14ac:dyDescent="0.2">
      <c r="B325" s="88" t="s">
        <v>29</v>
      </c>
      <c r="C325" s="295">
        <v>6749</v>
      </c>
      <c r="D325" s="304"/>
      <c r="E325" s="305"/>
      <c r="F325" s="305"/>
      <c r="G325" s="305"/>
    </row>
    <row r="326" spans="2:8" x14ac:dyDescent="0.2">
      <c r="B326" s="88" t="s">
        <v>21</v>
      </c>
      <c r="C326" s="295">
        <v>3999.25</v>
      </c>
      <c r="D326" s="304"/>
      <c r="E326" s="305"/>
      <c r="F326" s="305"/>
      <c r="G326" s="305"/>
    </row>
    <row r="327" spans="2:8" x14ac:dyDescent="0.2">
      <c r="B327" s="88" t="s">
        <v>27</v>
      </c>
      <c r="C327" s="295">
        <v>1230</v>
      </c>
      <c r="D327" s="304"/>
      <c r="E327" s="305"/>
      <c r="F327" s="305"/>
      <c r="G327" s="305"/>
    </row>
    <row r="328" spans="2:8" x14ac:dyDescent="0.2">
      <c r="B328" s="88" t="s">
        <v>24</v>
      </c>
      <c r="C328" s="295">
        <v>22033.89</v>
      </c>
      <c r="D328" s="304"/>
      <c r="E328" s="305"/>
      <c r="F328" s="305"/>
      <c r="G328" s="305"/>
    </row>
    <row r="329" spans="2:8" x14ac:dyDescent="0.2">
      <c r="B329" s="137" t="s">
        <v>25</v>
      </c>
      <c r="C329" s="303">
        <v>2640</v>
      </c>
      <c r="D329" s="304"/>
      <c r="E329" s="305"/>
      <c r="F329" s="305"/>
      <c r="G329" s="305"/>
    </row>
    <row r="330" spans="2:8" ht="15" x14ac:dyDescent="0.25">
      <c r="B330" s="134" t="s">
        <v>26</v>
      </c>
      <c r="C330" s="141">
        <f>C321+C322+C323+C329</f>
        <v>100733.82</v>
      </c>
      <c r="D330" s="13"/>
      <c r="E330" s="16"/>
      <c r="F330" s="16"/>
      <c r="G330" s="16"/>
      <c r="H330" s="190"/>
    </row>
  </sheetData>
  <mergeCells count="62">
    <mergeCell ref="B179:D179"/>
    <mergeCell ref="B143:E143"/>
    <mergeCell ref="B146:D146"/>
    <mergeCell ref="B147:D147"/>
    <mergeCell ref="B149:D149"/>
    <mergeCell ref="B175:E175"/>
    <mergeCell ref="B63:D63"/>
    <mergeCell ref="B176:D176"/>
    <mergeCell ref="B145:D145"/>
    <mergeCell ref="B93:D93"/>
    <mergeCell ref="B94:D94"/>
    <mergeCell ref="B119:D119"/>
    <mergeCell ref="B32:D32"/>
    <mergeCell ref="B204:D204"/>
    <mergeCell ref="B202:E202"/>
    <mergeCell ref="B203:D203"/>
    <mergeCell ref="B177:D177"/>
    <mergeCell ref="B120:D120"/>
    <mergeCell ref="B121:D121"/>
    <mergeCell ref="B144:D144"/>
    <mergeCell ref="B181:D181"/>
    <mergeCell ref="B96:D96"/>
    <mergeCell ref="B117:E117"/>
    <mergeCell ref="B122:D122"/>
    <mergeCell ref="B64:D64"/>
    <mergeCell ref="B118:D118"/>
    <mergeCell ref="B5:E5"/>
    <mergeCell ref="B6:D6"/>
    <mergeCell ref="B7:D7"/>
    <mergeCell ref="B11:D11"/>
    <mergeCell ref="B8:D8"/>
    <mergeCell ref="B31:E31"/>
    <mergeCell ref="B205:D205"/>
    <mergeCell ref="B235:D235"/>
    <mergeCell ref="B237:D237"/>
    <mergeCell ref="B234:D234"/>
    <mergeCell ref="B236:D236"/>
    <mergeCell ref="B33:D33"/>
    <mergeCell ref="B91:D91"/>
    <mergeCell ref="B92:D92"/>
    <mergeCell ref="B36:D36"/>
    <mergeCell ref="B62:E62"/>
    <mergeCell ref="B68:D68"/>
    <mergeCell ref="B90:E90"/>
    <mergeCell ref="B65:D65"/>
    <mergeCell ref="B34:D34"/>
    <mergeCell ref="B239:D239"/>
    <mergeCell ref="B240:D240"/>
    <mergeCell ref="B238:D238"/>
    <mergeCell ref="B209:D209"/>
    <mergeCell ref="B233:E233"/>
    <mergeCell ref="B316:D316"/>
    <mergeCell ref="B317:D317"/>
    <mergeCell ref="B318:D318"/>
    <mergeCell ref="B244:D244"/>
    <mergeCell ref="B290:E290"/>
    <mergeCell ref="B291:D291"/>
    <mergeCell ref="B292:D292"/>
    <mergeCell ref="B293:D293"/>
    <mergeCell ref="B294:D294"/>
    <mergeCell ref="B314:E314"/>
    <mergeCell ref="B315:D315"/>
  </mergeCells>
  <phoneticPr fontId="6" type="noConversion"/>
  <pageMargins left="0.74" right="0.18" top="0.56999999999999995" bottom="0.46" header="0.48" footer="0.4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58"/>
  <sheetViews>
    <sheetView workbookViewId="0"/>
  </sheetViews>
  <sheetFormatPr defaultRowHeight="15" x14ac:dyDescent="0.25"/>
  <cols>
    <col min="1" max="1" width="1.5703125" style="5" customWidth="1"/>
    <col min="2" max="2" width="6.28515625" style="5" customWidth="1"/>
    <col min="3" max="3" width="47.7109375" style="5" customWidth="1"/>
    <col min="4" max="4" width="69.28515625" style="5" customWidth="1"/>
    <col min="5" max="5" width="14.7109375" style="5" customWidth="1"/>
    <col min="6" max="6" width="15.140625" style="5" customWidth="1"/>
    <col min="7" max="7" width="9.140625" style="5"/>
    <col min="8" max="8" width="9.7109375" style="5" bestFit="1" customWidth="1"/>
    <col min="9" max="16384" width="9.140625" style="5"/>
  </cols>
  <sheetData>
    <row r="2" spans="1:10" customFormat="1" ht="18.75" x14ac:dyDescent="0.3">
      <c r="A2" s="215"/>
      <c r="B2" s="774" t="s">
        <v>488</v>
      </c>
      <c r="C2" s="774"/>
      <c r="D2" s="774"/>
      <c r="E2" s="774"/>
      <c r="F2" s="585" t="s">
        <v>860</v>
      </c>
      <c r="G2" s="12"/>
      <c r="H2" s="12"/>
    </row>
    <row r="3" spans="1:10" customFormat="1" ht="6" customHeight="1" thickBot="1" x14ac:dyDescent="0.3">
      <c r="A3" s="215"/>
      <c r="B3" s="322"/>
      <c r="C3" s="323"/>
      <c r="D3" s="323"/>
      <c r="E3" s="324"/>
      <c r="F3" s="12"/>
      <c r="G3" s="12"/>
      <c r="H3" s="12"/>
    </row>
    <row r="4" spans="1:10" customFormat="1" ht="60.75" customHeight="1" x14ac:dyDescent="0.25">
      <c r="A4" s="215"/>
      <c r="B4" s="277" t="s">
        <v>147</v>
      </c>
      <c r="C4" s="278" t="s">
        <v>336</v>
      </c>
      <c r="D4" s="278" t="s">
        <v>337</v>
      </c>
      <c r="E4" s="279" t="s">
        <v>338</v>
      </c>
      <c r="F4" s="407" t="s">
        <v>494</v>
      </c>
      <c r="G4" s="12"/>
      <c r="H4" s="12"/>
    </row>
    <row r="5" spans="1:10" customFormat="1" x14ac:dyDescent="0.25">
      <c r="A5" s="215"/>
      <c r="B5" s="770" t="s">
        <v>356</v>
      </c>
      <c r="C5" s="771"/>
      <c r="D5" s="771"/>
      <c r="E5" s="581">
        <f>SUM(E6:E17)</f>
        <v>6072701.0200000005</v>
      </c>
      <c r="F5" s="596">
        <f t="shared" ref="F5" si="0">SUM(F6:F17)</f>
        <v>6049672.6700000009</v>
      </c>
      <c r="G5" s="12"/>
      <c r="H5" s="15"/>
    </row>
    <row r="6" spans="1:10" customFormat="1" x14ac:dyDescent="0.25">
      <c r="A6" s="215"/>
      <c r="B6" s="394">
        <v>1</v>
      </c>
      <c r="C6" s="395" t="s">
        <v>449</v>
      </c>
      <c r="D6" s="395" t="s">
        <v>357</v>
      </c>
      <c r="E6" s="517">
        <v>21068.5</v>
      </c>
      <c r="F6" s="597">
        <f>21068.5</f>
        <v>21068.5</v>
      </c>
      <c r="G6" s="12"/>
      <c r="H6" s="15"/>
    </row>
    <row r="7" spans="1:10" customFormat="1" x14ac:dyDescent="0.25">
      <c r="A7" s="215"/>
      <c r="B7" s="394">
        <v>2</v>
      </c>
      <c r="C7" s="395" t="s">
        <v>449</v>
      </c>
      <c r="D7" s="395" t="s">
        <v>358</v>
      </c>
      <c r="E7" s="517">
        <v>30914</v>
      </c>
      <c r="F7" s="597">
        <v>30914</v>
      </c>
      <c r="G7" s="12"/>
      <c r="H7" s="15"/>
    </row>
    <row r="8" spans="1:10" customFormat="1" x14ac:dyDescent="0.25">
      <c r="A8" s="215"/>
      <c r="B8" s="394">
        <v>3</v>
      </c>
      <c r="C8" s="395" t="s">
        <v>449</v>
      </c>
      <c r="D8" s="395" t="s">
        <v>359</v>
      </c>
      <c r="E8" s="517">
        <v>88508</v>
      </c>
      <c r="F8" s="597">
        <v>88508</v>
      </c>
      <c r="G8" s="12"/>
      <c r="H8" s="15"/>
    </row>
    <row r="9" spans="1:10" customFormat="1" x14ac:dyDescent="0.25">
      <c r="A9" s="215"/>
      <c r="B9" s="394">
        <v>4</v>
      </c>
      <c r="C9" s="395" t="s">
        <v>449</v>
      </c>
      <c r="D9" s="395" t="s">
        <v>360</v>
      </c>
      <c r="E9" s="517">
        <v>17029.560000000001</v>
      </c>
      <c r="F9" s="597">
        <v>17029.560000000001</v>
      </c>
      <c r="G9" s="12"/>
      <c r="H9" s="15"/>
    </row>
    <row r="10" spans="1:10" customFormat="1" x14ac:dyDescent="0.25">
      <c r="A10" s="215"/>
      <c r="B10" s="394">
        <v>5</v>
      </c>
      <c r="C10" s="395" t="s">
        <v>449</v>
      </c>
      <c r="D10" s="395" t="s">
        <v>361</v>
      </c>
      <c r="E10" s="517">
        <f>5730336.19+22288.81</f>
        <v>5752625</v>
      </c>
      <c r="F10" s="597">
        <f>E10-22288.81</f>
        <v>5730336.1900000004</v>
      </c>
      <c r="G10" s="12"/>
      <c r="H10" s="15"/>
    </row>
    <row r="11" spans="1:10" customFormat="1" x14ac:dyDescent="0.25">
      <c r="A11" s="215"/>
      <c r="B11" s="394">
        <v>6</v>
      </c>
      <c r="C11" s="395" t="s">
        <v>449</v>
      </c>
      <c r="D11" s="395" t="s">
        <v>425</v>
      </c>
      <c r="E11" s="517">
        <v>7243</v>
      </c>
      <c r="F11" s="597">
        <v>7243</v>
      </c>
      <c r="G11" s="12"/>
      <c r="H11" s="15"/>
    </row>
    <row r="12" spans="1:10" customFormat="1" x14ac:dyDescent="0.25">
      <c r="A12" s="215"/>
      <c r="B12" s="394">
        <v>7</v>
      </c>
      <c r="C12" s="395" t="s">
        <v>449</v>
      </c>
      <c r="D12" s="395" t="s">
        <v>362</v>
      </c>
      <c r="E12" s="517">
        <v>2200</v>
      </c>
      <c r="F12" s="597">
        <v>2200</v>
      </c>
      <c r="G12" s="12"/>
      <c r="H12" s="15"/>
      <c r="I12" s="12"/>
      <c r="J12" s="12"/>
    </row>
    <row r="13" spans="1:10" customFormat="1" x14ac:dyDescent="0.25">
      <c r="A13" s="215"/>
      <c r="B13" s="394">
        <v>8</v>
      </c>
      <c r="C13" s="395" t="s">
        <v>449</v>
      </c>
      <c r="D13" s="395" t="s">
        <v>475</v>
      </c>
      <c r="E13" s="517">
        <v>12000</v>
      </c>
      <c r="F13" s="597">
        <v>12000</v>
      </c>
      <c r="G13" s="210"/>
      <c r="H13" s="15"/>
      <c r="I13" s="210"/>
      <c r="J13" s="12"/>
    </row>
    <row r="14" spans="1:10" customFormat="1" x14ac:dyDescent="0.25">
      <c r="A14" s="215"/>
      <c r="B14" s="394">
        <v>9</v>
      </c>
      <c r="C14" s="395" t="s">
        <v>449</v>
      </c>
      <c r="D14" s="395" t="s">
        <v>363</v>
      </c>
      <c r="E14" s="517">
        <v>81540</v>
      </c>
      <c r="F14" s="597">
        <v>81540</v>
      </c>
      <c r="G14" s="210"/>
      <c r="H14" s="15"/>
      <c r="I14" s="210"/>
      <c r="J14" s="12"/>
    </row>
    <row r="15" spans="1:10" customFormat="1" x14ac:dyDescent="0.25">
      <c r="A15" s="215"/>
      <c r="B15" s="394">
        <v>10</v>
      </c>
      <c r="C15" s="395" t="s">
        <v>449</v>
      </c>
      <c r="D15" s="395" t="s">
        <v>364</v>
      </c>
      <c r="E15" s="517">
        <v>38789</v>
      </c>
      <c r="F15" s="597">
        <f>38789-739.54</f>
        <v>38049.46</v>
      </c>
      <c r="G15" s="211"/>
      <c r="H15" s="15"/>
      <c r="I15" s="211"/>
      <c r="J15" s="12"/>
    </row>
    <row r="16" spans="1:10" customFormat="1" x14ac:dyDescent="0.25">
      <c r="A16" s="215"/>
      <c r="B16" s="394">
        <v>11</v>
      </c>
      <c r="C16" s="395" t="s">
        <v>365</v>
      </c>
      <c r="D16" s="395" t="s">
        <v>366</v>
      </c>
      <c r="E16" s="517">
        <v>3401.98</v>
      </c>
      <c r="F16" s="597">
        <f>3401.98</f>
        <v>3401.98</v>
      </c>
      <c r="G16" s="211"/>
      <c r="H16" s="15"/>
      <c r="I16" s="211"/>
      <c r="J16" s="12"/>
    </row>
    <row r="17" spans="1:10" customFormat="1" x14ac:dyDescent="0.25">
      <c r="A17" s="215"/>
      <c r="B17" s="394">
        <v>12</v>
      </c>
      <c r="C17" s="395" t="s">
        <v>365</v>
      </c>
      <c r="D17" s="395" t="s">
        <v>367</v>
      </c>
      <c r="E17" s="517">
        <v>17381.98</v>
      </c>
      <c r="F17" s="597">
        <f>17381.98</f>
        <v>17381.98</v>
      </c>
      <c r="G17" s="211"/>
      <c r="H17" s="15"/>
      <c r="I17" s="211"/>
      <c r="J17" s="12"/>
    </row>
    <row r="18" spans="1:10" customFormat="1" x14ac:dyDescent="0.25">
      <c r="A18" s="215"/>
      <c r="B18" s="772" t="s">
        <v>368</v>
      </c>
      <c r="C18" s="773"/>
      <c r="D18" s="773"/>
      <c r="E18" s="581">
        <f>SUM(E19:E41)</f>
        <v>1272569.49</v>
      </c>
      <c r="F18" s="596">
        <f>SUM(F19:F41)</f>
        <v>1252572.81</v>
      </c>
      <c r="G18" s="211"/>
      <c r="H18" s="211"/>
      <c r="I18" s="580"/>
      <c r="J18" s="12"/>
    </row>
    <row r="19" spans="1:10" customFormat="1" x14ac:dyDescent="0.25">
      <c r="A19" s="215"/>
      <c r="B19" s="394">
        <v>13</v>
      </c>
      <c r="C19" s="395" t="s">
        <v>449</v>
      </c>
      <c r="D19" s="395" t="s">
        <v>369</v>
      </c>
      <c r="E19" s="517">
        <v>6203.5</v>
      </c>
      <c r="F19" s="597">
        <v>6203.5</v>
      </c>
      <c r="G19" s="211"/>
      <c r="H19" s="211"/>
      <c r="I19" s="580"/>
      <c r="J19" s="12"/>
    </row>
    <row r="20" spans="1:10" customFormat="1" ht="20.25" customHeight="1" x14ac:dyDescent="0.25">
      <c r="A20" s="215"/>
      <c r="B20" s="396">
        <v>14</v>
      </c>
      <c r="C20" s="397" t="s">
        <v>370</v>
      </c>
      <c r="D20" s="398" t="s">
        <v>371</v>
      </c>
      <c r="E20" s="518">
        <v>24276.37</v>
      </c>
      <c r="F20" s="598">
        <v>24276.37</v>
      </c>
      <c r="G20" s="211"/>
      <c r="H20" s="211"/>
      <c r="I20" s="580"/>
      <c r="J20" s="12"/>
    </row>
    <row r="21" spans="1:10" customFormat="1" x14ac:dyDescent="0.25">
      <c r="A21" s="215"/>
      <c r="B21" s="396">
        <v>15</v>
      </c>
      <c r="C21" s="395" t="s">
        <v>449</v>
      </c>
      <c r="D21" s="399" t="s">
        <v>373</v>
      </c>
      <c r="E21" s="518">
        <v>5236.24</v>
      </c>
      <c r="F21" s="598">
        <v>5236.24</v>
      </c>
      <c r="G21" s="211"/>
      <c r="H21" s="211"/>
      <c r="I21" s="580"/>
      <c r="J21" s="12"/>
    </row>
    <row r="22" spans="1:10" customFormat="1" x14ac:dyDescent="0.25">
      <c r="A22" s="215"/>
      <c r="B22" s="394">
        <v>16</v>
      </c>
      <c r="C22" s="397" t="s">
        <v>476</v>
      </c>
      <c r="D22" s="397" t="s">
        <v>374</v>
      </c>
      <c r="E22" s="519">
        <v>2414.15</v>
      </c>
      <c r="F22" s="361">
        <v>2414.15</v>
      </c>
      <c r="G22" s="211"/>
      <c r="H22" s="211"/>
      <c r="I22" s="211"/>
      <c r="J22" s="12"/>
    </row>
    <row r="23" spans="1:10" customFormat="1" x14ac:dyDescent="0.25">
      <c r="A23" s="215"/>
      <c r="B23" s="396">
        <v>17</v>
      </c>
      <c r="C23" s="397" t="s">
        <v>476</v>
      </c>
      <c r="D23" s="395" t="s">
        <v>375</v>
      </c>
      <c r="E23" s="517">
        <v>51971.19</v>
      </c>
      <c r="F23" s="597">
        <v>51971.19</v>
      </c>
      <c r="G23" s="212"/>
      <c r="H23" s="211"/>
      <c r="I23" s="212"/>
      <c r="J23" s="213"/>
    </row>
    <row r="24" spans="1:10" s="85" customFormat="1" x14ac:dyDescent="0.2">
      <c r="B24" s="396">
        <v>18</v>
      </c>
      <c r="C24" s="395" t="s">
        <v>477</v>
      </c>
      <c r="D24" s="395" t="s">
        <v>478</v>
      </c>
      <c r="E24" s="517">
        <f>813201.88+19886.12</f>
        <v>833088</v>
      </c>
      <c r="F24" s="597">
        <f>E24-6638.12-13248</f>
        <v>813201.88</v>
      </c>
      <c r="G24" s="348"/>
      <c r="H24" s="211"/>
      <c r="I24" s="348"/>
      <c r="J24" s="349"/>
    </row>
    <row r="25" spans="1:10" customFormat="1" x14ac:dyDescent="0.25">
      <c r="A25" s="215"/>
      <c r="B25" s="394">
        <v>19</v>
      </c>
      <c r="C25" s="395" t="s">
        <v>376</v>
      </c>
      <c r="D25" s="395" t="s">
        <v>705</v>
      </c>
      <c r="E25" s="517">
        <v>7000</v>
      </c>
      <c r="F25" s="597">
        <v>7000</v>
      </c>
      <c r="G25" s="212"/>
      <c r="H25" s="211"/>
      <c r="I25" s="212"/>
      <c r="J25" s="213"/>
    </row>
    <row r="26" spans="1:10" customFormat="1" x14ac:dyDescent="0.25">
      <c r="A26" s="215"/>
      <c r="B26" s="396">
        <v>20</v>
      </c>
      <c r="C26" s="395" t="s">
        <v>376</v>
      </c>
      <c r="D26" s="395" t="s">
        <v>704</v>
      </c>
      <c r="E26" s="517">
        <v>1500</v>
      </c>
      <c r="F26" s="597">
        <v>1500</v>
      </c>
      <c r="G26" s="12"/>
      <c r="H26" s="211"/>
    </row>
    <row r="27" spans="1:10" customFormat="1" x14ac:dyDescent="0.25">
      <c r="A27" s="215"/>
      <c r="B27" s="396">
        <v>21</v>
      </c>
      <c r="C27" s="395" t="s">
        <v>376</v>
      </c>
      <c r="D27" s="395" t="s">
        <v>377</v>
      </c>
      <c r="E27" s="517">
        <v>500</v>
      </c>
      <c r="F27" s="597">
        <v>500</v>
      </c>
      <c r="G27" s="12"/>
      <c r="H27" s="211"/>
    </row>
    <row r="28" spans="1:10" customFormat="1" x14ac:dyDescent="0.25">
      <c r="A28" s="215"/>
      <c r="B28" s="394">
        <v>22</v>
      </c>
      <c r="C28" s="395" t="s">
        <v>372</v>
      </c>
      <c r="D28" s="395" t="s">
        <v>378</v>
      </c>
      <c r="E28" s="517">
        <v>71476.41</v>
      </c>
      <c r="F28" s="597">
        <v>71476.41</v>
      </c>
      <c r="G28" s="12"/>
      <c r="H28" s="211"/>
    </row>
    <row r="29" spans="1:10" customFormat="1" x14ac:dyDescent="0.25">
      <c r="A29" s="215"/>
      <c r="B29" s="396">
        <v>23</v>
      </c>
      <c r="C29" s="395" t="s">
        <v>372</v>
      </c>
      <c r="D29" s="395" t="s">
        <v>379</v>
      </c>
      <c r="E29" s="517">
        <v>18441.39</v>
      </c>
      <c r="F29" s="597">
        <v>18441.39</v>
      </c>
      <c r="G29" s="193"/>
      <c r="H29" s="211"/>
    </row>
    <row r="30" spans="1:10" customFormat="1" x14ac:dyDescent="0.25">
      <c r="A30" s="215"/>
      <c r="B30" s="396">
        <v>24</v>
      </c>
      <c r="C30" s="395" t="s">
        <v>449</v>
      </c>
      <c r="D30" s="400" t="s">
        <v>479</v>
      </c>
      <c r="E30" s="520">
        <v>63521.09</v>
      </c>
      <c r="F30" s="599">
        <f>63521.09</f>
        <v>63521.09</v>
      </c>
      <c r="G30" s="193"/>
      <c r="H30" s="211"/>
    </row>
    <row r="31" spans="1:10" customFormat="1" x14ac:dyDescent="0.25">
      <c r="A31" s="215"/>
      <c r="B31" s="394">
        <v>25</v>
      </c>
      <c r="C31" s="395" t="s">
        <v>449</v>
      </c>
      <c r="D31" s="400" t="s">
        <v>782</v>
      </c>
      <c r="E31" s="520">
        <v>33089.5</v>
      </c>
      <c r="F31" s="599">
        <f>33089.5</f>
        <v>33089.5</v>
      </c>
      <c r="G31" s="193"/>
      <c r="H31" s="211"/>
    </row>
    <row r="32" spans="1:10" customFormat="1" x14ac:dyDescent="0.25">
      <c r="A32" s="215"/>
      <c r="B32" s="396">
        <v>26</v>
      </c>
      <c r="C32" s="395" t="s">
        <v>449</v>
      </c>
      <c r="D32" s="400" t="s">
        <v>480</v>
      </c>
      <c r="E32" s="520">
        <v>45562.18</v>
      </c>
      <c r="F32" s="599">
        <f>45562.18</f>
        <v>45562.18</v>
      </c>
      <c r="G32" s="193"/>
      <c r="H32" s="211"/>
    </row>
    <row r="33" spans="1:8" customFormat="1" x14ac:dyDescent="0.25">
      <c r="A33" s="215"/>
      <c r="B33" s="396">
        <v>27</v>
      </c>
      <c r="C33" s="400" t="s">
        <v>365</v>
      </c>
      <c r="D33" s="400" t="s">
        <v>380</v>
      </c>
      <c r="E33" s="520">
        <v>6879.72</v>
      </c>
      <c r="F33" s="599">
        <f>6879.72-70.56</f>
        <v>6809.16</v>
      </c>
      <c r="G33" s="193"/>
      <c r="H33" s="211"/>
    </row>
    <row r="34" spans="1:8" customFormat="1" x14ac:dyDescent="0.25">
      <c r="A34" s="215"/>
      <c r="B34" s="396">
        <v>28</v>
      </c>
      <c r="C34" s="400" t="s">
        <v>365</v>
      </c>
      <c r="D34" s="400" t="s">
        <v>481</v>
      </c>
      <c r="E34" s="520">
        <v>5388</v>
      </c>
      <c r="F34" s="599">
        <v>5388</v>
      </c>
      <c r="G34" s="193"/>
      <c r="H34" s="211"/>
    </row>
    <row r="35" spans="1:8" customFormat="1" x14ac:dyDescent="0.25">
      <c r="A35" s="215"/>
      <c r="B35" s="394">
        <v>29</v>
      </c>
      <c r="C35" s="395" t="s">
        <v>871</v>
      </c>
      <c r="D35" s="395" t="s">
        <v>859</v>
      </c>
      <c r="E35" s="517">
        <v>4000</v>
      </c>
      <c r="F35" s="597">
        <v>4000</v>
      </c>
      <c r="G35" s="193"/>
      <c r="H35" s="211"/>
    </row>
    <row r="36" spans="1:8" s="215" customFormat="1" x14ac:dyDescent="0.25">
      <c r="B36" s="396">
        <v>30</v>
      </c>
      <c r="C36" s="395" t="s">
        <v>857</v>
      </c>
      <c r="D36" s="395" t="s">
        <v>858</v>
      </c>
      <c r="E36" s="517">
        <v>10000</v>
      </c>
      <c r="F36" s="597">
        <v>10000</v>
      </c>
      <c r="G36" s="193"/>
      <c r="H36" s="211"/>
    </row>
    <row r="37" spans="1:8" s="85" customFormat="1" x14ac:dyDescent="0.2">
      <c r="B37" s="396">
        <v>31</v>
      </c>
      <c r="C37" s="395" t="s">
        <v>482</v>
      </c>
      <c r="D37" s="395" t="s">
        <v>483</v>
      </c>
      <c r="E37" s="517">
        <v>76821.75</v>
      </c>
      <c r="F37" s="597">
        <f>76821.75-40</f>
        <v>76781.75</v>
      </c>
      <c r="G37" s="214"/>
      <c r="H37" s="211"/>
    </row>
    <row r="38" spans="1:8" s="85" customFormat="1" x14ac:dyDescent="0.2">
      <c r="B38" s="396">
        <v>32</v>
      </c>
      <c r="C38" s="395" t="s">
        <v>484</v>
      </c>
      <c r="D38" s="395" t="s">
        <v>485</v>
      </c>
      <c r="E38" s="517">
        <v>3000</v>
      </c>
      <c r="F38" s="597">
        <v>3000</v>
      </c>
      <c r="G38" s="214"/>
      <c r="H38" s="211"/>
    </row>
    <row r="39" spans="1:8" s="85" customFormat="1" x14ac:dyDescent="0.2">
      <c r="B39" s="394">
        <v>33</v>
      </c>
      <c r="C39" s="395" t="s">
        <v>707</v>
      </c>
      <c r="D39" s="395" t="s">
        <v>486</v>
      </c>
      <c r="E39" s="517">
        <v>200</v>
      </c>
      <c r="F39" s="597">
        <v>200</v>
      </c>
      <c r="G39" s="214"/>
      <c r="H39" s="211"/>
    </row>
    <row r="40" spans="1:8" s="85" customFormat="1" x14ac:dyDescent="0.2">
      <c r="B40" s="396">
        <v>34</v>
      </c>
      <c r="C40" s="395" t="s">
        <v>706</v>
      </c>
      <c r="D40" s="395" t="s">
        <v>487</v>
      </c>
      <c r="E40" s="517">
        <v>1000</v>
      </c>
      <c r="F40" s="597">
        <v>1000</v>
      </c>
      <c r="G40" s="214"/>
      <c r="H40" s="211"/>
    </row>
    <row r="41" spans="1:8" s="85" customFormat="1" ht="15.75" thickBot="1" x14ac:dyDescent="0.25">
      <c r="B41" s="396">
        <v>35</v>
      </c>
      <c r="C41" s="395" t="s">
        <v>856</v>
      </c>
      <c r="D41" s="395" t="s">
        <v>483</v>
      </c>
      <c r="E41" s="517">
        <v>1000</v>
      </c>
      <c r="F41" s="597">
        <v>1000</v>
      </c>
      <c r="G41" s="214"/>
      <c r="H41" s="211"/>
    </row>
    <row r="42" spans="1:8" s="85" customFormat="1" ht="27" customHeight="1" thickTop="1" thickBot="1" x14ac:dyDescent="0.3">
      <c r="B42" s="767" t="s">
        <v>26</v>
      </c>
      <c r="C42" s="768"/>
      <c r="D42" s="769"/>
      <c r="E42" s="582">
        <f>E18+E5</f>
        <v>7345270.5100000007</v>
      </c>
      <c r="F42" s="600">
        <f t="shared" ref="F42" si="1">F18+F5</f>
        <v>7302245.4800000004</v>
      </c>
      <c r="G42" s="214"/>
      <c r="H42" s="214"/>
    </row>
    <row r="43" spans="1:8" ht="56.25" customHeight="1" x14ac:dyDescent="0.25">
      <c r="F43" s="206"/>
    </row>
    <row r="44" spans="1:8" x14ac:dyDescent="0.25">
      <c r="F44" s="579"/>
      <c r="H44" s="310"/>
    </row>
    <row r="45" spans="1:8" x14ac:dyDescent="0.25">
      <c r="C45"/>
      <c r="E45" s="495"/>
      <c r="F45" s="310"/>
    </row>
    <row r="46" spans="1:8" x14ac:dyDescent="0.25">
      <c r="E46" s="579"/>
    </row>
    <row r="47" spans="1:8" x14ac:dyDescent="0.25">
      <c r="C47" s="215"/>
      <c r="E47" s="579"/>
      <c r="F47" s="310"/>
    </row>
    <row r="48" spans="1:8" x14ac:dyDescent="0.25">
      <c r="F48" s="579"/>
    </row>
    <row r="58" spans="5:5" x14ac:dyDescent="0.25">
      <c r="E58" s="579"/>
    </row>
  </sheetData>
  <mergeCells count="4">
    <mergeCell ref="B42:D42"/>
    <mergeCell ref="B5:D5"/>
    <mergeCell ref="B18:D18"/>
    <mergeCell ref="B2:E2"/>
  </mergeCells>
  <pageMargins left="0.59055118110236227" right="0.31496062992125984" top="0.35433070866141736" bottom="0.15748031496062992" header="0.51181102362204722" footer="0.1574803149606299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14"/>
  <sheetViews>
    <sheetView workbookViewId="0"/>
  </sheetViews>
  <sheetFormatPr defaultRowHeight="15" x14ac:dyDescent="0.25"/>
  <cols>
    <col min="1" max="1" width="9.140625" style="5"/>
    <col min="2" max="2" width="6.140625" style="5" customWidth="1"/>
    <col min="3" max="3" width="26" style="5" customWidth="1"/>
    <col min="4" max="4" width="61.7109375" style="5" customWidth="1"/>
    <col min="5" max="5" width="15.5703125" style="579" customWidth="1"/>
    <col min="6" max="16384" width="9.140625" style="5"/>
  </cols>
  <sheetData>
    <row r="1" spans="2:5" x14ac:dyDescent="0.25">
      <c r="E1" s="687" t="s">
        <v>413</v>
      </c>
    </row>
    <row r="2" spans="2:5" ht="17.25" x14ac:dyDescent="0.3">
      <c r="B2" s="775" t="s">
        <v>495</v>
      </c>
      <c r="C2" s="775"/>
      <c r="D2" s="775"/>
      <c r="E2" s="775"/>
    </row>
    <row r="3" spans="2:5" ht="15.75" thickBot="1" x14ac:dyDescent="0.3">
      <c r="B3" s="203"/>
      <c r="C3" s="204"/>
      <c r="D3" s="205"/>
      <c r="E3" s="613"/>
    </row>
    <row r="4" spans="2:5" ht="24" x14ac:dyDescent="0.25">
      <c r="B4" s="277" t="s">
        <v>147</v>
      </c>
      <c r="C4" s="278" t="s">
        <v>336</v>
      </c>
      <c r="D4" s="278" t="s">
        <v>337</v>
      </c>
      <c r="E4" s="672" t="s">
        <v>338</v>
      </c>
    </row>
    <row r="5" spans="2:5" ht="24.75" customHeight="1" x14ac:dyDescent="0.25">
      <c r="B5" s="408">
        <v>1</v>
      </c>
      <c r="C5" s="399" t="s">
        <v>489</v>
      </c>
      <c r="D5" s="399" t="s">
        <v>490</v>
      </c>
      <c r="E5" s="614">
        <v>11000</v>
      </c>
    </row>
    <row r="6" spans="2:5" ht="24.75" customHeight="1" x14ac:dyDescent="0.25">
      <c r="B6" s="408">
        <v>2</v>
      </c>
      <c r="C6" s="406" t="s">
        <v>491</v>
      </c>
      <c r="D6" s="406" t="s">
        <v>492</v>
      </c>
      <c r="E6" s="615">
        <v>2000</v>
      </c>
    </row>
    <row r="7" spans="2:5" ht="24.75" customHeight="1" x14ac:dyDescent="0.25">
      <c r="B7" s="408">
        <v>3</v>
      </c>
      <c r="C7" s="406" t="s">
        <v>491</v>
      </c>
      <c r="D7" s="401" t="s">
        <v>493</v>
      </c>
      <c r="E7" s="616">
        <v>5000</v>
      </c>
    </row>
    <row r="8" spans="2:5" ht="24.75" customHeight="1" thickBot="1" x14ac:dyDescent="0.3">
      <c r="B8" s="408">
        <v>4</v>
      </c>
      <c r="C8" s="406" t="s">
        <v>780</v>
      </c>
      <c r="D8" s="401" t="s">
        <v>781</v>
      </c>
      <c r="E8" s="616">
        <v>5000</v>
      </c>
    </row>
    <row r="9" spans="2:5" ht="21.75" customHeight="1" thickTop="1" thickBot="1" x14ac:dyDescent="0.3">
      <c r="B9" s="402" t="s">
        <v>26</v>
      </c>
      <c r="C9" s="403"/>
      <c r="D9" s="403"/>
      <c r="E9" s="617">
        <f>SUM(E5:E8)</f>
        <v>23000</v>
      </c>
    </row>
    <row r="12" spans="2:5" x14ac:dyDescent="0.25">
      <c r="E12" s="618"/>
    </row>
    <row r="13" spans="2:5" x14ac:dyDescent="0.25">
      <c r="C13" s="215"/>
    </row>
    <row r="14" spans="2:5" x14ac:dyDescent="0.25">
      <c r="C14" s="7"/>
    </row>
  </sheetData>
  <mergeCells count="1">
    <mergeCell ref="B2:E2"/>
  </mergeCells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64"/>
  <sheetViews>
    <sheetView workbookViewId="0"/>
  </sheetViews>
  <sheetFormatPr defaultRowHeight="15" x14ac:dyDescent="0.25"/>
  <cols>
    <col min="1" max="1" width="9.140625" style="5"/>
    <col min="2" max="2" width="7.140625" style="5" customWidth="1"/>
    <col min="3" max="3" width="55.28515625" style="5" customWidth="1"/>
    <col min="4" max="4" width="16.140625" style="5" customWidth="1"/>
    <col min="5" max="5" width="43.7109375" style="5" customWidth="1"/>
    <col min="6" max="6" width="14.28515625" style="5" customWidth="1"/>
    <col min="7" max="16384" width="9.140625" style="5"/>
  </cols>
  <sheetData>
    <row r="3" spans="2:6" x14ac:dyDescent="0.25">
      <c r="B3" s="197"/>
      <c r="C3" s="196"/>
      <c r="D3" s="586" t="s">
        <v>414</v>
      </c>
    </row>
    <row r="4" spans="2:6" x14ac:dyDescent="0.25">
      <c r="B4" s="197"/>
      <c r="C4" s="196"/>
    </row>
    <row r="5" spans="2:6" ht="18.75" x14ac:dyDescent="0.25">
      <c r="B5" s="719" t="s">
        <v>660</v>
      </c>
      <c r="C5" s="719"/>
      <c r="D5" s="719"/>
    </row>
    <row r="6" spans="2:6" ht="15.75" thickBot="1" x14ac:dyDescent="0.3">
      <c r="B6" s="197"/>
      <c r="C6" s="196"/>
      <c r="D6" s="196"/>
    </row>
    <row r="7" spans="2:6" x14ac:dyDescent="0.25">
      <c r="B7" s="352" t="s">
        <v>147</v>
      </c>
      <c r="C7" s="353" t="s">
        <v>148</v>
      </c>
      <c r="D7" s="354" t="s">
        <v>150</v>
      </c>
      <c r="E7" s="502"/>
      <c r="F7" s="503"/>
    </row>
    <row r="8" spans="2:6" s="6" customFormat="1" x14ac:dyDescent="0.2">
      <c r="B8" s="483">
        <v>1</v>
      </c>
      <c r="C8" s="496" t="s">
        <v>500</v>
      </c>
      <c r="D8" s="601">
        <v>518</v>
      </c>
    </row>
    <row r="9" spans="2:6" s="6" customFormat="1" x14ac:dyDescent="0.2">
      <c r="B9" s="483">
        <v>2</v>
      </c>
      <c r="C9" s="496" t="s">
        <v>501</v>
      </c>
      <c r="D9" s="602">
        <v>1173</v>
      </c>
    </row>
    <row r="10" spans="2:6" s="6" customFormat="1" x14ac:dyDescent="0.2">
      <c r="B10" s="483">
        <v>3</v>
      </c>
      <c r="C10" s="496" t="s">
        <v>502</v>
      </c>
      <c r="D10" s="602">
        <v>342</v>
      </c>
    </row>
    <row r="11" spans="2:6" s="6" customFormat="1" x14ac:dyDescent="0.2">
      <c r="B11" s="483">
        <v>4</v>
      </c>
      <c r="C11" s="496" t="s">
        <v>503</v>
      </c>
      <c r="D11" s="602">
        <v>416</v>
      </c>
    </row>
    <row r="12" spans="2:6" s="6" customFormat="1" x14ac:dyDescent="0.2">
      <c r="B12" s="483">
        <v>5</v>
      </c>
      <c r="C12" s="496" t="s">
        <v>504</v>
      </c>
      <c r="D12" s="602">
        <v>769</v>
      </c>
    </row>
    <row r="13" spans="2:6" s="6" customFormat="1" x14ac:dyDescent="0.2">
      <c r="B13" s="483">
        <v>6</v>
      </c>
      <c r="C13" s="496" t="s">
        <v>505</v>
      </c>
      <c r="D13" s="602">
        <v>723</v>
      </c>
    </row>
    <row r="14" spans="2:6" s="6" customFormat="1" x14ac:dyDescent="0.2">
      <c r="B14" s="483">
        <v>7</v>
      </c>
      <c r="C14" s="496" t="s">
        <v>506</v>
      </c>
      <c r="D14" s="602">
        <v>1057</v>
      </c>
    </row>
    <row r="15" spans="2:6" s="6" customFormat="1" x14ac:dyDescent="0.2">
      <c r="B15" s="483">
        <v>8</v>
      </c>
      <c r="C15" s="496" t="s">
        <v>507</v>
      </c>
      <c r="D15" s="602">
        <v>1537</v>
      </c>
    </row>
    <row r="16" spans="2:6" s="6" customFormat="1" x14ac:dyDescent="0.2">
      <c r="B16" s="483">
        <v>9</v>
      </c>
      <c r="C16" s="496" t="s">
        <v>508</v>
      </c>
      <c r="D16" s="602">
        <v>248</v>
      </c>
    </row>
    <row r="17" spans="2:4" s="6" customFormat="1" x14ac:dyDescent="0.2">
      <c r="B17" s="483">
        <v>10</v>
      </c>
      <c r="C17" s="496" t="s">
        <v>509</v>
      </c>
      <c r="D17" s="602">
        <v>414</v>
      </c>
    </row>
    <row r="18" spans="2:4" s="6" customFormat="1" x14ac:dyDescent="0.2">
      <c r="B18" s="483">
        <v>11</v>
      </c>
      <c r="C18" s="496" t="s">
        <v>510</v>
      </c>
      <c r="D18" s="602">
        <v>884</v>
      </c>
    </row>
    <row r="19" spans="2:4" s="6" customFormat="1" x14ac:dyDescent="0.2">
      <c r="B19" s="483">
        <v>12</v>
      </c>
      <c r="C19" s="496" t="s">
        <v>511</v>
      </c>
      <c r="D19" s="602">
        <v>443</v>
      </c>
    </row>
    <row r="20" spans="2:4" s="6" customFormat="1" x14ac:dyDescent="0.2">
      <c r="B20" s="483">
        <v>13</v>
      </c>
      <c r="C20" s="496" t="s">
        <v>431</v>
      </c>
      <c r="D20" s="602">
        <v>763</v>
      </c>
    </row>
    <row r="21" spans="2:4" s="6" customFormat="1" x14ac:dyDescent="0.2">
      <c r="B21" s="483">
        <v>14</v>
      </c>
      <c r="C21" s="496" t="s">
        <v>512</v>
      </c>
      <c r="D21" s="602">
        <v>1806</v>
      </c>
    </row>
    <row r="22" spans="2:4" s="6" customFormat="1" x14ac:dyDescent="0.2">
      <c r="B22" s="483">
        <v>15</v>
      </c>
      <c r="C22" s="496" t="s">
        <v>513</v>
      </c>
      <c r="D22" s="602">
        <v>540</v>
      </c>
    </row>
    <row r="23" spans="2:4" s="6" customFormat="1" x14ac:dyDescent="0.2">
      <c r="B23" s="483">
        <v>16</v>
      </c>
      <c r="C23" s="504" t="s">
        <v>514</v>
      </c>
      <c r="D23" s="602">
        <v>277</v>
      </c>
    </row>
    <row r="24" spans="2:4" s="6" customFormat="1" x14ac:dyDescent="0.2">
      <c r="B24" s="483">
        <v>17</v>
      </c>
      <c r="C24" s="504" t="s">
        <v>515</v>
      </c>
      <c r="D24" s="602">
        <v>1265</v>
      </c>
    </row>
    <row r="25" spans="2:4" s="6" customFormat="1" ht="13.5" customHeight="1" x14ac:dyDescent="0.2">
      <c r="B25" s="483">
        <v>18</v>
      </c>
      <c r="C25" s="504" t="s">
        <v>516</v>
      </c>
      <c r="D25" s="602">
        <v>320</v>
      </c>
    </row>
    <row r="26" spans="2:4" s="6" customFormat="1" x14ac:dyDescent="0.2">
      <c r="B26" s="483">
        <v>19</v>
      </c>
      <c r="C26" s="504" t="s">
        <v>517</v>
      </c>
      <c r="D26" s="602">
        <v>565</v>
      </c>
    </row>
    <row r="27" spans="2:4" s="6" customFormat="1" x14ac:dyDescent="0.2">
      <c r="B27" s="483">
        <v>20</v>
      </c>
      <c r="C27" s="504" t="s">
        <v>432</v>
      </c>
      <c r="D27" s="602">
        <v>524</v>
      </c>
    </row>
    <row r="28" spans="2:4" s="6" customFormat="1" x14ac:dyDescent="0.2">
      <c r="B28" s="483">
        <v>21</v>
      </c>
      <c r="C28" s="504" t="s">
        <v>518</v>
      </c>
      <c r="D28" s="602">
        <v>466</v>
      </c>
    </row>
    <row r="29" spans="2:4" s="6" customFormat="1" x14ac:dyDescent="0.2">
      <c r="B29" s="483">
        <v>22</v>
      </c>
      <c r="C29" s="496" t="s">
        <v>519</v>
      </c>
      <c r="D29" s="603">
        <v>284</v>
      </c>
    </row>
    <row r="30" spans="2:4" s="6" customFormat="1" x14ac:dyDescent="0.2">
      <c r="B30" s="483">
        <v>23</v>
      </c>
      <c r="C30" s="496" t="s">
        <v>428</v>
      </c>
      <c r="D30" s="603">
        <v>502</v>
      </c>
    </row>
    <row r="31" spans="2:4" s="6" customFormat="1" x14ac:dyDescent="0.2">
      <c r="B31" s="483">
        <v>24</v>
      </c>
      <c r="C31" s="496" t="s">
        <v>520</v>
      </c>
      <c r="D31" s="603">
        <v>106</v>
      </c>
    </row>
    <row r="32" spans="2:4" s="6" customFormat="1" x14ac:dyDescent="0.2">
      <c r="B32" s="483">
        <v>25</v>
      </c>
      <c r="C32" s="496" t="s">
        <v>521</v>
      </c>
      <c r="D32" s="603">
        <v>315</v>
      </c>
    </row>
    <row r="33" spans="2:4" s="6" customFormat="1" ht="15.75" thickBot="1" x14ac:dyDescent="0.25">
      <c r="B33" s="483">
        <v>26</v>
      </c>
      <c r="C33" s="496" t="s">
        <v>522</v>
      </c>
      <c r="D33" s="603">
        <v>293</v>
      </c>
    </row>
    <row r="34" spans="2:4" ht="24.75" customHeight="1" thickTop="1" thickBot="1" x14ac:dyDescent="0.3">
      <c r="B34" s="356"/>
      <c r="C34" s="360" t="s">
        <v>139</v>
      </c>
      <c r="D34" s="357">
        <f>SUM(D8:D33)</f>
        <v>16550</v>
      </c>
    </row>
    <row r="64" spans="3:3" x14ac:dyDescent="0.25">
      <c r="C64" s="215"/>
    </row>
  </sheetData>
  <mergeCells count="1">
    <mergeCell ref="B5:D5"/>
  </mergeCells>
  <phoneticPr fontId="6" type="noConversion"/>
  <pageMargins left="0.97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21</vt:i4>
      </vt:variant>
      <vt:variant>
        <vt:lpstr>Pomenované rozsahy</vt:lpstr>
      </vt:variant>
      <vt:variant>
        <vt:i4>21</vt:i4>
      </vt:variant>
    </vt:vector>
  </HeadingPairs>
  <TitlesOfParts>
    <vt:vector size="42" baseType="lpstr">
      <vt:lpstr>Súvahy</vt:lpstr>
      <vt:lpstr>MHSL</vt:lpstr>
      <vt:lpstr>SSMT</vt:lpstr>
      <vt:lpstr>ŠZMT</vt:lpstr>
      <vt:lpstr>Materské školy</vt:lpstr>
      <vt:lpstr>Základné školy</vt:lpstr>
      <vt:lpstr>bežné dotácie</vt:lpstr>
      <vt:lpstr>kapitálové dotácie</vt:lpstr>
      <vt:lpstr>Dotácie šport</vt:lpstr>
      <vt:lpstr>dotácie šport 1</vt:lpstr>
      <vt:lpstr>Dotácie kultúra</vt:lpstr>
      <vt:lpstr>Dotácie soc.</vt:lpstr>
      <vt:lpstr>dotácia školstvo</vt:lpstr>
      <vt:lpstr>pohľadávky</vt:lpstr>
      <vt:lpstr>prehľad úverov</vt:lpstr>
      <vt:lpstr>dlhová služba mesta</vt:lpstr>
      <vt:lpstr>BV-funkčná kl.</vt:lpstr>
      <vt:lpstr>KV-funkčná kl.</vt:lpstr>
      <vt:lpstr>výdavky ek.kl.</vt:lpstr>
      <vt:lpstr>FO podľa RK</vt:lpstr>
      <vt:lpstr>počet zamest.ZŠ</vt:lpstr>
      <vt:lpstr>'bežné dotácie'!Oblasť_tlače</vt:lpstr>
      <vt:lpstr>'BV-funkčná kl.'!Oblasť_tlače</vt:lpstr>
      <vt:lpstr>'dlhová služba mesta'!Oblasť_tlače</vt:lpstr>
      <vt:lpstr>'dotácia školstvo'!Oblasť_tlače</vt:lpstr>
      <vt:lpstr>'Dotácie kultúra'!Oblasť_tlače</vt:lpstr>
      <vt:lpstr>'Dotácie soc.'!Oblasť_tlače</vt:lpstr>
      <vt:lpstr>'Dotácie šport'!Oblasť_tlače</vt:lpstr>
      <vt:lpstr>'dotácie šport 1'!Oblasť_tlače</vt:lpstr>
      <vt:lpstr>'FO podľa RK'!Oblasť_tlače</vt:lpstr>
      <vt:lpstr>'kapitálové dotácie'!Oblasť_tlače</vt:lpstr>
      <vt:lpstr>'KV-funkčná kl.'!Oblasť_tlače</vt:lpstr>
      <vt:lpstr>'Materské školy'!Oblasť_tlače</vt:lpstr>
      <vt:lpstr>MHSL!Oblasť_tlače</vt:lpstr>
      <vt:lpstr>'počet zamest.ZŠ'!Oblasť_tlače</vt:lpstr>
      <vt:lpstr>pohľadávky!Oblasť_tlače</vt:lpstr>
      <vt:lpstr>'prehľad úverov'!Oblasť_tlače</vt:lpstr>
      <vt:lpstr>SSMT!Oblasť_tlače</vt:lpstr>
      <vt:lpstr>Súvahy!Oblasť_tlače</vt:lpstr>
      <vt:lpstr>ŠZMT!Oblasť_tlače</vt:lpstr>
      <vt:lpstr>'výdavky ek.kl.'!Oblasť_tlače</vt:lpstr>
      <vt:lpstr>'Základné školy'!Oblasť_tlače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Žilková Andrea, Ing.</cp:lastModifiedBy>
  <cp:lastPrinted>2015-04-16T11:09:43Z</cp:lastPrinted>
  <dcterms:created xsi:type="dcterms:W3CDTF">2012-02-23T12:08:44Z</dcterms:created>
  <dcterms:modified xsi:type="dcterms:W3CDTF">2015-04-16T11:09:55Z</dcterms:modified>
</cp:coreProperties>
</file>