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320" windowHeight="11640" tabRatio="903" activeTab="0"/>
  </bookViews>
  <sheets>
    <sheet name="Príjmy" sheetId="1" r:id="rId1"/>
    <sheet name="Výdavky" sheetId="2" r:id="rId2"/>
    <sheet name="Sumarizácia" sheetId="3" r:id="rId3"/>
  </sheets>
  <definedNames>
    <definedName name="_xlnm.Print_Area" localSheetId="0">'Príjmy'!$B$2:$J$326</definedName>
    <definedName name="_xlnm.Print_Area" localSheetId="2">'Sumarizácia'!$B$2:$L$43</definedName>
    <definedName name="_xlnm.Print_Area" localSheetId="1">'Výdavky'!$B$3:$Q$1503</definedName>
  </definedNames>
  <calcPr fullCalcOnLoad="1"/>
</workbook>
</file>

<file path=xl/sharedStrings.xml><?xml version="1.0" encoding="utf-8"?>
<sst xmlns="http://schemas.openxmlformats.org/spreadsheetml/2006/main" count="2847" uniqueCount="873">
  <si>
    <t>Verejná zeleň</t>
  </si>
  <si>
    <t>Hlásenie pobytu občanov a register obyvateľov</t>
  </si>
  <si>
    <t>Príspevky neštátnym subjektom</t>
  </si>
  <si>
    <t>ukazovateľ</t>
  </si>
  <si>
    <t>1</t>
  </si>
  <si>
    <t>2</t>
  </si>
  <si>
    <t>3</t>
  </si>
  <si>
    <t>4</t>
  </si>
  <si>
    <t>5</t>
  </si>
  <si>
    <t>Bežné príjmy</t>
  </si>
  <si>
    <t>kategória</t>
  </si>
  <si>
    <t>položka</t>
  </si>
  <si>
    <t>podpo-</t>
  </si>
  <si>
    <t>ložka</t>
  </si>
  <si>
    <t>príjem</t>
  </si>
  <si>
    <t>100</t>
  </si>
  <si>
    <t>DAŇOVÉ  PRÍJMY</t>
  </si>
  <si>
    <t>110</t>
  </si>
  <si>
    <t>Dane z príjmov a kapitálového majetku</t>
  </si>
  <si>
    <t>111</t>
  </si>
  <si>
    <t>003</t>
  </si>
  <si>
    <t>Výnos dane z príjmov poukázaný územnej samospráve</t>
  </si>
  <si>
    <t>120</t>
  </si>
  <si>
    <t>Dane z majetku</t>
  </si>
  <si>
    <t>121</t>
  </si>
  <si>
    <t>daň z nehnuteľností</t>
  </si>
  <si>
    <t>001</t>
  </si>
  <si>
    <t xml:space="preserve">    - z pozemkov</t>
  </si>
  <si>
    <t>002</t>
  </si>
  <si>
    <t xml:space="preserve">    - zo stavieb</t>
  </si>
  <si>
    <t xml:space="preserve">    - z bytov</t>
  </si>
  <si>
    <t>130</t>
  </si>
  <si>
    <t>Domáce dane na tovary a služby</t>
  </si>
  <si>
    <t>133</t>
  </si>
  <si>
    <t>012</t>
  </si>
  <si>
    <t>daň za užívanie verejného priestranstva</t>
  </si>
  <si>
    <t>013</t>
  </si>
  <si>
    <t>200</t>
  </si>
  <si>
    <t>NEDAŇOVÉ  PRÍJMY</t>
  </si>
  <si>
    <t>210</t>
  </si>
  <si>
    <t>Príjmy z podnikania a z vlastníctva majetku</t>
  </si>
  <si>
    <t>212</t>
  </si>
  <si>
    <t>z prenajatých pozemkov</t>
  </si>
  <si>
    <t>z prenajatých budov, priestorov a objektov</t>
  </si>
  <si>
    <t xml:space="preserve"> - prenájom budov</t>
  </si>
  <si>
    <t xml:space="preserve"> - prenájom bytových a nebytových priestorov</t>
  </si>
  <si>
    <t>220</t>
  </si>
  <si>
    <t>Administratívne a iné poplatky a platby</t>
  </si>
  <si>
    <t>221</t>
  </si>
  <si>
    <t>004</t>
  </si>
  <si>
    <t xml:space="preserve"> - ostatné poplatky</t>
  </si>
  <si>
    <t>222</t>
  </si>
  <si>
    <t>pokuty a penále za porušenie predpisov</t>
  </si>
  <si>
    <t>223</t>
  </si>
  <si>
    <t>poplatky a platby za predaj výrobkov,tovarov a služieb</t>
  </si>
  <si>
    <t>229</t>
  </si>
  <si>
    <t>005</t>
  </si>
  <si>
    <t>240</t>
  </si>
  <si>
    <t>Úroky z domácich úverov,pôžičiek a vkladov</t>
  </si>
  <si>
    <t>290</t>
  </si>
  <si>
    <t>Iné nedaňové príjmy</t>
  </si>
  <si>
    <t>292</t>
  </si>
  <si>
    <t>008</t>
  </si>
  <si>
    <t>z výťažkov z lotérií a iných podobných hier</t>
  </si>
  <si>
    <t>ostatné</t>
  </si>
  <si>
    <t xml:space="preserve">   - za predaj výrobkov, tovarov a služieb </t>
  </si>
  <si>
    <t>iné príjmy z činnosti</t>
  </si>
  <si>
    <t>SOCIÁLNE SLUŽBY MESTA TRENČÍN   m.r.o.</t>
  </si>
  <si>
    <t xml:space="preserve">Detské jasle </t>
  </si>
  <si>
    <t>Zariadenie opatrovateľskej služby</t>
  </si>
  <si>
    <t>Opatrovateľská služba</t>
  </si>
  <si>
    <t>rozvoz stravy</t>
  </si>
  <si>
    <t>príjmy z prenajatých budov, priestorov a objektov</t>
  </si>
  <si>
    <r>
      <t>ŠKOLSKÉ ZARIADENIA MESTA TRENČÍN m.r.o</t>
    </r>
    <r>
      <rPr>
        <b/>
        <i/>
        <sz val="10"/>
        <rFont val="Arial CE"/>
        <family val="2"/>
      </rPr>
      <t>.</t>
    </r>
  </si>
  <si>
    <t>Zimný štadión</t>
  </si>
  <si>
    <t>Stavebný poriadok, vyvlastňovacie konanie, doprava</t>
  </si>
  <si>
    <t>z prenajatých budov,garáží a objektov</t>
  </si>
  <si>
    <t>za materské školy a školské družiny</t>
  </si>
  <si>
    <t>poplatky za školské družiny</t>
  </si>
  <si>
    <t>300</t>
  </si>
  <si>
    <t>GRANTY  A  TRANSFERY</t>
  </si>
  <si>
    <t>312</t>
  </si>
  <si>
    <t>Transfery v rámci verejnej správy</t>
  </si>
  <si>
    <t>Zo štátneho rozpočtu</t>
  </si>
  <si>
    <t>Dotácie na základné vzdelanie s bežnou starostlivosťou</t>
  </si>
  <si>
    <t>Dotácia na sociálne zabezpečenie</t>
  </si>
  <si>
    <t>Dotácia na matriku</t>
  </si>
  <si>
    <t>Školský úrad</t>
  </si>
  <si>
    <t>ŠFRB</t>
  </si>
  <si>
    <t>BEŽNÉ PRÍJMY SPOLU:</t>
  </si>
  <si>
    <t>príjmy z vlastníctva</t>
  </si>
  <si>
    <t xml:space="preserve"> - výherné prístroje</t>
  </si>
  <si>
    <t>poplatok za znečisťovanie ovzdušia</t>
  </si>
  <si>
    <t>z trhovísk</t>
  </si>
  <si>
    <t>za vodné, stočné, el.energiu, paru, plyn a teplo</t>
  </si>
  <si>
    <t xml:space="preserve">   z toho:</t>
  </si>
  <si>
    <t>Výkon funkcie primátora</t>
  </si>
  <si>
    <t>Zasadnutia orgánov mesta</t>
  </si>
  <si>
    <t>Ochrana pred požiarmi</t>
  </si>
  <si>
    <t>Právne služby</t>
  </si>
  <si>
    <t>Verejné osvetlenie</t>
  </si>
  <si>
    <t>Detské jasle</t>
  </si>
  <si>
    <t>Pochovanie občana</t>
  </si>
  <si>
    <t>Organizácia občianskych obradov</t>
  </si>
  <si>
    <t>Činnosť matriky</t>
  </si>
  <si>
    <t>Verejné toalety</t>
  </si>
  <si>
    <t>Zneškodňovanie odpadu</t>
  </si>
  <si>
    <t>Materské školy</t>
  </si>
  <si>
    <t>Základné školy</t>
  </si>
  <si>
    <t>Školské jedálne</t>
  </si>
  <si>
    <t>Podpora kultúrnych stredísk</t>
  </si>
  <si>
    <t>Podpora športových podujatí</t>
  </si>
  <si>
    <t>Dotácie na šport</t>
  </si>
  <si>
    <t>Športová hala</t>
  </si>
  <si>
    <t>Futbalový štadión</t>
  </si>
  <si>
    <t>Plavárne</t>
  </si>
  <si>
    <t>Karanténna stanica</t>
  </si>
  <si>
    <t>Fontány</t>
  </si>
  <si>
    <t>Výkon funkcie prednostu</t>
  </si>
  <si>
    <t>243</t>
  </si>
  <si>
    <t>Základná umelecká škola m.r.o.</t>
  </si>
  <si>
    <t>VZDELÁVANIE A ŠKOLSKÉ JEDÁLNE s p.s.</t>
  </si>
  <si>
    <t>poplatky - cudzí stravníci</t>
  </si>
  <si>
    <t xml:space="preserve"> - ostatné</t>
  </si>
  <si>
    <t>daň za psa</t>
  </si>
  <si>
    <t>Prepravná služba</t>
  </si>
  <si>
    <t>Manažment mesta</t>
  </si>
  <si>
    <t>Normotvorná činnosť mesta</t>
  </si>
  <si>
    <t>Kontrola činnosti samosprávy</t>
  </si>
  <si>
    <t>Zabezpečovanie volieb</t>
  </si>
  <si>
    <t>Hnuteľný majetok mesta</t>
  </si>
  <si>
    <t>Nebytové priestory</t>
  </si>
  <si>
    <t>Pozemky</t>
  </si>
  <si>
    <t>Prevádzka a údržba budov</t>
  </si>
  <si>
    <t>Mestský informačný systém</t>
  </si>
  <si>
    <t>Autodoprava</t>
  </si>
  <si>
    <t>Preventívna ochrana zamestnancov</t>
  </si>
  <si>
    <t>Klientské centrum</t>
  </si>
  <si>
    <t>Prevádzka mestských trhovísk</t>
  </si>
  <si>
    <t>PROGRAM 5:  BEZPEČNOSŤ</t>
  </si>
  <si>
    <t>Zabezpečovanie verejného poriadku</t>
  </si>
  <si>
    <t>Kamerový systém mesta</t>
  </si>
  <si>
    <t>Voľno časové vzdelávanie</t>
  </si>
  <si>
    <t>Športová infraštruktúra</t>
  </si>
  <si>
    <t>Ochrana prostredia pre život</t>
  </si>
  <si>
    <t>Podpora seniorov</t>
  </si>
  <si>
    <t>Terénna opatrovateľská služba</t>
  </si>
  <si>
    <t>Obnova rodinných pomerov</t>
  </si>
  <si>
    <t>poplatok za jasle</t>
  </si>
  <si>
    <t>stravovanie v detských jasliach</t>
  </si>
  <si>
    <t>stravovanie v materskej škole</t>
  </si>
  <si>
    <t>Poradenstvo - bytové problémy</t>
  </si>
  <si>
    <t>ubytovanie, zaopatrenie, stravovanie -  celoročný pobyt</t>
  </si>
  <si>
    <t>ubytovanie, zaopatrenie, stravovanie - denný a týžd.pobyt</t>
  </si>
  <si>
    <t>poplatok za opatrovateľskú službu - invalidita</t>
  </si>
  <si>
    <t>Dotácia - predškolský vek</t>
  </si>
  <si>
    <t>PROGRAM 1:  MANAŽMENT A PLÁNOVANIE</t>
  </si>
  <si>
    <t>Cestovný ruch</t>
  </si>
  <si>
    <t>Bývanie</t>
  </si>
  <si>
    <t>Správa bytového fondu</t>
  </si>
  <si>
    <t>Štátny fond rozvoja bývania</t>
  </si>
  <si>
    <t>Výstavba RD v súvislosti s MŽT</t>
  </si>
  <si>
    <t>Autobusová doprava</t>
  </si>
  <si>
    <t>Zvoz a odvoz odpadu</t>
  </si>
  <si>
    <t>Cintorínske a pohrebné služby</t>
  </si>
  <si>
    <t>PROGRAM 9:  KULTÚRA</t>
  </si>
  <si>
    <t>PROGRAM 11:  SOCIÁLNE  SLUŽBY</t>
  </si>
  <si>
    <t>Manažérstvo kvality</t>
  </si>
  <si>
    <t>Odpadové a vodné hospodárstvo</t>
  </si>
  <si>
    <t>Rozvoj mesta</t>
  </si>
  <si>
    <t>6</t>
  </si>
  <si>
    <t>Prezentácia mesta</t>
  </si>
  <si>
    <t>Príjmy</t>
  </si>
  <si>
    <t>Výdavky</t>
  </si>
  <si>
    <t>7</t>
  </si>
  <si>
    <t>Územné plánovanie mesta</t>
  </si>
  <si>
    <t>Hosp.správa a evidencia majetku mesta</t>
  </si>
  <si>
    <t>Podporná činnosť MHSL m.r.o.</t>
  </si>
  <si>
    <t>ubytovanie, zaopatrenie, stravovanie - 24 hod.starostlivosť</t>
  </si>
  <si>
    <t>poplatok za komunálne odpady a drobné stavebné odpady</t>
  </si>
  <si>
    <t>Kapitálové príjmy</t>
  </si>
  <si>
    <t>230</t>
  </si>
  <si>
    <t>príjem z predaja kapitálových aktív</t>
  </si>
  <si>
    <t>233</t>
  </si>
  <si>
    <t>Príjem z predaja pozemkov a nehmotných aktív</t>
  </si>
  <si>
    <t xml:space="preserve"> - pozemkov v priemyselnej zóne Zámostie</t>
  </si>
  <si>
    <t>KAPITÁLOVÉ PRÍJMY SPOLU:</t>
  </si>
  <si>
    <t>PRÍJMY SPOLU:</t>
  </si>
  <si>
    <t>Výsledok hospodárenia</t>
  </si>
  <si>
    <t>027</t>
  </si>
  <si>
    <t>finančná náhrada za vyrúbané dreviny</t>
  </si>
  <si>
    <t>Zariadenie pre seniorov</t>
  </si>
  <si>
    <t xml:space="preserve">Bežný rozpočet, kapitálový rozpočet, finančné operácie - sumarizácia </t>
  </si>
  <si>
    <t>* - v zmysle § 10 ods. 6 zákona č.583/2004 Z.z. o rozpočtových pravidlách územnej samosprávy sú súčasťou rozpočtu obce aj finančné operácie, ktorými sa vykonávajú prevody z peňažných fondov obce a realizujú sa návratné zdroje financovania a ich splácanie. Finančné operácie nie sú súčasťou príjmov a výdavkov rozpočtu obce.</t>
  </si>
  <si>
    <t>PRÍJMY spolu</t>
  </si>
  <si>
    <t>Prebytok bežného rozpočtu</t>
  </si>
  <si>
    <t>Slovenská sporiteľňa a.s. - istina z poskytnutých úverov</t>
  </si>
  <si>
    <t xml:space="preserve">821 005 - Splácanie istín z bankových úverov dlhodobých,    z toho: </t>
  </si>
  <si>
    <t>821 007 - Splácanie istín z ostatných úverov  dlhodobých - ŠFRB</t>
  </si>
  <si>
    <t>P r í j m y *</t>
  </si>
  <si>
    <t>V ý d a v k y *</t>
  </si>
  <si>
    <t>Tatra banka a.s. - istina z poskytnutých úverov</t>
  </si>
  <si>
    <t>632</t>
  </si>
  <si>
    <t>633</t>
  </si>
  <si>
    <t>634</t>
  </si>
  <si>
    <t>PROGRAM 2:  PROPAGÁCIA A CESTOVNÝ RUCH</t>
  </si>
  <si>
    <t>PROGRAM 2:    Propagácia a cestovný ruch</t>
  </si>
  <si>
    <t>PROGRAM 1: Manažment a plánovanie</t>
  </si>
  <si>
    <t>PROGRAM 3:  INTERNÉ  SLUŽBY</t>
  </si>
  <si>
    <t>PROGRAM 3:    Interné služby</t>
  </si>
  <si>
    <t>Činnosť a prevádzka mestského úradu</t>
  </si>
  <si>
    <t>PROGRAM 4:  SLUŽBY  OBČANOM</t>
  </si>
  <si>
    <t>PROGRAM 4:    Služby občanom</t>
  </si>
  <si>
    <t>PROGRAM 5:   Bezpečnosť</t>
  </si>
  <si>
    <t>610</t>
  </si>
  <si>
    <t>620</t>
  </si>
  <si>
    <t>631</t>
  </si>
  <si>
    <t>635</t>
  </si>
  <si>
    <t>636</t>
  </si>
  <si>
    <t>637</t>
  </si>
  <si>
    <t>640</t>
  </si>
  <si>
    <t>630</t>
  </si>
  <si>
    <t>Správa a údržba pozem.komunikácií</t>
  </si>
  <si>
    <t>Výstavba a rekonštrukcia pozem.kom.</t>
  </si>
  <si>
    <t>PROGRAM 6:  DOPRAVA</t>
  </si>
  <si>
    <t>PROGRAM 6:   Doprava</t>
  </si>
  <si>
    <t>Politika vzdelávania</t>
  </si>
  <si>
    <t>PROGRAM 9:   Kultúra</t>
  </si>
  <si>
    <t>Galéria Bazovského</t>
  </si>
  <si>
    <t>PROGRAM 10:  ŽIVOTNÉ  PROSTREDIE</t>
  </si>
  <si>
    <t>PROGRAM 10:   Životné prostredie</t>
  </si>
  <si>
    <t>PROGRAM 11:   Sociálne služby</t>
  </si>
  <si>
    <t>Jednorazová pomoc občanom v hm.núdzi</t>
  </si>
  <si>
    <t>PROGRAM 12:  ROZVOJ MESTA A BÝVANIE</t>
  </si>
  <si>
    <t>PROGRAM 12:   Rozvoj mesta a bývanie</t>
  </si>
  <si>
    <t>PROGRAM 7:  VZDELÁVANIE</t>
  </si>
  <si>
    <t>PROGRAM 7:   Vzdelávanie</t>
  </si>
  <si>
    <t xml:space="preserve"> - hrobové miesta</t>
  </si>
  <si>
    <t>04.5.1.</t>
  </si>
  <si>
    <t>Tovary a služby</t>
  </si>
  <si>
    <t>01.1.1.6.</t>
  </si>
  <si>
    <t>Vzdelávanie zamestnancov mesta</t>
  </si>
  <si>
    <t>Elektrická energia</t>
  </si>
  <si>
    <t>06.4.0.</t>
  </si>
  <si>
    <t>Poistné</t>
  </si>
  <si>
    <t>06.2.0.</t>
  </si>
  <si>
    <t>Územno plánovacie podklady a dokumentácie</t>
  </si>
  <si>
    <t>Aktualizácia softvéru</t>
  </si>
  <si>
    <t>04.4.3.</t>
  </si>
  <si>
    <t>ZŠ Potočná - ŠZMT m.r.o.</t>
  </si>
  <si>
    <t>Energie, voda a komunikácie</t>
  </si>
  <si>
    <t>Materiál</t>
  </si>
  <si>
    <t>Služby</t>
  </si>
  <si>
    <t>Vzdelávacie poukazy</t>
  </si>
  <si>
    <t>Tovary a služby, z toho:</t>
  </si>
  <si>
    <t>ŠKD Potočná - ŠZMT m.r.o.</t>
  </si>
  <si>
    <t xml:space="preserve"> - poplatky za školské kluby</t>
  </si>
  <si>
    <t>08.1.0</t>
  </si>
  <si>
    <t>09.8.0.</t>
  </si>
  <si>
    <t>ŠZMT m.r.o. - správa</t>
  </si>
  <si>
    <t>Cestovné - tuzemské</t>
  </si>
  <si>
    <t xml:space="preserve">Materiál </t>
  </si>
  <si>
    <t>Mzdy, platy a OOV</t>
  </si>
  <si>
    <t>06.6.0.</t>
  </si>
  <si>
    <t>Poistné a príspevok do poisťovní</t>
  </si>
  <si>
    <t>Dopravné</t>
  </si>
  <si>
    <t>Rutinná a štandardná údržba</t>
  </si>
  <si>
    <t>Nájomné za prenájom</t>
  </si>
  <si>
    <t>08.1.0.</t>
  </si>
  <si>
    <t>za vstupné: krytá plaváreň</t>
  </si>
  <si>
    <t>za vstupné: letná plaváreň</t>
  </si>
  <si>
    <t>08.2.0.9.</t>
  </si>
  <si>
    <t>04.2.2.</t>
  </si>
  <si>
    <t>Transfery</t>
  </si>
  <si>
    <t>10.2.0.1.</t>
  </si>
  <si>
    <t>05.1.0.</t>
  </si>
  <si>
    <t>Záväzky 2010: Dohoda o urovaní dlhu</t>
  </si>
  <si>
    <t>Skládka Zámoste - monitoring</t>
  </si>
  <si>
    <t>05.6.0.</t>
  </si>
  <si>
    <t>Deratizácia verejných plôch zelene</t>
  </si>
  <si>
    <t>01.3.3.</t>
  </si>
  <si>
    <t>03.2.0.</t>
  </si>
  <si>
    <t>Dobrovoľné has.zbory - dotácia</t>
  </si>
  <si>
    <t>Poštové a telekomunikačné služby</t>
  </si>
  <si>
    <t>Údržba budov Mestského úradu</t>
  </si>
  <si>
    <t>Trávniky - kosenie,hrabanie,postrek,...</t>
  </si>
  <si>
    <t>Dreviny - orez, výrub, výsadba,...</t>
  </si>
  <si>
    <t>Záhony kvetov</t>
  </si>
  <si>
    <t>08.4.0.</t>
  </si>
  <si>
    <t>02.2.0.</t>
  </si>
  <si>
    <t>zákonné povinnosti na úseku CO</t>
  </si>
  <si>
    <t>daň za ubytovanie</t>
  </si>
  <si>
    <t>01.1.2.</t>
  </si>
  <si>
    <t>01.1.1:6.</t>
  </si>
  <si>
    <t>Poštovné (právnické osoby,predvolania, ...)</t>
  </si>
  <si>
    <t>10.7.0.1.</t>
  </si>
  <si>
    <t>Dávka sociálnej pomoci</t>
  </si>
  <si>
    <t>10.7.0.4.</t>
  </si>
  <si>
    <t>Grantový program</t>
  </si>
  <si>
    <t>Posudková činnosť</t>
  </si>
  <si>
    <t>Pohrebné služby</t>
  </si>
  <si>
    <t>10.4.0.3.</t>
  </si>
  <si>
    <t>Príspevky na dopravu do detského domova</t>
  </si>
  <si>
    <t>Príspevky na úpravu rodinných pomerov</t>
  </si>
  <si>
    <t>Tvorba úspor na dieťa</t>
  </si>
  <si>
    <t>09.1.1.1.</t>
  </si>
  <si>
    <t>SSMT m.r.o.</t>
  </si>
  <si>
    <t>Cestovné náhrady</t>
  </si>
  <si>
    <t xml:space="preserve"> - RZMOSP</t>
  </si>
  <si>
    <t xml:space="preserve"> - Euroregión Biele Karpaty</t>
  </si>
  <si>
    <t>za verejné WC</t>
  </si>
  <si>
    <t xml:space="preserve">Ruderálne porasty - kosenie </t>
  </si>
  <si>
    <t>Transfery - náhrada počas PN</t>
  </si>
  <si>
    <t>10.2.0.2.</t>
  </si>
  <si>
    <t>Energie, voda a komunikácie - telefón,poštovné</t>
  </si>
  <si>
    <t>Transfery - náhrada počas PN, odchodné</t>
  </si>
  <si>
    <t>poplatok za opatrovateľskú službu - seniori</t>
  </si>
  <si>
    <t>Členské príspevky, z toho:</t>
  </si>
  <si>
    <t>Transfery: odstupné, odchodné, PN</t>
  </si>
  <si>
    <t>Transfery - poplatky do fondu opráv</t>
  </si>
  <si>
    <t>Poistenie</t>
  </si>
  <si>
    <r>
      <t xml:space="preserve">Mobilná ľadová plocha </t>
    </r>
    <r>
      <rPr>
        <sz val="9"/>
        <rFont val="Arial CE"/>
        <family val="0"/>
      </rPr>
      <t xml:space="preserve"> - poistenie</t>
    </r>
  </si>
  <si>
    <t>Poistné a prívpevky do poisťovní</t>
  </si>
  <si>
    <t>Cestovné výdavky</t>
  </si>
  <si>
    <t>03.1.0.</t>
  </si>
  <si>
    <t>Organizácia mestských podujatí</t>
  </si>
  <si>
    <t xml:space="preserve">  - Kultúrne leto</t>
  </si>
  <si>
    <t xml:space="preserve">  - Ora et Ars</t>
  </si>
  <si>
    <t xml:space="preserve">  - Pri Trenčianskej bráne</t>
  </si>
  <si>
    <t xml:space="preserve">  - príležitostné menšie podujatia</t>
  </si>
  <si>
    <t>Organizácia kultúrnych podujatí</t>
  </si>
  <si>
    <t>Podpora kultúrnych podujatí a činností</t>
  </si>
  <si>
    <t>Výkon funkcie zástupcu primátora</t>
  </si>
  <si>
    <t xml:space="preserve">poplatky za ubytovanie a starostlivosť </t>
  </si>
  <si>
    <t>poplatky za stravovanie</t>
  </si>
  <si>
    <t>Energia, voda a komunikácie</t>
  </si>
  <si>
    <t>10.1.2.3.</t>
  </si>
  <si>
    <t>Nocľaháreň</t>
  </si>
  <si>
    <t>10.7.0.2.</t>
  </si>
  <si>
    <t xml:space="preserve">Služby </t>
  </si>
  <si>
    <t>717</t>
  </si>
  <si>
    <t>Prenájom plynových fľiaš</t>
  </si>
  <si>
    <t>Odmeňovanie učiteľov, žiakov, knihy</t>
  </si>
  <si>
    <t>Dotácia v oblasti školstva a výchovy</t>
  </si>
  <si>
    <t xml:space="preserve"> - MŠ Švermova</t>
  </si>
  <si>
    <t xml:space="preserve"> - MŠ Legionárska</t>
  </si>
  <si>
    <t xml:space="preserve"> - MŠ Považská</t>
  </si>
  <si>
    <t xml:space="preserve"> - MŠ Turkovej</t>
  </si>
  <si>
    <t xml:space="preserve"> - MŠ Soblahovská</t>
  </si>
  <si>
    <t xml:space="preserve"> - MŠ Šmidkeho</t>
  </si>
  <si>
    <t xml:space="preserve"> - MŠ Halašu</t>
  </si>
  <si>
    <t xml:space="preserve"> - MŠ Stromová</t>
  </si>
  <si>
    <t xml:space="preserve"> - MŠ Opatovská</t>
  </si>
  <si>
    <t xml:space="preserve"> - MŠ Kubranská</t>
  </si>
  <si>
    <t xml:space="preserve"> - MŠ Medňanského</t>
  </si>
  <si>
    <t xml:space="preserve"> - MŠ Pri parku</t>
  </si>
  <si>
    <t xml:space="preserve"> - MŠ Niva</t>
  </si>
  <si>
    <t xml:space="preserve"> - MŠ 28. októbra</t>
  </si>
  <si>
    <t xml:space="preserve"> - MŠ Na dolinách</t>
  </si>
  <si>
    <t>MŠ Švermova</t>
  </si>
  <si>
    <r>
      <t xml:space="preserve">Tovary a služby, </t>
    </r>
    <r>
      <rPr>
        <sz val="8"/>
        <rFont val="Arial CE"/>
        <family val="0"/>
      </rPr>
      <t>z toho:</t>
    </r>
  </si>
  <si>
    <t>MŠ Legionárska</t>
  </si>
  <si>
    <t>MŠ Považská</t>
  </si>
  <si>
    <t>MŠ Turkovej</t>
  </si>
  <si>
    <t>MŠ Soblahovská</t>
  </si>
  <si>
    <t>MŠ Šmidkeho</t>
  </si>
  <si>
    <t>Nájomné</t>
  </si>
  <si>
    <t>8</t>
  </si>
  <si>
    <t>MŠ  J. Halašu</t>
  </si>
  <si>
    <t>9</t>
  </si>
  <si>
    <t>MŠ Stromová</t>
  </si>
  <si>
    <t>10</t>
  </si>
  <si>
    <t>MŠ Opatovská</t>
  </si>
  <si>
    <t>11</t>
  </si>
  <si>
    <t>MŠ Kubranská</t>
  </si>
  <si>
    <t>MŠ Medňanského</t>
  </si>
  <si>
    <t>12</t>
  </si>
  <si>
    <t>MŠ Pri parku</t>
  </si>
  <si>
    <t>13</t>
  </si>
  <si>
    <t>MŠ Niva</t>
  </si>
  <si>
    <t>14</t>
  </si>
  <si>
    <t>MŠ 28. októbra</t>
  </si>
  <si>
    <t>15</t>
  </si>
  <si>
    <t>MŠ Na dolinách</t>
  </si>
  <si>
    <t>16</t>
  </si>
  <si>
    <t>ZŠ Novomeského</t>
  </si>
  <si>
    <t xml:space="preserve">Dopravné </t>
  </si>
  <si>
    <t>Transfery (odchodné + náhrada PN)</t>
  </si>
  <si>
    <t>ZŠ Hodžova</t>
  </si>
  <si>
    <t>ZŠ Dlhé Hony</t>
  </si>
  <si>
    <t>ZŠ Veľkomoravská</t>
  </si>
  <si>
    <t>Prenájom strojov</t>
  </si>
  <si>
    <t xml:space="preserve">Transfery </t>
  </si>
  <si>
    <t>ZŠ Kubranská</t>
  </si>
  <si>
    <t>ZŠ Na dolinách</t>
  </si>
  <si>
    <t>ZŠ Východná</t>
  </si>
  <si>
    <t xml:space="preserve">ŠJ pri Piaristické gymnázium J.Braneckého </t>
  </si>
  <si>
    <t>ŠJ pri ZŠ sv. Andrea Svorada a Benedikta</t>
  </si>
  <si>
    <t>ŠJ Novomeského</t>
  </si>
  <si>
    <t>ŠJ Dlhé Hony</t>
  </si>
  <si>
    <t>ŠJ Veľkomoravská</t>
  </si>
  <si>
    <t>ŠJ Kubranská</t>
  </si>
  <si>
    <t>ŠJ Bezručova</t>
  </si>
  <si>
    <t>ŠJ Východná</t>
  </si>
  <si>
    <t>ŠKD Novomeského</t>
  </si>
  <si>
    <t>Transfery - náhrada PN</t>
  </si>
  <si>
    <t>ŠKD Hodžova</t>
  </si>
  <si>
    <t>ŠKD Dlhé Hony</t>
  </si>
  <si>
    <t>ŠKD Veľkomoravská</t>
  </si>
  <si>
    <t>ŠKD Kubranská</t>
  </si>
  <si>
    <t>ŠKD Na dolinách</t>
  </si>
  <si>
    <t>ŠKD Bezručova</t>
  </si>
  <si>
    <t>ŠKD Východná</t>
  </si>
  <si>
    <t>ŠKD ZŠ sv. Svorada a Benedikta</t>
  </si>
  <si>
    <t>ŠKD ZŠ Futurum</t>
  </si>
  <si>
    <t>ZUŠ Trenčín</t>
  </si>
  <si>
    <t>CVČ Trenčín</t>
  </si>
  <si>
    <t>Súkromná ZUŠ Berecová - Gagarinova</t>
  </si>
  <si>
    <t>Súkromná ZUŠ Bebjak - Novomeského</t>
  </si>
  <si>
    <t>ŠJ pri MŠ Švermova</t>
  </si>
  <si>
    <t>ŠJ pri MŠ Legionárska</t>
  </si>
  <si>
    <t xml:space="preserve">ŠJ pri MŠ Považská </t>
  </si>
  <si>
    <t>ŠJ pri MŠ M. Turkovej</t>
  </si>
  <si>
    <t>ŠJ pri MŠ Soblahovská</t>
  </si>
  <si>
    <t>ŠJ pri MŠ Šmidkeho</t>
  </si>
  <si>
    <t>09.6.0.1.</t>
  </si>
  <si>
    <t>ŠJ pri MŠ Šafárikova</t>
  </si>
  <si>
    <t>ŠJ pri MŠ Halašu</t>
  </si>
  <si>
    <t>ŠJ pri MŠ Stromová</t>
  </si>
  <si>
    <t xml:space="preserve">ŠJ pri MŠ Opatovská </t>
  </si>
  <si>
    <t>ŠJ pri MŠ Kubranská</t>
  </si>
  <si>
    <t>ŠJ pri MŠ Medňanského</t>
  </si>
  <si>
    <t>ŠJ pri MŠ Pri Parku</t>
  </si>
  <si>
    <t>ŠZMT m.r.o. - školské jedálne:</t>
  </si>
  <si>
    <t>ŠJ Na Dolinách</t>
  </si>
  <si>
    <t>ŠJ ZŠ Hodžova</t>
  </si>
  <si>
    <t>Záväzky 2010: Dohoda o urovnaní dlhu</t>
  </si>
  <si>
    <t>Rovnošaty</t>
  </si>
  <si>
    <t>Strategické plánovanie mesta</t>
  </si>
  <si>
    <t xml:space="preserve"> - Asociácia prednostov</t>
  </si>
  <si>
    <t>ZŠ Bezručova</t>
  </si>
  <si>
    <t>Poistenie (stará + nová letná)</t>
  </si>
  <si>
    <t>Činnosti na úseku PO</t>
  </si>
  <si>
    <t>zimný štadión</t>
  </si>
  <si>
    <t>Vlastné príjmy</t>
  </si>
  <si>
    <t>Bežné transfery</t>
  </si>
  <si>
    <t>04.7.3.</t>
  </si>
  <si>
    <t>08.3.0.</t>
  </si>
  <si>
    <t>09.5.0.</t>
  </si>
  <si>
    <t>09.1.2.1.</t>
  </si>
  <si>
    <t xml:space="preserve">09.1.2.1. </t>
  </si>
  <si>
    <t>09.5.0.1.</t>
  </si>
  <si>
    <t>09.5.0.2.</t>
  </si>
  <si>
    <t>06.1.0.</t>
  </si>
  <si>
    <t>Dohoda o reštr.dlhu - záväzky 2010</t>
  </si>
  <si>
    <t>Nová letná plaváreň - energie+stráženie</t>
  </si>
  <si>
    <t>Dohoda o reštr.dlhu - záväzky 2010 - SLSP</t>
  </si>
  <si>
    <t>Dohoda o reštr.dlhu - záväzky 2010 - ČSOB</t>
  </si>
  <si>
    <t>Nová letná plaváreň -záväzky 2010 - CŠOB</t>
  </si>
  <si>
    <t>Nová letná plaváreň - záväzky 2010 - SLSP</t>
  </si>
  <si>
    <t>Záväzky 2010  - Dohoda o reštr.dlhu - ČSOB</t>
  </si>
  <si>
    <t>Záväzky 2010  - Dohoda o reštr.dlhu - SLSP</t>
  </si>
  <si>
    <t>716</t>
  </si>
  <si>
    <t>Rekultivácia skládky Zámostie - splátka</t>
  </si>
  <si>
    <t>Záväzky 2010 - Dohoda o reštr.dlhu - ČSOB</t>
  </si>
  <si>
    <t>Nákup pozemkov</t>
  </si>
  <si>
    <t xml:space="preserve">Kľúčové podujatia </t>
  </si>
  <si>
    <t xml:space="preserve">ZŠ Potočná </t>
  </si>
  <si>
    <t>Telefóny, internet</t>
  </si>
  <si>
    <t xml:space="preserve">Odmeny </t>
  </si>
  <si>
    <t>Medz.spolupráca a zahraničné vzťahy</t>
  </si>
  <si>
    <t xml:space="preserve"> - Asociácia komunálnych ekonómov</t>
  </si>
  <si>
    <t>Komunikácia s verej.inštitúciami v mene mesta</t>
  </si>
  <si>
    <r>
      <t>MHSL m.r.o. - prevádzka budov</t>
    </r>
    <r>
      <rPr>
        <sz val="8"/>
        <rFont val="Arial CE"/>
        <family val="0"/>
      </rPr>
      <t>, z toho:</t>
    </r>
  </si>
  <si>
    <t>Záväzky 2010-Dohoda o reštr.dlhu - ČSOB</t>
  </si>
  <si>
    <t>MHSL m.r.o. , z toho:</t>
  </si>
  <si>
    <t>MHSL m.r.o., z toho:</t>
  </si>
  <si>
    <r>
      <t>Tovary a služby,</t>
    </r>
    <r>
      <rPr>
        <sz val="9"/>
        <rFont val="Arial CE"/>
        <family val="0"/>
      </rPr>
      <t xml:space="preserve"> z toho:</t>
    </r>
  </si>
  <si>
    <t>MHSL m.r.o. - vianočné osvetlenie, z toho:</t>
  </si>
  <si>
    <t>Oprava a doplnenie nových dopr.zariadení</t>
  </si>
  <si>
    <r>
      <t>Tovary a služby</t>
    </r>
    <r>
      <rPr>
        <sz val="8"/>
        <rFont val="Arial CE"/>
        <family val="0"/>
      </rPr>
      <t>, z toho:</t>
    </r>
  </si>
  <si>
    <t>Artkino Metro</t>
  </si>
  <si>
    <r>
      <t>MHSL m.r.o. - údržba zelene</t>
    </r>
    <r>
      <rPr>
        <sz val="8"/>
        <rFont val="Arial CE"/>
        <family val="0"/>
      </rPr>
      <t>, z toho:</t>
    </r>
  </si>
  <si>
    <r>
      <t xml:space="preserve">Ostatné činnosti </t>
    </r>
    <r>
      <rPr>
        <sz val="8"/>
        <rFont val="Arial CE"/>
        <family val="0"/>
      </rPr>
      <t>, z toho:</t>
    </r>
  </si>
  <si>
    <t>SSMT m.r.o. z toho:</t>
  </si>
  <si>
    <t>SSMT m.r.o., z toho:</t>
  </si>
  <si>
    <r>
      <t>SSMT m.r.o.</t>
    </r>
    <r>
      <rPr>
        <sz val="9"/>
        <rFont val="Arial CE"/>
        <family val="0"/>
      </rPr>
      <t>, z toho:</t>
    </r>
  </si>
  <si>
    <r>
      <t>SSMT m.r.o.</t>
    </r>
    <r>
      <rPr>
        <sz val="8"/>
        <rFont val="Arial CE"/>
        <family val="0"/>
      </rPr>
      <t>, z toho:</t>
    </r>
  </si>
  <si>
    <t>Energie, voda a komunikácie: telefón,poštovné</t>
  </si>
  <si>
    <t xml:space="preserve"> - prenájom kultúrnych stredísk</t>
  </si>
  <si>
    <t>Denné centrá pre seniorov</t>
  </si>
  <si>
    <t xml:space="preserve">administratívne poplatky </t>
  </si>
  <si>
    <t xml:space="preserve">  - ZŠ Novomeského</t>
  </si>
  <si>
    <t xml:space="preserve">  - ZŠ Dlhé Hony</t>
  </si>
  <si>
    <t xml:space="preserve">  - ZŠ Veľkomoravská</t>
  </si>
  <si>
    <t xml:space="preserve">  - ZŠ Kubranská</t>
  </si>
  <si>
    <t xml:space="preserve">  - ZŠ Bezruča</t>
  </si>
  <si>
    <t xml:space="preserve">  - ZŠ Východná</t>
  </si>
  <si>
    <t xml:space="preserve">  - ZŠ Na dolinách</t>
  </si>
  <si>
    <t xml:space="preserve">  - ZŠ Hodžova</t>
  </si>
  <si>
    <t>Manažment SSMT m.r.o.</t>
  </si>
  <si>
    <t>Mobiliár mesta a detské ihriská</t>
  </si>
  <si>
    <t>17</t>
  </si>
  <si>
    <t>18</t>
  </si>
  <si>
    <t>19</t>
  </si>
  <si>
    <t xml:space="preserve">Poistné a príspevok do poisťovní </t>
  </si>
  <si>
    <t>MHSL m.r.o.</t>
  </si>
  <si>
    <t>Rekonštrukcia VO - splátky ČSOB</t>
  </si>
  <si>
    <t>Civilná ochrana</t>
  </si>
  <si>
    <t>FK</t>
  </si>
  <si>
    <t>EK</t>
  </si>
  <si>
    <t>P/P</t>
  </si>
  <si>
    <t>PP</t>
  </si>
  <si>
    <t xml:space="preserve"> - Združenie K8</t>
  </si>
  <si>
    <t>INFO</t>
  </si>
  <si>
    <t>Prezentácia mesta v médiách</t>
  </si>
  <si>
    <t>Internetové systémy, SEO, správa turistických</t>
  </si>
  <si>
    <t>Daňová a rozpočt.agenda mesta a účtovníctvo</t>
  </si>
  <si>
    <t>Členstvo v samospr.organizáciách a združ.</t>
  </si>
  <si>
    <t xml:space="preserve">Tuzemské pracovné cesty </t>
  </si>
  <si>
    <t>Školenia, semináre, zvyš.kvalifikácie a pod.</t>
  </si>
  <si>
    <t>Poštové a telekom.služby</t>
  </si>
  <si>
    <t>Výpočtová technicka do 1 700 €</t>
  </si>
  <si>
    <t>Údržba výpočtovej techniky</t>
  </si>
  <si>
    <t>Energie</t>
  </si>
  <si>
    <t>Prevádza pohrebísk a cintorínov</t>
  </si>
  <si>
    <t>Prevádzka VO</t>
  </si>
  <si>
    <t>Poistenie VO</t>
  </si>
  <si>
    <t xml:space="preserve">Služby: posudky, reklama, dane, kolky a pod. </t>
  </si>
  <si>
    <t>Služby: Právne služby</t>
  </si>
  <si>
    <t xml:space="preserve">Služby: Trovy a odmeny pre exekútorov </t>
  </si>
  <si>
    <t xml:space="preserve">Služby: Súdne poplatky </t>
  </si>
  <si>
    <t>Materiál: Občerstvenie a pod.</t>
  </si>
  <si>
    <t>Dary, kvety, pracovné obedy a pod.</t>
  </si>
  <si>
    <t>Materiál: Tlačivá, papier, etikety, obálky a pod.</t>
  </si>
  <si>
    <t>Propagácia kult.podujatí, produktov CR, kultúry</t>
  </si>
  <si>
    <t>Materiál: farba, nálepky a p.</t>
  </si>
  <si>
    <t>Služby: zúčtovateľské služby, poplatky za správu a p.</t>
  </si>
  <si>
    <t>Prekrytie tržnice pri NS Družba</t>
  </si>
  <si>
    <t>242</t>
  </si>
  <si>
    <t>z vkladov</t>
  </si>
  <si>
    <t>Deti zo sociálne znevýhodneného prostredia</t>
  </si>
  <si>
    <t>Transfery - náhrada PN, odchodné</t>
  </si>
  <si>
    <t>Mzdy, platy, OOV</t>
  </si>
  <si>
    <t>Transfery (odchodné)</t>
  </si>
  <si>
    <t>Transfery (náhrada PN)</t>
  </si>
  <si>
    <t>Cestovné žiakom</t>
  </si>
  <si>
    <t>Transfery  - náhrada PN</t>
  </si>
  <si>
    <t>ŠJ Gymázium FUTURUM (zriaď. FUTURE n.o.)</t>
  </si>
  <si>
    <t>ŠJ ZŠ FUTURUM (zriaď. SG FUTURUM)</t>
  </si>
  <si>
    <t>Základné školy - školské jedálne:</t>
  </si>
  <si>
    <t>ŠZMT m.r.o. - materské školy:</t>
  </si>
  <si>
    <t>Súkromná MŠ Janka Kráľa (Mgr.Valachová)</t>
  </si>
  <si>
    <t>Súkromná MŠ Slimáčik (Mgr. Mildeová)</t>
  </si>
  <si>
    <t>Súkromná MŠ Orechovská (Mgr. Masariková)</t>
  </si>
  <si>
    <t xml:space="preserve">Rutinná a štand.údržba </t>
  </si>
  <si>
    <t>Materiál - medaile</t>
  </si>
  <si>
    <t>Materiál - knihy pre prvákov</t>
  </si>
  <si>
    <t>Materiál - kvety pre učiteľov</t>
  </si>
  <si>
    <t>Cestovné</t>
  </si>
  <si>
    <t>Transfery - odchodné, náhrady PN</t>
  </si>
  <si>
    <t>stravovanie zamestnanci</t>
  </si>
  <si>
    <t>Aktualizácia katastrálnych máp</t>
  </si>
  <si>
    <t>Certifikačný audit</t>
  </si>
  <si>
    <t xml:space="preserve"> - Združenie miest a obcí Slovenska</t>
  </si>
  <si>
    <t xml:space="preserve"> - Združenie náčelníkov MsP</t>
  </si>
  <si>
    <t xml:space="preserve">  - MDD</t>
  </si>
  <si>
    <t xml:space="preserve">  - Čaro Vianoc pod hradom</t>
  </si>
  <si>
    <t xml:space="preserve">  - Mestská veža</t>
  </si>
  <si>
    <t>Dohody - prevádzka KS</t>
  </si>
  <si>
    <t>Materiál, darčeky, kvety a p.</t>
  </si>
  <si>
    <t>Dopravné (PHM, opravy,známky, ....)</t>
  </si>
  <si>
    <t>Poistenie (miliónové)</t>
  </si>
  <si>
    <t>Poistenie (zákonné, havarijné)</t>
  </si>
  <si>
    <t>Nákup stavieb</t>
  </si>
  <si>
    <t xml:space="preserve">Poistenie RD </t>
  </si>
  <si>
    <t>Údržba kamerového systému</t>
  </si>
  <si>
    <t>Transfery - odchodné</t>
  </si>
  <si>
    <t>MHSL m.r.o. z toho:</t>
  </si>
  <si>
    <t>MHSL m.r.o. - Krytá plaváreň</t>
  </si>
  <si>
    <t xml:space="preserve">Mzdy, platy a OOV </t>
  </si>
  <si>
    <t>z mestských lesov - stredisko Soblahov, Brezina</t>
  </si>
  <si>
    <t>Nájom</t>
  </si>
  <si>
    <t>Dendrologické posudky</t>
  </si>
  <si>
    <t>Dohoda o reštr.dlhu - ČSOB</t>
  </si>
  <si>
    <t>Československá obchodná banka a.s. - istina z poskytnutých úverov</t>
  </si>
  <si>
    <t>Poistenie - FŠ Opatová, FŠ Na Sihoti, FŠ Záblatie</t>
  </si>
  <si>
    <t>Stavebný úrad pre Mesto Trenčín</t>
  </si>
  <si>
    <r>
      <t xml:space="preserve">F I N A N Č N É   O P E R Á C I E </t>
    </r>
    <r>
      <rPr>
        <b/>
        <i/>
        <vertAlign val="superscript"/>
        <sz val="12"/>
        <color indexed="9"/>
        <rFont val="Arial CE"/>
        <family val="2"/>
      </rPr>
      <t>*</t>
    </r>
  </si>
  <si>
    <t xml:space="preserve">Nový cintorín - Bočkove sady </t>
  </si>
  <si>
    <t>Architektonické štúdie</t>
  </si>
  <si>
    <t>Rekonštrukcia strechy</t>
  </si>
  <si>
    <t xml:space="preserve">  Program 1:   Manažment a plánovanie</t>
  </si>
  <si>
    <t xml:space="preserve">  Program 3:   Interné služby mesta</t>
  </si>
  <si>
    <t xml:space="preserve">  Program 4:   Služby občanom</t>
  </si>
  <si>
    <t xml:space="preserve">  Program 5:   Bezpečnosť</t>
  </si>
  <si>
    <t xml:space="preserve">  Program 6:   Doprava</t>
  </si>
  <si>
    <t xml:space="preserve">  Program 7:   Vzdelávanie</t>
  </si>
  <si>
    <t xml:space="preserve">  Program 9:  Kultúra</t>
  </si>
  <si>
    <t xml:space="preserve">  Program 10: Životné prostredie</t>
  </si>
  <si>
    <t xml:space="preserve">  Program 11: Sociálne služby</t>
  </si>
  <si>
    <t xml:space="preserve">  Program 12: Rozvoj mesta a bývanie</t>
  </si>
  <si>
    <t>Križovatka Ul. Legionárska a Dlhé Hony</t>
  </si>
  <si>
    <t>Rekonštrukcia + zateplenia budov</t>
  </si>
  <si>
    <t>Miestne médiá (rozhlas)</t>
  </si>
  <si>
    <t>Základné školy - 5% rezerva</t>
  </si>
  <si>
    <t>Ošatné, dohody a p.</t>
  </si>
  <si>
    <t>Úroky a poplatky súvisiace s úvermi</t>
  </si>
  <si>
    <t>01.7.0.</t>
  </si>
  <si>
    <t>Kultúrne centrum seniorov</t>
  </si>
  <si>
    <t xml:space="preserve">MHSL m.r.o. </t>
  </si>
  <si>
    <t xml:space="preserve">Odb.podujatia, networking, prieskumy a p. </t>
  </si>
  <si>
    <t>Schodok kapitálového rozpočtu</t>
  </si>
  <si>
    <t>Schodok rozpočtu</t>
  </si>
  <si>
    <t>Tlmočenie, monitoring tlače, vš.služby a p.</t>
  </si>
  <si>
    <t>513 002: Prijatie dlhodobého investičného úveru</t>
  </si>
  <si>
    <t>Krajská rada Slovenskej asociácie športu na školách: Trenčianska palička</t>
  </si>
  <si>
    <t>Klub vodných motoristov RACING TEAM GO!!!: Majstrovská Európy vo vodnom motorizme</t>
  </si>
  <si>
    <t>Detské ihriská -záväzky 2010 - ČSOB</t>
  </si>
  <si>
    <t>CVČ sv. Svorada a Benedikta</t>
  </si>
  <si>
    <t>CVČ Piaristické gymnázium J.Braneckého</t>
  </si>
  <si>
    <t xml:space="preserve">Mladí cyklisti, n.o.:  pokrytie časti nákladov spojených s činnosťou </t>
  </si>
  <si>
    <t xml:space="preserve"> - Pohoda festival, s.r.o. - Festival Pohoda</t>
  </si>
  <si>
    <t xml:space="preserve"> - Artfilm, n.o. - Artfilm</t>
  </si>
  <si>
    <t xml:space="preserve"> - Beňadik, neinvestičný fond - Mariánske koncerty</t>
  </si>
  <si>
    <t xml:space="preserve"> - Skupina historického šermu Wagus, n.o. - Trenčianske historické slávnosti</t>
  </si>
  <si>
    <t xml:space="preserve"> - Horyzonty, o.z. - HoryZonty</t>
  </si>
  <si>
    <t xml:space="preserve"> - Rendek Holding, s.r.o. - Trenčianske Hradosti</t>
  </si>
  <si>
    <t xml:space="preserve"> - Občianske združenie Trenčianska jazzová spoločnosť - Jazz pod hradom</t>
  </si>
  <si>
    <t xml:space="preserve"> - Kolomaž (združenie pre súčasné umenie) - Sám na     javisku</t>
  </si>
  <si>
    <t xml:space="preserve"> - Tanečný klub Dukla Trenčín - Laugaricio Cup</t>
  </si>
  <si>
    <t>TJ Družstevník Opatová - dotácia na prevádzku a činnosť</t>
  </si>
  <si>
    <t>OZ Trenčiansky ÚTULOK - dotácia na prevádzku a činnosť</t>
  </si>
  <si>
    <t>TJ Družstevník Záblatie - dotácia na prevádzku a činnosť</t>
  </si>
  <si>
    <t>AS Trenčín a.s. - dotácia na prevádzku a činnosť - FŠ Na Sihoti</t>
  </si>
  <si>
    <t>ŠK 1.FBC,oz. - dotácia na prevázku a činnosť</t>
  </si>
  <si>
    <t>FK SOS TTS Trenčín: pokrytie časti nákladov spojených s činnosťou</t>
  </si>
  <si>
    <t>PD - Rekonštrukcia strechy</t>
  </si>
  <si>
    <t xml:space="preserve">Záujmové vzd.v CVČ mimo trvalého bydliska </t>
  </si>
  <si>
    <t>Spoluúčasť na výst.a intenzifikácii kanal. systémov (Opatová,Zlatovce,Orechové,Istebník)</t>
  </si>
  <si>
    <t>Udržateľnosť projektu "Môj domov - Biele Karpaty</t>
  </si>
  <si>
    <t>Poistené - posudková činnosť</t>
  </si>
  <si>
    <t>Poplatky za nocľaháreň, prenájom fasády</t>
  </si>
  <si>
    <t>Doplatok straty za rok 2013</t>
  </si>
  <si>
    <t>Záloha na rok 2014</t>
  </si>
  <si>
    <t>Rok 2014: január - október</t>
  </si>
  <si>
    <t>Rok 2014: jarné a jesenné upratovanie</t>
  </si>
  <si>
    <t>Vypracovanie Programu odpadového hospodárstva</t>
  </si>
  <si>
    <t>Dotácia na prenesen.výkon št.správy v oblasti ŽP</t>
  </si>
  <si>
    <t>Implementácia projektov - mestské zásahy</t>
  </si>
  <si>
    <t>Zmeny a doplnky č. 1 ÚPN</t>
  </si>
  <si>
    <t>Model CMZ - víťazný návrh</t>
  </si>
  <si>
    <t xml:space="preserve"> - Združenie informatikov samospráv</t>
  </si>
  <si>
    <t>Osobné ochranné pracovné prostriedky</t>
  </si>
  <si>
    <t xml:space="preserve">  - Festival francúzskych filmov v Trenčíne</t>
  </si>
  <si>
    <t xml:space="preserve">  - Trenčiansky majáles</t>
  </si>
  <si>
    <t>Organizácia mestských podujatí - materiál</t>
  </si>
  <si>
    <t>Kvety, vence, reprezentačné, materiál a pod.</t>
  </si>
  <si>
    <t>Dotácie na mládež</t>
  </si>
  <si>
    <t>PROGRAM 8:  ŠPORT A MLÁDEŽ</t>
  </si>
  <si>
    <t>PROGRAM 8:   Šport a mládež</t>
  </si>
  <si>
    <t xml:space="preserve">  Program 8:  Šport a mládež</t>
  </si>
  <si>
    <t>Granty a transfery</t>
  </si>
  <si>
    <t>007</t>
  </si>
  <si>
    <t>poplatky cudzí stravníci</t>
  </si>
  <si>
    <t>Zvuková technika - drobný materiál</t>
  </si>
  <si>
    <t>MŠ Šafárikova m.r.o. od 1.1.2014</t>
  </si>
  <si>
    <t>MŠ Šafáriková</t>
  </si>
  <si>
    <t>Projekty</t>
  </si>
  <si>
    <t>311</t>
  </si>
  <si>
    <t>Stavebná, bežná, súvislá a zimná údržba</t>
  </si>
  <si>
    <t>Spoluúčasť na škodových udalostiach</t>
  </si>
  <si>
    <t xml:space="preserve">MHSL m.r.o. - Stredisko Soblahov </t>
  </si>
  <si>
    <t>za energie: krytá plaváreň</t>
  </si>
  <si>
    <t>Kotolňa</t>
  </si>
  <si>
    <t>Slovenský zväz protifašistických bojovníkov - ZO Trenčín - 1</t>
  </si>
  <si>
    <t>Združenie kresťanských seniorov Slovenska, klub  Trenčín - mesto</t>
  </si>
  <si>
    <t>Okresná organizácia Jednoty dôchodcov na Slovensku v Trenčíne, z toho:</t>
  </si>
  <si>
    <t xml:space="preserve">   Jednota dôchodcov - ZO č.19</t>
  </si>
  <si>
    <t xml:space="preserve">   Jednota dôchodcov - ZO č.02</t>
  </si>
  <si>
    <t xml:space="preserve">   Jednota dôchodcov - ZO č.27</t>
  </si>
  <si>
    <t xml:space="preserve">   Jednota dôchodcov - ZO č.05</t>
  </si>
  <si>
    <t xml:space="preserve">   Jednota dôchodcov - ZO č.30</t>
  </si>
  <si>
    <t xml:space="preserve">   Jednota dôchodcov - ZO č.01</t>
  </si>
  <si>
    <t xml:space="preserve">   Jednota dôchodcov - ZO č.06</t>
  </si>
  <si>
    <t>Denné centrum seniorov - Záblatie</t>
  </si>
  <si>
    <t>Denné centrum seniorov - Istebník</t>
  </si>
  <si>
    <t>Denné centrum seniorov - Zlatovce</t>
  </si>
  <si>
    <t>Denné centrum seniorov - Mierové námestie</t>
  </si>
  <si>
    <t>Denné centrum seniorov - 28.októbra</t>
  </si>
  <si>
    <t>Denné centrum seniorov - Opatová</t>
  </si>
  <si>
    <t>Denné centrum seniorov - Kubra</t>
  </si>
  <si>
    <t>Denné centrum seniorov - Kubrica</t>
  </si>
  <si>
    <t>Refugium n.o. - Zvyšovanie kvality života seniorom v DSS, ZpS a pacientov v Hospici Milosrdných sestier v Trenčíne</t>
  </si>
  <si>
    <t>Poistné: Roznos výmerov</t>
  </si>
  <si>
    <t>Služby: Auditorská činnosť</t>
  </si>
  <si>
    <t>MHSL m.r.o. - Stredisko Brezina</t>
  </si>
  <si>
    <t>Povrch ulice Zlatovská</t>
  </si>
  <si>
    <t xml:space="preserve">  Program 2:   Propagácia a CR</t>
  </si>
  <si>
    <t>Prevod z rezervného fondu</t>
  </si>
  <si>
    <t xml:space="preserve">Spoluúčasť OPIS </t>
  </si>
  <si>
    <t xml:space="preserve">Softvér </t>
  </si>
  <si>
    <t>Služby: Roznos výmerov</t>
  </si>
  <si>
    <t>ŠJ pri MŠ Niva</t>
  </si>
  <si>
    <t xml:space="preserve">ZÁKLADNÉ ŠKOLY, ZARIADENIA PRE ZÁUJM. </t>
  </si>
  <si>
    <t>Verejné osvetlenie na Ul. Karpatská</t>
  </si>
  <si>
    <t>Nadácia EKOPOLIS -  Projekt TRENČÍN  si Ty</t>
  </si>
  <si>
    <t xml:space="preserve"> Ostatné príjmy</t>
  </si>
  <si>
    <t>PD- označenie častí mesta Trenčín</t>
  </si>
  <si>
    <t xml:space="preserve"> - Trenčianska nadácia - Človiečik na Korze, Benefičný koncert 2014</t>
  </si>
  <si>
    <t>Školenia</t>
  </si>
  <si>
    <t xml:space="preserve"> - Združenie HK miest a obcí SR</t>
  </si>
  <si>
    <t>Prop.a prezent.:Tlačoviny,suveníry,web a p.</t>
  </si>
  <si>
    <t>Služby:posudky,reklama,kolky,poistenie apod.</t>
  </si>
  <si>
    <t>PD - Cyklistické prep.Centrum - sídlisko Juh</t>
  </si>
  <si>
    <t xml:space="preserve">  - stravovanie - HEES Gastroslužby s.r.o.</t>
  </si>
  <si>
    <t xml:space="preserve">Energie: Elektrická energia, plyn, vodné stočné </t>
  </si>
  <si>
    <t>* - na preklenutie časového nesúladu medzi príjmami a výdavkami rozpočtu sa môže čerpať kontokorentný úver spolu vo výške  2 500 tis. € z ČSOB a.s. s tým, že do konca roka 2014 bude predmetný úver splatený</t>
  </si>
  <si>
    <t xml:space="preserve">513 002: Dočerpanie úveru zo SLSP </t>
  </si>
  <si>
    <t xml:space="preserve"> - Klub vojenskej histórie - Dukliansky priesmyk</t>
  </si>
  <si>
    <t>PD - rozšírenie cintorína Opatová</t>
  </si>
  <si>
    <t>PD - VO ul. Kyjevská (na ul.M.Bela, za KS Aktivity)</t>
  </si>
  <si>
    <t>VO ul. Kyjevská (na ul. M.Bela, za KS Aktivity)</t>
  </si>
  <si>
    <t>Chodník pre chodcov Biskupická</t>
  </si>
  <si>
    <t>Povrch MK Kuzmányho, Moyzesova, Kmeťova</t>
  </si>
  <si>
    <t>Povrch MK Slnečné nám.</t>
  </si>
  <si>
    <t>Povrch MK sídl.Noviny</t>
  </si>
  <si>
    <t>Povrch MK Nozdrkovce</t>
  </si>
  <si>
    <t>Dokončenie MK Zelnica</t>
  </si>
  <si>
    <t>Pod Sokolice - rekonštrukcia chodníkov</t>
  </si>
  <si>
    <t>Ul.Opatovská - vybudovanie chodníka</t>
  </si>
  <si>
    <t>PD - Ul.Opatovská - vybudovanie chodníka</t>
  </si>
  <si>
    <t>MK Mníšna, 10.apríla, Mlynská, Opatovská</t>
  </si>
  <si>
    <t>PD - MK Mníšna, 10.apríla, Mlynská, Opatovská</t>
  </si>
  <si>
    <t>Križovatka ul.M.Bela a gen.Svobodu (rázcestie)</t>
  </si>
  <si>
    <t>PD - Križovatka ul.M.Bela a gen.Svobodu (rázcestie)</t>
  </si>
  <si>
    <t>Rekonšt.ul.Šafárikova a dobudovanie stat.dopravy</t>
  </si>
  <si>
    <t>PD - Rekonšt.ul.Šafárikova a dobudovanie stat.dopravy</t>
  </si>
  <si>
    <t>Ul. Halalovka - dobudovanie statickej dopravy</t>
  </si>
  <si>
    <t>PD - Ul. Halalovka - dobudovanie statickej dopravy</t>
  </si>
  <si>
    <t>Rekonštrukcia strechy (hospodársky pavilón)</t>
  </si>
  <si>
    <t>Rekonštrukcia soc.zariadenia, okien, vch.dverí</t>
  </si>
  <si>
    <t>KS Kubrica - výmena okien, vchodových dverí</t>
  </si>
  <si>
    <t>Služby:poistenie,reklama,štúdie,posudky pod.</t>
  </si>
  <si>
    <t>711</t>
  </si>
  <si>
    <t>Voľba prezidenta</t>
  </si>
  <si>
    <t>Dotácia pre deti v hmotnej núdzi</t>
  </si>
  <si>
    <t>Rodinné prídavky</t>
  </si>
  <si>
    <t>09.1.2.2.</t>
  </si>
  <si>
    <t>641</t>
  </si>
  <si>
    <t>Špeciálna ZŠ internátna - dotácia pre deti v HN</t>
  </si>
  <si>
    <t>10.4.0.5.</t>
  </si>
  <si>
    <t>Granty</t>
  </si>
  <si>
    <t xml:space="preserve"> - pozemkov   </t>
  </si>
  <si>
    <t>231</t>
  </si>
  <si>
    <t>príjem z predaja budov</t>
  </si>
  <si>
    <t>príjem z predaja bytov</t>
  </si>
  <si>
    <t>Pracovné rokovanie K8 v Trenčíne</t>
  </si>
  <si>
    <t>Monografia III.diel</t>
  </si>
  <si>
    <t>Aktualizácia PD -vybudovanie chodníka na ul.Legionárska Biskupická</t>
  </si>
  <si>
    <t>Vstup do nemocnice, ul.Legionárska</t>
  </si>
  <si>
    <t>Podpora demokracie a aktivizácie mladých ľudí na ZŠ v Trenčíne</t>
  </si>
  <si>
    <t xml:space="preserve"> - ATYP o.z. - Splanekor</t>
  </si>
  <si>
    <t>Oprava a preplachtovanie pódia a stánkov</t>
  </si>
  <si>
    <t>Mobiliár - podujatia</t>
  </si>
  <si>
    <t>Dotácia KC Aktivity, o.z.</t>
  </si>
  <si>
    <t>Dotácia KC Stred, o.z.</t>
  </si>
  <si>
    <t>Slovenský zväz telesne postihnutých - ZO č.17 - Krajské športové hry SZTP</t>
  </si>
  <si>
    <t>Partnerstvo s Technic.univerzitou v BA</t>
  </si>
  <si>
    <t xml:space="preserve"> - FS Nadšenci</t>
  </si>
  <si>
    <t>Oprava RD</t>
  </si>
  <si>
    <t>Doplnenie VO v častiach mesta Trenčín</t>
  </si>
  <si>
    <t>Stanovištia pre smetné nádoby ul.J.Zemana</t>
  </si>
  <si>
    <t>Prechod pre chodcov na ul.Kpt.Nálepku</t>
  </si>
  <si>
    <t>Sanita ZUŠ</t>
  </si>
  <si>
    <t>Okná</t>
  </si>
  <si>
    <t>Hviezda - úprava PD</t>
  </si>
  <si>
    <t>Ochranné siete - hradné bralo</t>
  </si>
  <si>
    <t>R O Z P O Č E T    2 0 1 4</t>
  </si>
  <si>
    <t xml:space="preserve">Prekládka VN kábla </t>
  </si>
  <si>
    <t>Rekonštrukcia toaliet</t>
  </si>
  <si>
    <t xml:space="preserve"> - z recyklačného fondu</t>
  </si>
  <si>
    <t>Vojnové hroby</t>
  </si>
  <si>
    <t>Slovenské elektrárne - dar na Príbeh o Vodníkovi</t>
  </si>
  <si>
    <t>Spracovanie katastrálnych dát do programu ArcView GIS</t>
  </si>
  <si>
    <t xml:space="preserve"> </t>
  </si>
  <si>
    <t>Nevyčerpaná dotácia za rok 2013</t>
  </si>
  <si>
    <t>Poistné a príspevky do poisťovní</t>
  </si>
  <si>
    <t>Výmena okien a dverí</t>
  </si>
  <si>
    <t>Stavebné úpravy - nové triedy</t>
  </si>
  <si>
    <t>Nevyčerpaná dotácia za rok 2013-výmena okien</t>
  </si>
  <si>
    <t>Futbalový štadión - búracie práce</t>
  </si>
  <si>
    <t xml:space="preserve">  - Príbeh o Vodníkovi</t>
  </si>
  <si>
    <t>Nevyčerpaná dotácia za rok 2013 - vratka do ŠR</t>
  </si>
  <si>
    <t>5% spoluúčasť - motorové vozidlo</t>
  </si>
  <si>
    <t>Nevyčerpaná dotácia za rok 2013 - rodinné prídavky</t>
  </si>
  <si>
    <t>Hokejový klub DUKLA Trenčín a.s.-juniori: prevádzka a činnosť</t>
  </si>
  <si>
    <t>Kraso Trenčín o.z.: činnosť</t>
  </si>
  <si>
    <t>Výmena okien</t>
  </si>
  <si>
    <t xml:space="preserve"> - Skupina historického šermu Wagus, n.o. - Trenčianske hradné slávnosti</t>
  </si>
  <si>
    <t>454: Prevod hospodárskeho výsledku za rok 2013</t>
  </si>
  <si>
    <t>453: Nevyčerpané dotácie za rok 2013</t>
  </si>
  <si>
    <t>Ul.Zlatovská výkup pozemkov</t>
  </si>
  <si>
    <t>CVČ</t>
  </si>
  <si>
    <t>Dotácie na šport mládež</t>
  </si>
  <si>
    <t>Upravený rozpočet na rok 2014</t>
  </si>
  <si>
    <t>Upravený rozpočet 2014 - bežné výdavky</t>
  </si>
  <si>
    <t xml:space="preserve">Upravený bežný rozpočet 2014 </t>
  </si>
  <si>
    <t xml:space="preserve">Upravený kapitálový rozpočet 2014 </t>
  </si>
  <si>
    <t xml:space="preserve">Upravený rozpočet 2014 </t>
  </si>
  <si>
    <r>
      <t>Upravený 2014 -</t>
    </r>
    <r>
      <rPr>
        <b/>
        <sz val="8"/>
        <color indexed="9"/>
        <rFont val="Arial CE"/>
        <family val="0"/>
      </rPr>
      <t xml:space="preserve"> kapitálové výdavky</t>
    </r>
  </si>
  <si>
    <t>Upravený rozpočet 2014 - spolu</t>
  </si>
  <si>
    <t>Oprava prezliekacieho stanu za pódiom</t>
  </si>
  <si>
    <t>713</t>
  </si>
  <si>
    <t>Nákup preliezačiek</t>
  </si>
  <si>
    <t xml:space="preserve">prerobenie vstupu a vrátnice </t>
  </si>
  <si>
    <t>športový areál</t>
  </si>
  <si>
    <t>ul.Prúdy (Nové Zlatovce)</t>
  </si>
  <si>
    <t>PD -ul.  Prúdy (Nové Zlatovce)</t>
  </si>
  <si>
    <t>PD - Horné Orechové - chodník</t>
  </si>
  <si>
    <t>Horné Orechové</t>
  </si>
  <si>
    <t>PD - ul.Jahodová - 1.etapa</t>
  </si>
  <si>
    <t>PD - dopravné značenie ul.Zlatovská</t>
  </si>
  <si>
    <t>PD - rozšírenie cintorína Zlatovce</t>
  </si>
  <si>
    <t>sneholamy a odvetranie</t>
  </si>
  <si>
    <t>MK SR - Farebná veža</t>
  </si>
  <si>
    <t xml:space="preserve"> - Farebná veža</t>
  </si>
  <si>
    <t xml:space="preserve"> - mestská veža</t>
  </si>
  <si>
    <t>MK SR - Pri trenčianskej bráne</t>
  </si>
  <si>
    <t xml:space="preserve"> - Pri trenčianskej bráne</t>
  </si>
  <si>
    <t>MK SR - Ora et ars</t>
  </si>
  <si>
    <t>Dar na MDD</t>
  </si>
  <si>
    <t xml:space="preserve"> - MDD</t>
  </si>
  <si>
    <t>Dar na Farmárskej jarmoky</t>
  </si>
  <si>
    <t xml:space="preserve"> - Farmárske jarmoky</t>
  </si>
  <si>
    <t>% plnenia</t>
  </si>
  <si>
    <t>Plnenie rozpočtu k 30.6.2014</t>
  </si>
  <si>
    <t>% pln.</t>
  </si>
  <si>
    <t>Plnenie bežného rozpočtu k 30.6.2014</t>
  </si>
  <si>
    <t>Plnenie kapitálového rozpočtu k 30.6.2014</t>
  </si>
  <si>
    <t>Plnenie  rozpočtu k 30.6.2014 spolu</t>
  </si>
  <si>
    <t>Vratky</t>
  </si>
  <si>
    <t>z prenajatých strojov, prístrojov, zariadení, techniky a náradia</t>
  </si>
  <si>
    <t>Voľby do EP</t>
  </si>
  <si>
    <t>322</t>
  </si>
  <si>
    <t>VPP</t>
  </si>
  <si>
    <t>Z vkladov</t>
  </si>
  <si>
    <t xml:space="preserve"> Pokuty, penále a iné sankcie</t>
  </si>
  <si>
    <t>úroky</t>
  </si>
  <si>
    <t>vratky</t>
  </si>
  <si>
    <t>642</t>
  </si>
  <si>
    <t>GRANTY</t>
  </si>
  <si>
    <t>10.7.0.</t>
  </si>
  <si>
    <t xml:space="preserve"> - ZŠ Východná</t>
  </si>
  <si>
    <t>Hmotná núdza</t>
  </si>
  <si>
    <t>z dobropisov</t>
  </si>
  <si>
    <t xml:space="preserve"> - ZŠ Kubranská</t>
  </si>
  <si>
    <t xml:space="preserve"> - ZŠ Hodžova</t>
  </si>
  <si>
    <t xml:space="preserve"> - ZŠ Bezručova</t>
  </si>
  <si>
    <t xml:space="preserve"> - ZŠ Na Dolinách</t>
  </si>
  <si>
    <t>006</t>
  </si>
  <si>
    <t>z náhrad poistného plnenia</t>
  </si>
  <si>
    <t>príjmy z dobropisov</t>
  </si>
  <si>
    <t>019</t>
  </si>
  <si>
    <t>príjmy z refundácie</t>
  </si>
  <si>
    <t>Transfery na ND</t>
  </si>
  <si>
    <t>Transfery na HN</t>
  </si>
  <si>
    <t>Cestovné tuzemské</t>
  </si>
  <si>
    <t xml:space="preserve"> - ZŠ Dlhé Hony</t>
  </si>
  <si>
    <t>Rok 2013 - november - december</t>
  </si>
  <si>
    <t>Plnenie Programového rozpočtu Mesta Trenčín              k 30.6.2014</t>
  </si>
  <si>
    <t>Transfery PN</t>
  </si>
  <si>
    <t>Transfery hmotná núdza</t>
  </si>
</sst>
</file>

<file path=xl/styles.xml><?xml version="1.0" encoding="utf-8"?>
<styleSheet xmlns="http://schemas.openxmlformats.org/spreadsheetml/2006/main">
  <numFmts count="1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"/>
    <numFmt numFmtId="165" formatCode="0.0"/>
  </numFmts>
  <fonts count="10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 CE"/>
      <family val="2"/>
    </font>
    <font>
      <sz val="8"/>
      <name val="Arial CE"/>
      <family val="2"/>
    </font>
    <font>
      <b/>
      <i/>
      <sz val="8"/>
      <name val="Arial CE"/>
      <family val="2"/>
    </font>
    <font>
      <b/>
      <sz val="9"/>
      <name val="Arial CE"/>
      <family val="0"/>
    </font>
    <font>
      <sz val="9"/>
      <name val="Arial CE"/>
      <family val="2"/>
    </font>
    <font>
      <b/>
      <sz val="10"/>
      <name val="Arial CE"/>
      <family val="0"/>
    </font>
    <font>
      <b/>
      <i/>
      <sz val="12"/>
      <name val="Arial CE"/>
      <family val="0"/>
    </font>
    <font>
      <b/>
      <sz val="10"/>
      <name val="Arial"/>
      <family val="2"/>
    </font>
    <font>
      <sz val="12"/>
      <name val="Arial CE"/>
      <family val="2"/>
    </font>
    <font>
      <sz val="6"/>
      <name val="Arial CE"/>
      <family val="2"/>
    </font>
    <font>
      <b/>
      <i/>
      <sz val="9"/>
      <name val="Arial CE"/>
      <family val="2"/>
    </font>
    <font>
      <i/>
      <sz val="8"/>
      <name val="Arial CE"/>
      <family val="2"/>
    </font>
    <font>
      <sz val="8"/>
      <color indexed="8"/>
      <name val="Arial CE"/>
      <family val="2"/>
    </font>
    <font>
      <b/>
      <i/>
      <sz val="10"/>
      <name val="Arial CE"/>
      <family val="2"/>
    </font>
    <font>
      <b/>
      <sz val="9"/>
      <color indexed="8"/>
      <name val="Arial CE"/>
      <family val="2"/>
    </font>
    <font>
      <sz val="10"/>
      <name val="Arial CE"/>
      <family val="2"/>
    </font>
    <font>
      <i/>
      <sz val="9"/>
      <name val="Arial CE"/>
      <family val="2"/>
    </font>
    <font>
      <b/>
      <sz val="11"/>
      <name val="Arial CE"/>
      <family val="2"/>
    </font>
    <font>
      <sz val="9"/>
      <name val="Times New Roman CE"/>
      <family val="1"/>
    </font>
    <font>
      <b/>
      <sz val="11"/>
      <color indexed="9"/>
      <name val="Arial CE"/>
      <family val="2"/>
    </font>
    <font>
      <sz val="10"/>
      <color indexed="9"/>
      <name val="Arial"/>
      <family val="2"/>
    </font>
    <font>
      <b/>
      <sz val="8"/>
      <color indexed="9"/>
      <name val="Arial CE"/>
      <family val="0"/>
    </font>
    <font>
      <b/>
      <sz val="14"/>
      <color indexed="56"/>
      <name val="Arial Black"/>
      <family val="2"/>
    </font>
    <font>
      <b/>
      <sz val="14"/>
      <color indexed="9"/>
      <name val="Arial CE"/>
      <family val="0"/>
    </font>
    <font>
      <b/>
      <sz val="12"/>
      <name val="Arial CE"/>
      <family val="2"/>
    </font>
    <font>
      <sz val="8"/>
      <color indexed="9"/>
      <name val="Arial CE"/>
      <family val="0"/>
    </font>
    <font>
      <b/>
      <sz val="22"/>
      <color indexed="18"/>
      <name val="Tahoma"/>
      <family val="2"/>
    </font>
    <font>
      <sz val="9"/>
      <name val="Arial"/>
      <family val="2"/>
    </font>
    <font>
      <sz val="10"/>
      <color indexed="10"/>
      <name val="Arial CE"/>
      <family val="0"/>
    </font>
    <font>
      <b/>
      <sz val="12"/>
      <color indexed="9"/>
      <name val="Arial CE"/>
      <family val="0"/>
    </font>
    <font>
      <sz val="11"/>
      <name val="Arial"/>
      <family val="2"/>
    </font>
    <font>
      <sz val="12"/>
      <name val="Arial"/>
      <family val="2"/>
    </font>
    <font>
      <b/>
      <i/>
      <sz val="14"/>
      <color indexed="9"/>
      <name val="Arial CE"/>
      <family val="2"/>
    </font>
    <font>
      <sz val="14"/>
      <color indexed="9"/>
      <name val="Arial"/>
      <family val="2"/>
    </font>
    <font>
      <sz val="11"/>
      <name val="Arial CE"/>
      <family val="0"/>
    </font>
    <font>
      <b/>
      <sz val="22"/>
      <color indexed="12"/>
      <name val="Tahoma"/>
      <family val="2"/>
    </font>
    <font>
      <b/>
      <i/>
      <sz val="12"/>
      <color indexed="9"/>
      <name val="Arial CE"/>
      <family val="0"/>
    </font>
    <font>
      <sz val="8"/>
      <color indexed="18"/>
      <name val="Arial CE"/>
      <family val="2"/>
    </font>
    <font>
      <sz val="6"/>
      <color indexed="18"/>
      <name val="Arial CE"/>
      <family val="2"/>
    </font>
    <font>
      <b/>
      <sz val="10"/>
      <color indexed="18"/>
      <name val="Arial CE"/>
      <family val="0"/>
    </font>
    <font>
      <b/>
      <i/>
      <sz val="11"/>
      <color indexed="9"/>
      <name val="Arial CE"/>
      <family val="2"/>
    </font>
    <font>
      <b/>
      <i/>
      <sz val="11"/>
      <color indexed="56"/>
      <name val="Arial CE"/>
      <family val="2"/>
    </font>
    <font>
      <b/>
      <sz val="9"/>
      <color indexed="9"/>
      <name val="Arial CE"/>
      <family val="0"/>
    </font>
    <font>
      <b/>
      <sz val="10"/>
      <color indexed="9"/>
      <name val="Arial CE"/>
      <family val="2"/>
    </font>
    <font>
      <b/>
      <i/>
      <sz val="10"/>
      <color indexed="9"/>
      <name val="Arial CE"/>
      <family val="2"/>
    </font>
    <font>
      <b/>
      <i/>
      <sz val="16"/>
      <color indexed="9"/>
      <name val="Arial CE"/>
      <family val="2"/>
    </font>
    <font>
      <b/>
      <sz val="16"/>
      <color indexed="9"/>
      <name val="Arial CE"/>
      <family val="2"/>
    </font>
    <font>
      <b/>
      <sz val="20"/>
      <color indexed="18"/>
      <name val="Arial CE"/>
      <family val="2"/>
    </font>
    <font>
      <sz val="20"/>
      <color indexed="18"/>
      <name val="Arial CE"/>
      <family val="2"/>
    </font>
    <font>
      <sz val="12"/>
      <color indexed="9"/>
      <name val="Arial"/>
      <family val="2"/>
    </font>
    <font>
      <b/>
      <i/>
      <sz val="9"/>
      <color indexed="56"/>
      <name val="Arial"/>
      <family val="2"/>
    </font>
    <font>
      <sz val="11"/>
      <color indexed="9"/>
      <name val="Arial"/>
      <family val="2"/>
    </font>
    <font>
      <b/>
      <sz val="8"/>
      <color indexed="18"/>
      <name val="Tahoma"/>
      <family val="2"/>
    </font>
    <font>
      <b/>
      <i/>
      <vertAlign val="superscript"/>
      <sz val="12"/>
      <color indexed="9"/>
      <name val="Arial CE"/>
      <family val="2"/>
    </font>
    <font>
      <b/>
      <sz val="16"/>
      <color indexed="30"/>
      <name val="Arial Black"/>
      <family val="2"/>
    </font>
    <font>
      <b/>
      <sz val="16"/>
      <color indexed="18"/>
      <name val="Tahoma"/>
      <family val="2"/>
    </font>
    <font>
      <b/>
      <i/>
      <sz val="11"/>
      <name val="Arial CE"/>
      <family val="0"/>
    </font>
    <font>
      <b/>
      <sz val="12"/>
      <color indexed="18"/>
      <name val="Tahoma"/>
      <family val="2"/>
    </font>
    <font>
      <b/>
      <sz val="20"/>
      <color indexed="12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8"/>
      <color indexed="9"/>
      <name val="Arial"/>
      <family val="2"/>
    </font>
    <font>
      <sz val="9"/>
      <color indexed="9"/>
      <name val="Arial CE"/>
      <family val="0"/>
    </font>
    <font>
      <b/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1"/>
      <color theme="0"/>
      <name val="Arial CE"/>
      <family val="0"/>
    </font>
    <font>
      <b/>
      <i/>
      <sz val="12"/>
      <color theme="0"/>
      <name val="Arial CE"/>
      <family val="2"/>
    </font>
    <font>
      <b/>
      <sz val="8"/>
      <color theme="0"/>
      <name val="Arial"/>
      <family val="2"/>
    </font>
    <font>
      <sz val="9"/>
      <color theme="0"/>
      <name val="Arial CE"/>
      <family val="0"/>
    </font>
    <font>
      <b/>
      <sz val="12"/>
      <color theme="0"/>
      <name val="Arial CE"/>
      <family val="0"/>
    </font>
    <font>
      <b/>
      <sz val="9"/>
      <color theme="0"/>
      <name val="Arial CE"/>
      <family val="0"/>
    </font>
    <font>
      <sz val="11"/>
      <color theme="0"/>
      <name val="Arial"/>
      <family val="2"/>
    </font>
    <font>
      <b/>
      <sz val="10"/>
      <color rgb="FFFF0000"/>
      <name val="Arial CE"/>
      <family val="0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theme="4" tint="-0.24997000396251678"/>
        <bgColor indexed="64"/>
      </patternFill>
    </fill>
  </fills>
  <borders count="1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 style="thin"/>
      <top/>
      <bottom/>
    </border>
    <border>
      <left/>
      <right/>
      <top/>
      <bottom style="thin"/>
    </border>
    <border>
      <left style="medium"/>
      <right style="thin"/>
      <top/>
      <bottom style="double"/>
    </border>
    <border>
      <left/>
      <right/>
      <top/>
      <bottom style="medium"/>
    </border>
    <border>
      <left/>
      <right style="thin"/>
      <top/>
      <bottom/>
    </border>
    <border>
      <left style="medium"/>
      <right style="thin"/>
      <top/>
      <bottom style="thin"/>
    </border>
    <border>
      <left style="thin"/>
      <right style="thin"/>
      <top/>
      <bottom/>
    </border>
    <border>
      <left style="medium"/>
      <right style="thin"/>
      <top style="thin"/>
      <bottom style="thin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/>
      <right/>
      <top/>
      <bottom style="double"/>
    </border>
    <border>
      <left style="thin"/>
      <right style="thin"/>
      <top style="double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 style="medium"/>
      <right style="thin"/>
      <top/>
      <bottom style="medium"/>
    </border>
    <border>
      <left/>
      <right/>
      <top style="thin"/>
      <bottom style="double"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/>
      <right/>
      <top style="medium"/>
      <bottom/>
    </border>
    <border>
      <left style="thin"/>
      <right/>
      <top style="thin"/>
      <bottom style="thin"/>
    </border>
    <border>
      <left style="thin"/>
      <right/>
      <top/>
      <bottom style="double"/>
    </border>
    <border>
      <left style="thin"/>
      <right/>
      <top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/>
      <right/>
      <top style="double"/>
      <bottom style="medium"/>
    </border>
    <border>
      <left/>
      <right style="thin"/>
      <top style="double"/>
      <bottom style="double"/>
    </border>
    <border>
      <left style="thin"/>
      <right style="thin"/>
      <top style="thin"/>
      <bottom style="medium"/>
    </border>
    <border>
      <left style="medium"/>
      <right style="thin"/>
      <top style="double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double"/>
      <bottom style="medium"/>
    </border>
    <border>
      <left/>
      <right style="thin"/>
      <top style="double"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 style="double"/>
      <bottom style="double"/>
    </border>
    <border>
      <left style="medium"/>
      <right style="thin"/>
      <top style="medium"/>
      <bottom style="thin"/>
    </border>
    <border>
      <left style="thin"/>
      <right/>
      <top style="medium"/>
      <bottom style="double"/>
    </border>
    <border>
      <left/>
      <right/>
      <top style="medium"/>
      <bottom style="double"/>
    </border>
    <border>
      <left/>
      <right style="thin"/>
      <top style="medium"/>
      <bottom style="double"/>
    </border>
    <border>
      <left style="thin"/>
      <right style="thin"/>
      <top style="medium"/>
      <bottom style="double"/>
    </border>
    <border>
      <left style="medium"/>
      <right style="thin"/>
      <top style="double"/>
      <bottom style="thin"/>
    </border>
    <border>
      <left/>
      <right style="thin"/>
      <top style="thin"/>
      <bottom/>
    </border>
    <border>
      <left style="thin"/>
      <right/>
      <top style="double"/>
      <bottom style="medium"/>
    </border>
    <border>
      <left style="medium"/>
      <right/>
      <top style="medium"/>
      <bottom style="double"/>
    </border>
    <border>
      <left/>
      <right style="medium"/>
      <top/>
      <bottom/>
    </border>
    <border>
      <left/>
      <right style="medium"/>
      <top/>
      <bottom style="double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/>
      <right style="medium"/>
      <top style="thin"/>
      <bottom style="double"/>
    </border>
    <border>
      <left/>
      <right style="medium"/>
      <top/>
      <bottom style="medium"/>
    </border>
    <border>
      <left/>
      <right style="thin"/>
      <top style="double"/>
      <bottom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double"/>
      <bottom style="thin"/>
    </border>
    <border>
      <left style="medium"/>
      <right style="medium"/>
      <top/>
      <bottom style="medium"/>
    </border>
    <border>
      <left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 style="medium"/>
      <top style="thin"/>
      <bottom style="thin"/>
    </border>
    <border>
      <left/>
      <right style="medium"/>
      <top style="medium"/>
      <bottom/>
    </border>
    <border>
      <left style="thin"/>
      <right style="medium"/>
      <top style="double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double"/>
    </border>
    <border>
      <left style="thin"/>
      <right style="medium"/>
      <top/>
      <bottom style="thin"/>
    </border>
    <border>
      <left/>
      <right style="medium"/>
      <top style="medium"/>
      <bottom style="double"/>
    </border>
    <border>
      <left style="thin"/>
      <right style="medium"/>
      <top/>
      <bottom style="medium"/>
    </border>
    <border>
      <left style="medium"/>
      <right style="thin"/>
      <top style="double"/>
      <bottom style="double"/>
    </border>
    <border>
      <left style="medium"/>
      <right/>
      <top style="double"/>
      <bottom style="double"/>
    </border>
    <border>
      <left style="medium"/>
      <right/>
      <top style="double"/>
      <bottom style="thin"/>
    </border>
    <border>
      <left style="medium"/>
      <right/>
      <top style="thin"/>
      <bottom/>
    </border>
    <border>
      <left style="medium"/>
      <right/>
      <top style="thin"/>
      <bottom style="thin"/>
    </border>
    <border>
      <left style="medium"/>
      <right/>
      <top/>
      <bottom style="thin"/>
    </border>
    <border>
      <left style="medium"/>
      <right/>
      <top/>
      <bottom style="medium"/>
    </border>
    <border>
      <left style="medium"/>
      <right style="thin"/>
      <top style="medium"/>
      <bottom style="double"/>
    </border>
    <border>
      <left style="thin"/>
      <right style="medium"/>
      <top style="double"/>
      <bottom/>
    </border>
    <border>
      <left style="medium"/>
      <right style="medium"/>
      <top style="thin"/>
      <bottom/>
    </border>
    <border>
      <left style="thin"/>
      <right style="medium"/>
      <top style="medium"/>
      <bottom style="double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double"/>
      <bottom style="thin"/>
    </border>
    <border>
      <left style="medium"/>
      <right/>
      <top/>
      <bottom style="double"/>
    </border>
    <border>
      <left style="thin"/>
      <right style="medium"/>
      <top style="double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double"/>
      <bottom style="double"/>
    </border>
    <border>
      <left style="thin"/>
      <right>
        <color indexed="63"/>
      </right>
      <top style="thin"/>
      <bottom/>
    </border>
    <border>
      <left style="thin"/>
      <right/>
      <top/>
      <bottom style="medium"/>
    </border>
    <border>
      <left>
        <color indexed="63"/>
      </left>
      <right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/>
      <bottom/>
    </border>
    <border>
      <left style="medium"/>
      <right>
        <color indexed="63"/>
      </right>
      <top style="medium"/>
      <bottom style="medium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double"/>
    </border>
    <border>
      <left style="medium"/>
      <right style="thin"/>
      <top style="double"/>
      <bottom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thin"/>
      <right style="thin"/>
      <top style="double"/>
      <bottom/>
    </border>
    <border>
      <left style="medium"/>
      <right/>
      <top style="double"/>
      <bottom/>
    </border>
    <border>
      <left style="thin"/>
      <right style="thin"/>
      <top style="medium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1" fillId="2" borderId="0" applyNumberFormat="0" applyBorder="0" applyAlignment="0" applyProtection="0"/>
    <xf numFmtId="0" fontId="81" fillId="3" borderId="0" applyNumberFormat="0" applyBorder="0" applyAlignment="0" applyProtection="0"/>
    <xf numFmtId="0" fontId="81" fillId="4" borderId="0" applyNumberFormat="0" applyBorder="0" applyAlignment="0" applyProtection="0"/>
    <xf numFmtId="0" fontId="81" fillId="5" borderId="0" applyNumberFormat="0" applyBorder="0" applyAlignment="0" applyProtection="0"/>
    <xf numFmtId="0" fontId="81" fillId="6" borderId="0" applyNumberFormat="0" applyBorder="0" applyAlignment="0" applyProtection="0"/>
    <xf numFmtId="0" fontId="81" fillId="7" borderId="0" applyNumberFormat="0" applyBorder="0" applyAlignment="0" applyProtection="0"/>
    <xf numFmtId="0" fontId="81" fillId="8" borderId="0" applyNumberFormat="0" applyBorder="0" applyAlignment="0" applyProtection="0"/>
    <xf numFmtId="0" fontId="81" fillId="9" borderId="0" applyNumberFormat="0" applyBorder="0" applyAlignment="0" applyProtection="0"/>
    <xf numFmtId="0" fontId="81" fillId="10" borderId="0" applyNumberFormat="0" applyBorder="0" applyAlignment="0" applyProtection="0"/>
    <xf numFmtId="0" fontId="81" fillId="11" borderId="0" applyNumberFormat="0" applyBorder="0" applyAlignment="0" applyProtection="0"/>
    <xf numFmtId="0" fontId="81" fillId="12" borderId="0" applyNumberFormat="0" applyBorder="0" applyAlignment="0" applyProtection="0"/>
    <xf numFmtId="0" fontId="81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8" borderId="0" applyNumberFormat="0" applyBorder="0" applyAlignment="0" applyProtection="0"/>
    <xf numFmtId="0" fontId="8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3" fillId="20" borderId="0" applyNumberFormat="0" applyBorder="0" applyAlignment="0" applyProtection="0"/>
    <xf numFmtId="0" fontId="1" fillId="0" borderId="0">
      <alignment/>
      <protection/>
    </xf>
    <xf numFmtId="0" fontId="84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5" fillId="0" borderId="2" applyNumberFormat="0" applyFill="0" applyAlignment="0" applyProtection="0"/>
    <xf numFmtId="0" fontId="86" fillId="0" borderId="3" applyNumberFormat="0" applyFill="0" applyAlignment="0" applyProtection="0"/>
    <xf numFmtId="0" fontId="87" fillId="0" borderId="4" applyNumberFormat="0" applyFill="0" applyAlignment="0" applyProtection="0"/>
    <xf numFmtId="0" fontId="87" fillId="0" borderId="0" applyNumberFormat="0" applyFill="0" applyBorder="0" applyAlignment="0" applyProtection="0"/>
    <xf numFmtId="0" fontId="8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1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89" fillId="0" borderId="6" applyNumberFormat="0" applyFill="0" applyAlignment="0" applyProtection="0"/>
    <xf numFmtId="0" fontId="90" fillId="0" borderId="7" applyNumberFormat="0" applyFill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24" borderId="8" applyNumberFormat="0" applyAlignment="0" applyProtection="0"/>
    <xf numFmtId="0" fontId="94" fillId="25" borderId="8" applyNumberFormat="0" applyAlignment="0" applyProtection="0"/>
    <xf numFmtId="0" fontId="95" fillId="25" borderId="9" applyNumberFormat="0" applyAlignment="0" applyProtection="0"/>
    <xf numFmtId="0" fontId="96" fillId="0" borderId="0" applyNumberFormat="0" applyFill="0" applyBorder="0" applyAlignment="0" applyProtection="0"/>
    <xf numFmtId="0" fontId="97" fillId="26" borderId="0" applyNumberFormat="0" applyBorder="0" applyAlignment="0" applyProtection="0"/>
    <xf numFmtId="0" fontId="82" fillId="27" borderId="0" applyNumberFormat="0" applyBorder="0" applyAlignment="0" applyProtection="0"/>
    <xf numFmtId="0" fontId="82" fillId="28" borderId="0" applyNumberFormat="0" applyBorder="0" applyAlignment="0" applyProtection="0"/>
    <xf numFmtId="0" fontId="82" fillId="29" borderId="0" applyNumberFormat="0" applyBorder="0" applyAlignment="0" applyProtection="0"/>
    <xf numFmtId="0" fontId="82" fillId="30" borderId="0" applyNumberFormat="0" applyBorder="0" applyAlignment="0" applyProtection="0"/>
    <xf numFmtId="0" fontId="82" fillId="31" borderId="0" applyNumberFormat="0" applyBorder="0" applyAlignment="0" applyProtection="0"/>
    <xf numFmtId="0" fontId="82" fillId="32" borderId="0" applyNumberFormat="0" applyBorder="0" applyAlignment="0" applyProtection="0"/>
  </cellStyleXfs>
  <cellXfs count="1136">
    <xf numFmtId="0" fontId="0" fillId="0" borderId="0" xfId="0" applyAlignment="1">
      <alignment/>
    </xf>
    <xf numFmtId="49" fontId="4" fillId="0" borderId="10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49" fontId="4" fillId="0" borderId="11" xfId="0" applyNumberFormat="1" applyFont="1" applyFill="1" applyBorder="1" applyAlignment="1">
      <alignment horizontal="center"/>
    </xf>
    <xf numFmtId="49" fontId="5" fillId="33" borderId="12" xfId="0" applyNumberFormat="1" applyFont="1" applyFill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33" borderId="11" xfId="0" applyNumberFormat="1" applyFont="1" applyFill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49" fontId="5" fillId="33" borderId="11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49" fontId="4" fillId="0" borderId="0" xfId="0" applyNumberFormat="1" applyFont="1" applyAlignment="1">
      <alignment horizontal="center"/>
    </xf>
    <xf numFmtId="3" fontId="0" fillId="0" borderId="0" xfId="0" applyNumberFormat="1" applyAlignment="1">
      <alignment/>
    </xf>
    <xf numFmtId="0" fontId="4" fillId="33" borderId="11" xfId="0" applyFont="1" applyFill="1" applyBorder="1" applyAlignment="1">
      <alignment/>
    </xf>
    <xf numFmtId="0" fontId="21" fillId="0" borderId="0" xfId="0" applyFont="1" applyBorder="1" applyAlignment="1">
      <alignment horizontal="left"/>
    </xf>
    <xf numFmtId="49" fontId="11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3" fontId="4" fillId="0" borderId="0" xfId="0" applyNumberFormat="1" applyFont="1" applyFill="1" applyBorder="1" applyAlignment="1">
      <alignment horizontal="right"/>
    </xf>
    <xf numFmtId="0" fontId="13" fillId="34" borderId="10" xfId="0" applyFont="1" applyFill="1" applyBorder="1" applyAlignment="1">
      <alignment horizontal="center"/>
    </xf>
    <xf numFmtId="0" fontId="16" fillId="34" borderId="14" xfId="0" applyFont="1" applyFill="1" applyBorder="1" applyAlignment="1">
      <alignment/>
    </xf>
    <xf numFmtId="0" fontId="2" fillId="35" borderId="15" xfId="0" applyFont="1" applyFill="1" applyBorder="1" applyAlignment="1">
      <alignment horizontal="center"/>
    </xf>
    <xf numFmtId="0" fontId="13" fillId="34" borderId="12" xfId="0" applyFont="1" applyFill="1" applyBorder="1" applyAlignment="1">
      <alignment horizontal="center"/>
    </xf>
    <xf numFmtId="0" fontId="16" fillId="34" borderId="16" xfId="0" applyFont="1" applyFill="1" applyBorder="1" applyAlignment="1">
      <alignment/>
    </xf>
    <xf numFmtId="0" fontId="2" fillId="35" borderId="17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49" fontId="4" fillId="0" borderId="10" xfId="0" applyNumberFormat="1" applyFont="1" applyFill="1" applyBorder="1" applyAlignment="1">
      <alignment horizontal="center"/>
    </xf>
    <xf numFmtId="0" fontId="16" fillId="34" borderId="18" xfId="0" applyFont="1" applyFill="1" applyBorder="1" applyAlignment="1">
      <alignment/>
    </xf>
    <xf numFmtId="49" fontId="4" fillId="36" borderId="12" xfId="0" applyNumberFormat="1" applyFont="1" applyFill="1" applyBorder="1" applyAlignment="1">
      <alignment horizontal="center"/>
    </xf>
    <xf numFmtId="49" fontId="4" fillId="0" borderId="19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33" borderId="16" xfId="0" applyFont="1" applyFill="1" applyBorder="1" applyAlignment="1">
      <alignment/>
    </xf>
    <xf numFmtId="0" fontId="7" fillId="0" borderId="20" xfId="0" applyFont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/>
    </xf>
    <xf numFmtId="49" fontId="4" fillId="33" borderId="12" xfId="0" applyNumberFormat="1" applyFont="1" applyFill="1" applyBorder="1" applyAlignment="1">
      <alignment horizontal="center"/>
    </xf>
    <xf numFmtId="49" fontId="4" fillId="33" borderId="11" xfId="0" applyNumberFormat="1" applyFont="1" applyFill="1" applyBorder="1" applyAlignment="1">
      <alignment horizontal="center"/>
    </xf>
    <xf numFmtId="0" fontId="6" fillId="33" borderId="16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49" fontId="4" fillId="0" borderId="10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0" fontId="14" fillId="0" borderId="16" xfId="0" applyFont="1" applyBorder="1" applyAlignment="1">
      <alignment/>
    </xf>
    <xf numFmtId="0" fontId="4" fillId="0" borderId="16" xfId="0" applyFont="1" applyBorder="1" applyAlignment="1">
      <alignment/>
    </xf>
    <xf numFmtId="49" fontId="4" fillId="0" borderId="11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0" fontId="14" fillId="0" borderId="16" xfId="0" applyFont="1" applyFill="1" applyBorder="1" applyAlignment="1">
      <alignment/>
    </xf>
    <xf numFmtId="49" fontId="5" fillId="33" borderId="12" xfId="0" applyNumberFormat="1" applyFont="1" applyFill="1" applyBorder="1" applyAlignment="1">
      <alignment horizontal="center"/>
    </xf>
    <xf numFmtId="49" fontId="3" fillId="33" borderId="11" xfId="0" applyNumberFormat="1" applyFont="1" applyFill="1" applyBorder="1" applyAlignment="1">
      <alignment horizontal="center"/>
    </xf>
    <xf numFmtId="0" fontId="4" fillId="0" borderId="16" xfId="0" applyFont="1" applyBorder="1" applyAlignment="1">
      <alignment/>
    </xf>
    <xf numFmtId="0" fontId="15" fillId="0" borderId="16" xfId="0" applyFont="1" applyBorder="1" applyAlignment="1">
      <alignment/>
    </xf>
    <xf numFmtId="0" fontId="4" fillId="0" borderId="14" xfId="0" applyFont="1" applyBorder="1" applyAlignment="1">
      <alignment/>
    </xf>
    <xf numFmtId="49" fontId="4" fillId="33" borderId="21" xfId="0" applyNumberFormat="1" applyFont="1" applyFill="1" applyBorder="1" applyAlignment="1">
      <alignment horizontal="center"/>
    </xf>
    <xf numFmtId="49" fontId="5" fillId="33" borderId="10" xfId="0" applyNumberFormat="1" applyFont="1" applyFill="1" applyBorder="1" applyAlignment="1">
      <alignment horizontal="center"/>
    </xf>
    <xf numFmtId="49" fontId="5" fillId="33" borderId="13" xfId="0" applyNumberFormat="1" applyFont="1" applyFill="1" applyBorder="1" applyAlignment="1">
      <alignment horizontal="center"/>
    </xf>
    <xf numFmtId="49" fontId="5" fillId="33" borderId="10" xfId="0" applyNumberFormat="1" applyFont="1" applyFill="1" applyBorder="1" applyAlignment="1">
      <alignment horizontal="center"/>
    </xf>
    <xf numFmtId="49" fontId="3" fillId="33" borderId="10" xfId="0" applyNumberFormat="1" applyFont="1" applyFill="1" applyBorder="1" applyAlignment="1">
      <alignment horizontal="center"/>
    </xf>
    <xf numFmtId="0" fontId="6" fillId="33" borderId="14" xfId="0" applyFont="1" applyFill="1" applyBorder="1" applyAlignment="1">
      <alignment/>
    </xf>
    <xf numFmtId="0" fontId="14" fillId="0" borderId="14" xfId="0" applyFont="1" applyBorder="1" applyAlignment="1">
      <alignment/>
    </xf>
    <xf numFmtId="0" fontId="4" fillId="0" borderId="22" xfId="0" applyFont="1" applyFill="1" applyBorder="1" applyAlignment="1">
      <alignment horizontal="center"/>
    </xf>
    <xf numFmtId="49" fontId="12" fillId="0" borderId="13" xfId="0" applyNumberFormat="1" applyFont="1" applyFill="1" applyBorder="1" applyAlignment="1">
      <alignment horizontal="center"/>
    </xf>
    <xf numFmtId="49" fontId="12" fillId="0" borderId="10" xfId="0" applyNumberFormat="1" applyFont="1" applyFill="1" applyBorder="1" applyAlignment="1">
      <alignment horizontal="center"/>
    </xf>
    <xf numFmtId="0" fontId="12" fillId="0" borderId="13" xfId="0" applyNumberFormat="1" applyFont="1" applyFill="1" applyBorder="1" applyAlignment="1">
      <alignment horizontal="center"/>
    </xf>
    <xf numFmtId="0" fontId="12" fillId="0" borderId="10" xfId="0" applyNumberFormat="1" applyFont="1" applyFill="1" applyBorder="1" applyAlignment="1">
      <alignment horizontal="center"/>
    </xf>
    <xf numFmtId="0" fontId="4" fillId="0" borderId="14" xfId="0" applyNumberFormat="1" applyFont="1" applyFill="1" applyBorder="1" applyAlignment="1">
      <alignment/>
    </xf>
    <xf numFmtId="0" fontId="12" fillId="0" borderId="11" xfId="0" applyNumberFormat="1" applyFont="1" applyFill="1" applyBorder="1" applyAlignment="1">
      <alignment horizontal="center"/>
    </xf>
    <xf numFmtId="0" fontId="4" fillId="0" borderId="16" xfId="0" applyNumberFormat="1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49" fontId="4" fillId="33" borderId="10" xfId="0" applyNumberFormat="1" applyFont="1" applyFill="1" applyBorder="1" applyAlignment="1">
      <alignment horizontal="center"/>
    </xf>
    <xf numFmtId="49" fontId="4" fillId="33" borderId="12" xfId="0" applyNumberFormat="1" applyFont="1" applyFill="1" applyBorder="1" applyAlignment="1">
      <alignment horizontal="center"/>
    </xf>
    <xf numFmtId="0" fontId="19" fillId="33" borderId="16" xfId="0" applyFont="1" applyFill="1" applyBorder="1" applyAlignment="1">
      <alignment/>
    </xf>
    <xf numFmtId="0" fontId="15" fillId="0" borderId="14" xfId="0" applyFont="1" applyBorder="1" applyAlignment="1">
      <alignment/>
    </xf>
    <xf numFmtId="49" fontId="5" fillId="33" borderId="21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25" fillId="0" borderId="0" xfId="0" applyFont="1" applyAlignment="1">
      <alignment/>
    </xf>
    <xf numFmtId="0" fontId="0" fillId="33" borderId="0" xfId="0" applyFill="1" applyBorder="1" applyAlignment="1">
      <alignment/>
    </xf>
    <xf numFmtId="0" fontId="40" fillId="37" borderId="15" xfId="0" applyFont="1" applyFill="1" applyBorder="1" applyAlignment="1">
      <alignment/>
    </xf>
    <xf numFmtId="49" fontId="41" fillId="37" borderId="19" xfId="0" applyNumberFormat="1" applyFont="1" applyFill="1" applyBorder="1" applyAlignment="1">
      <alignment horizontal="center"/>
    </xf>
    <xf numFmtId="0" fontId="40" fillId="37" borderId="0" xfId="0" applyFont="1" applyFill="1" applyBorder="1" applyAlignment="1">
      <alignment/>
    </xf>
    <xf numFmtId="0" fontId="40" fillId="37" borderId="19" xfId="0" applyFont="1" applyFill="1" applyBorder="1" applyAlignment="1">
      <alignment/>
    </xf>
    <xf numFmtId="0" fontId="40" fillId="37" borderId="17" xfId="0" applyFont="1" applyFill="1" applyBorder="1" applyAlignment="1">
      <alignment/>
    </xf>
    <xf numFmtId="49" fontId="41" fillId="37" borderId="23" xfId="0" applyNumberFormat="1" applyFont="1" applyFill="1" applyBorder="1" applyAlignment="1">
      <alignment horizontal="center"/>
    </xf>
    <xf numFmtId="49" fontId="41" fillId="37" borderId="24" xfId="0" applyNumberFormat="1" applyFont="1" applyFill="1" applyBorder="1" applyAlignment="1">
      <alignment horizontal="center"/>
    </xf>
    <xf numFmtId="0" fontId="42" fillId="37" borderId="25" xfId="0" applyFont="1" applyFill="1" applyBorder="1" applyAlignment="1">
      <alignment/>
    </xf>
    <xf numFmtId="0" fontId="40" fillId="37" borderId="23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4" fillId="0" borderId="20" xfId="0" applyFont="1" applyBorder="1" applyAlignment="1">
      <alignment horizontal="center"/>
    </xf>
    <xf numFmtId="49" fontId="5" fillId="34" borderId="11" xfId="0" applyNumberFormat="1" applyFont="1" applyFill="1" applyBorder="1" applyAlignment="1">
      <alignment horizontal="center"/>
    </xf>
    <xf numFmtId="49" fontId="5" fillId="34" borderId="12" xfId="0" applyNumberFormat="1" applyFont="1" applyFill="1" applyBorder="1" applyAlignment="1">
      <alignment horizontal="center"/>
    </xf>
    <xf numFmtId="0" fontId="4" fillId="33" borderId="20" xfId="0" applyFont="1" applyFill="1" applyBorder="1" applyAlignment="1">
      <alignment horizontal="center"/>
    </xf>
    <xf numFmtId="0" fontId="6" fillId="33" borderId="11" xfId="0" applyFont="1" applyFill="1" applyBorder="1" applyAlignment="1">
      <alignment/>
    </xf>
    <xf numFmtId="49" fontId="28" fillId="38" borderId="10" xfId="0" applyNumberFormat="1" applyFont="1" applyFill="1" applyBorder="1" applyAlignment="1">
      <alignment horizontal="center"/>
    </xf>
    <xf numFmtId="49" fontId="28" fillId="38" borderId="11" xfId="0" applyNumberFormat="1" applyFont="1" applyFill="1" applyBorder="1" applyAlignment="1">
      <alignment horizontal="center"/>
    </xf>
    <xf numFmtId="0" fontId="43" fillId="38" borderId="26" xfId="0" applyFont="1" applyFill="1" applyBorder="1" applyAlignment="1">
      <alignment/>
    </xf>
    <xf numFmtId="0" fontId="4" fillId="33" borderId="27" xfId="0" applyFont="1" applyFill="1" applyBorder="1" applyAlignment="1">
      <alignment horizontal="center"/>
    </xf>
    <xf numFmtId="49" fontId="28" fillId="38" borderId="28" xfId="0" applyNumberFormat="1" applyFont="1" applyFill="1" applyBorder="1" applyAlignment="1">
      <alignment horizontal="center"/>
    </xf>
    <xf numFmtId="49" fontId="28" fillId="38" borderId="29" xfId="0" applyNumberFormat="1" applyFont="1" applyFill="1" applyBorder="1" applyAlignment="1">
      <alignment horizontal="center"/>
    </xf>
    <xf numFmtId="0" fontId="43" fillId="38" borderId="29" xfId="0" applyFont="1" applyFill="1" applyBorder="1" applyAlignment="1">
      <alignment/>
    </xf>
    <xf numFmtId="0" fontId="3" fillId="33" borderId="30" xfId="0" applyFont="1" applyFill="1" applyBorder="1" applyAlignment="1">
      <alignment horizontal="center"/>
    </xf>
    <xf numFmtId="49" fontId="13" fillId="34" borderId="11" xfId="0" applyNumberFormat="1" applyFont="1" applyFill="1" applyBorder="1" applyAlignment="1">
      <alignment horizontal="center" vertical="center"/>
    </xf>
    <xf numFmtId="49" fontId="13" fillId="34" borderId="12" xfId="0" applyNumberFormat="1" applyFont="1" applyFill="1" applyBorder="1" applyAlignment="1">
      <alignment horizontal="center" vertical="center"/>
    </xf>
    <xf numFmtId="49" fontId="7" fillId="34" borderId="11" xfId="0" applyNumberFormat="1" applyFont="1" applyFill="1" applyBorder="1" applyAlignment="1">
      <alignment horizontal="center" vertical="center"/>
    </xf>
    <xf numFmtId="49" fontId="13" fillId="34" borderId="13" xfId="0" applyNumberFormat="1" applyFont="1" applyFill="1" applyBorder="1" applyAlignment="1">
      <alignment horizontal="center" vertical="center"/>
    </xf>
    <xf numFmtId="49" fontId="13" fillId="34" borderId="10" xfId="0" applyNumberFormat="1" applyFont="1" applyFill="1" applyBorder="1" applyAlignment="1">
      <alignment horizontal="center" vertical="center"/>
    </xf>
    <xf numFmtId="49" fontId="7" fillId="34" borderId="13" xfId="0" applyNumberFormat="1" applyFont="1" applyFill="1" applyBorder="1" applyAlignment="1">
      <alignment horizontal="center" vertical="center"/>
    </xf>
    <xf numFmtId="0" fontId="27" fillId="34" borderId="14" xfId="0" applyFont="1" applyFill="1" applyBorder="1" applyAlignment="1">
      <alignment vertical="center"/>
    </xf>
    <xf numFmtId="0" fontId="27" fillId="34" borderId="16" xfId="0" applyFont="1" applyFill="1" applyBorder="1" applyAlignment="1">
      <alignment vertical="center"/>
    </xf>
    <xf numFmtId="0" fontId="28" fillId="39" borderId="25" xfId="0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vertical="center"/>
    </xf>
    <xf numFmtId="49" fontId="5" fillId="33" borderId="28" xfId="0" applyNumberFormat="1" applyFont="1" applyFill="1" applyBorder="1" applyAlignment="1">
      <alignment horizontal="center"/>
    </xf>
    <xf numFmtId="49" fontId="4" fillId="0" borderId="28" xfId="0" applyNumberFormat="1" applyFont="1" applyBorder="1" applyAlignment="1">
      <alignment horizontal="center"/>
    </xf>
    <xf numFmtId="49" fontId="4" fillId="33" borderId="29" xfId="0" applyNumberFormat="1" applyFont="1" applyFill="1" applyBorder="1" applyAlignment="1">
      <alignment horizontal="center"/>
    </xf>
    <xf numFmtId="0" fontId="4" fillId="0" borderId="31" xfId="0" applyFont="1" applyBorder="1" applyAlignment="1">
      <alignment/>
    </xf>
    <xf numFmtId="0" fontId="13" fillId="40" borderId="14" xfId="0" applyFont="1" applyFill="1" applyBorder="1" applyAlignment="1">
      <alignment/>
    </xf>
    <xf numFmtId="0" fontId="13" fillId="40" borderId="16" xfId="0" applyFont="1" applyFill="1" applyBorder="1" applyAlignment="1">
      <alignment/>
    </xf>
    <xf numFmtId="49" fontId="47" fillId="38" borderId="32" xfId="0" applyNumberFormat="1" applyFont="1" applyFill="1" applyBorder="1" applyAlignment="1">
      <alignment horizontal="center"/>
    </xf>
    <xf numFmtId="49" fontId="47" fillId="38" borderId="33" xfId="0" applyNumberFormat="1" applyFont="1" applyFill="1" applyBorder="1" applyAlignment="1">
      <alignment horizontal="center"/>
    </xf>
    <xf numFmtId="49" fontId="46" fillId="38" borderId="33" xfId="0" applyNumberFormat="1" applyFont="1" applyFill="1" applyBorder="1" applyAlignment="1">
      <alignment horizontal="center"/>
    </xf>
    <xf numFmtId="0" fontId="35" fillId="38" borderId="18" xfId="0" applyFont="1" applyFill="1" applyBorder="1" applyAlignment="1">
      <alignment/>
    </xf>
    <xf numFmtId="0" fontId="10" fillId="33" borderId="14" xfId="0" applyFont="1" applyFill="1" applyBorder="1" applyAlignment="1">
      <alignment/>
    </xf>
    <xf numFmtId="0" fontId="0" fillId="0" borderId="0" xfId="0" applyFont="1" applyAlignment="1">
      <alignment/>
    </xf>
    <xf numFmtId="0" fontId="0" fillId="33" borderId="34" xfId="0" applyFill="1" applyBorder="1" applyAlignment="1">
      <alignment/>
    </xf>
    <xf numFmtId="3" fontId="3" fillId="0" borderId="18" xfId="0" applyNumberFormat="1" applyFont="1" applyFill="1" applyBorder="1" applyAlignment="1">
      <alignment/>
    </xf>
    <xf numFmtId="3" fontId="6" fillId="0" borderId="18" xfId="0" applyNumberFormat="1" applyFont="1" applyFill="1" applyBorder="1" applyAlignment="1">
      <alignment/>
    </xf>
    <xf numFmtId="0" fontId="8" fillId="33" borderId="35" xfId="0" applyFont="1" applyFill="1" applyBorder="1" applyAlignment="1">
      <alignment/>
    </xf>
    <xf numFmtId="49" fontId="4" fillId="0" borderId="13" xfId="0" applyNumberFormat="1" applyFont="1" applyFill="1" applyBorder="1" applyAlignment="1">
      <alignment horizontal="center"/>
    </xf>
    <xf numFmtId="0" fontId="26" fillId="39" borderId="36" xfId="0" applyFont="1" applyFill="1" applyBorder="1" applyAlignment="1">
      <alignment horizontal="left" vertical="center"/>
    </xf>
    <xf numFmtId="0" fontId="9" fillId="34" borderId="14" xfId="0" applyFont="1" applyFill="1" applyBorder="1" applyAlignment="1">
      <alignment/>
    </xf>
    <xf numFmtId="0" fontId="9" fillId="34" borderId="16" xfId="0" applyFont="1" applyFill="1" applyBorder="1" applyAlignment="1">
      <alignment/>
    </xf>
    <xf numFmtId="0" fontId="20" fillId="41" borderId="37" xfId="0" applyFont="1" applyFill="1" applyBorder="1" applyAlignment="1">
      <alignment/>
    </xf>
    <xf numFmtId="0" fontId="33" fillId="41" borderId="16" xfId="0" applyFont="1" applyFill="1" applyBorder="1" applyAlignment="1">
      <alignment/>
    </xf>
    <xf numFmtId="0" fontId="4" fillId="42" borderId="11" xfId="0" applyFont="1" applyFill="1" applyBorder="1" applyAlignment="1">
      <alignment horizontal="center"/>
    </xf>
    <xf numFmtId="49" fontId="4" fillId="42" borderId="12" xfId="0" applyNumberFormat="1" applyFont="1" applyFill="1" applyBorder="1" applyAlignment="1">
      <alignment horizontal="center"/>
    </xf>
    <xf numFmtId="3" fontId="4" fillId="42" borderId="0" xfId="0" applyNumberFormat="1" applyFont="1" applyFill="1" applyBorder="1" applyAlignment="1">
      <alignment horizontal="right"/>
    </xf>
    <xf numFmtId="0" fontId="0" fillId="42" borderId="0" xfId="0" applyFill="1" applyAlignment="1">
      <alignment/>
    </xf>
    <xf numFmtId="0" fontId="4" fillId="42" borderId="12" xfId="0" applyFont="1" applyFill="1" applyBorder="1" applyAlignment="1">
      <alignment horizontal="center"/>
    </xf>
    <xf numFmtId="0" fontId="4" fillId="42" borderId="13" xfId="0" applyFont="1" applyFill="1" applyBorder="1" applyAlignment="1">
      <alignment horizontal="center"/>
    </xf>
    <xf numFmtId="0" fontId="4" fillId="42" borderId="10" xfId="0" applyFont="1" applyFill="1" applyBorder="1" applyAlignment="1">
      <alignment horizontal="center"/>
    </xf>
    <xf numFmtId="0" fontId="30" fillId="0" borderId="20" xfId="0" applyFont="1" applyBorder="1" applyAlignment="1">
      <alignment horizontal="center"/>
    </xf>
    <xf numFmtId="0" fontId="30" fillId="0" borderId="30" xfId="0" applyFont="1" applyBorder="1" applyAlignment="1">
      <alignment horizontal="center"/>
    </xf>
    <xf numFmtId="0" fontId="29" fillId="0" borderId="0" xfId="0" applyFont="1" applyBorder="1" applyAlignment="1">
      <alignment/>
    </xf>
    <xf numFmtId="0" fontId="4" fillId="42" borderId="33" xfId="0" applyFont="1" applyFill="1" applyBorder="1" applyAlignment="1">
      <alignment horizontal="center"/>
    </xf>
    <xf numFmtId="0" fontId="4" fillId="42" borderId="32" xfId="0" applyFont="1" applyFill="1" applyBorder="1" applyAlignment="1">
      <alignment horizontal="center"/>
    </xf>
    <xf numFmtId="3" fontId="4" fillId="42" borderId="18" xfId="0" applyNumberFormat="1" applyFont="1" applyFill="1" applyBorder="1" applyAlignment="1">
      <alignment horizontal="right"/>
    </xf>
    <xf numFmtId="3" fontId="7" fillId="42" borderId="22" xfId="0" applyNumberFormat="1" applyFont="1" applyFill="1" applyBorder="1" applyAlignment="1">
      <alignment horizontal="right"/>
    </xf>
    <xf numFmtId="3" fontId="7" fillId="42" borderId="38" xfId="0" applyNumberFormat="1" applyFont="1" applyFill="1" applyBorder="1" applyAlignment="1">
      <alignment horizontal="right"/>
    </xf>
    <xf numFmtId="3" fontId="7" fillId="42" borderId="39" xfId="0" applyNumberFormat="1" applyFont="1" applyFill="1" applyBorder="1" applyAlignment="1">
      <alignment horizontal="right"/>
    </xf>
    <xf numFmtId="0" fontId="3" fillId="42" borderId="11" xfId="0" applyFont="1" applyFill="1" applyBorder="1" applyAlignment="1">
      <alignment horizontal="center"/>
    </xf>
    <xf numFmtId="49" fontId="3" fillId="42" borderId="12" xfId="0" applyNumberFormat="1" applyFont="1" applyFill="1" applyBorder="1" applyAlignment="1">
      <alignment horizontal="center"/>
    </xf>
    <xf numFmtId="3" fontId="6" fillId="42" borderId="22" xfId="0" applyNumberFormat="1" applyFont="1" applyFill="1" applyBorder="1" applyAlignment="1">
      <alignment horizontal="right"/>
    </xf>
    <xf numFmtId="3" fontId="3" fillId="42" borderId="0" xfId="0" applyNumberFormat="1" applyFont="1" applyFill="1" applyBorder="1" applyAlignment="1">
      <alignment horizontal="right"/>
    </xf>
    <xf numFmtId="49" fontId="3" fillId="42" borderId="16" xfId="0" applyNumberFormat="1" applyFont="1" applyFill="1" applyBorder="1" applyAlignment="1">
      <alignment horizontal="center"/>
    </xf>
    <xf numFmtId="0" fontId="8" fillId="36" borderId="35" xfId="0" applyFont="1" applyFill="1" applyBorder="1" applyAlignment="1">
      <alignment/>
    </xf>
    <xf numFmtId="3" fontId="4" fillId="42" borderId="16" xfId="0" applyNumberFormat="1" applyFont="1" applyFill="1" applyBorder="1" applyAlignment="1">
      <alignment horizontal="right"/>
    </xf>
    <xf numFmtId="0" fontId="3" fillId="42" borderId="12" xfId="0" applyFont="1" applyFill="1" applyBorder="1" applyAlignment="1">
      <alignment horizontal="center"/>
    </xf>
    <xf numFmtId="49" fontId="3" fillId="36" borderId="12" xfId="0" applyNumberFormat="1" applyFont="1" applyFill="1" applyBorder="1" applyAlignment="1">
      <alignment horizontal="center"/>
    </xf>
    <xf numFmtId="0" fontId="10" fillId="0" borderId="0" xfId="0" applyFont="1" applyAlignment="1">
      <alignment/>
    </xf>
    <xf numFmtId="0" fontId="3" fillId="42" borderId="12" xfId="0" applyFont="1" applyFill="1" applyBorder="1" applyAlignment="1">
      <alignment horizontal="center"/>
    </xf>
    <xf numFmtId="49" fontId="3" fillId="43" borderId="12" xfId="0" applyNumberFormat="1" applyFont="1" applyFill="1" applyBorder="1" applyAlignment="1">
      <alignment horizontal="center"/>
    </xf>
    <xf numFmtId="0" fontId="4" fillId="43" borderId="12" xfId="0" applyFont="1" applyFill="1" applyBorder="1" applyAlignment="1">
      <alignment horizontal="center"/>
    </xf>
    <xf numFmtId="0" fontId="4" fillId="42" borderId="12" xfId="0" applyFont="1" applyFill="1" applyBorder="1" applyAlignment="1">
      <alignment horizontal="center"/>
    </xf>
    <xf numFmtId="0" fontId="4" fillId="42" borderId="10" xfId="0" applyFont="1" applyFill="1" applyBorder="1" applyAlignment="1">
      <alignment horizontal="center"/>
    </xf>
    <xf numFmtId="3" fontId="7" fillId="42" borderId="20" xfId="0" applyNumberFormat="1" applyFont="1" applyFill="1" applyBorder="1" applyAlignment="1">
      <alignment horizontal="right"/>
    </xf>
    <xf numFmtId="0" fontId="4" fillId="42" borderId="16" xfId="0" applyFont="1" applyFill="1" applyBorder="1" applyAlignment="1">
      <alignment horizontal="center"/>
    </xf>
    <xf numFmtId="0" fontId="4" fillId="42" borderId="37" xfId="0" applyFont="1" applyFill="1" applyBorder="1" applyAlignment="1">
      <alignment horizontal="center"/>
    </xf>
    <xf numFmtId="3" fontId="4" fillId="0" borderId="16" xfId="0" applyNumberFormat="1" applyFont="1" applyFill="1" applyBorder="1" applyAlignment="1">
      <alignment horizontal="right"/>
    </xf>
    <xf numFmtId="0" fontId="7" fillId="33" borderId="16" xfId="0" applyFont="1" applyFill="1" applyBorder="1" applyAlignment="1">
      <alignment/>
    </xf>
    <xf numFmtId="0" fontId="7" fillId="0" borderId="16" xfId="0" applyFont="1" applyBorder="1" applyAlignment="1">
      <alignment/>
    </xf>
    <xf numFmtId="49" fontId="3" fillId="42" borderId="37" xfId="0" applyNumberFormat="1" applyFont="1" applyFill="1" applyBorder="1" applyAlignment="1">
      <alignment horizontal="center"/>
    </xf>
    <xf numFmtId="49" fontId="4" fillId="42" borderId="37" xfId="0" applyNumberFormat="1" applyFont="1" applyFill="1" applyBorder="1" applyAlignment="1">
      <alignment horizontal="center"/>
    </xf>
    <xf numFmtId="49" fontId="20" fillId="42" borderId="12" xfId="0" applyNumberFormat="1" applyFont="1" applyFill="1" applyBorder="1" applyAlignment="1">
      <alignment horizontal="left"/>
    </xf>
    <xf numFmtId="0" fontId="2" fillId="0" borderId="20" xfId="0" applyFont="1" applyBorder="1" applyAlignment="1">
      <alignment horizontal="center"/>
    </xf>
    <xf numFmtId="3" fontId="0" fillId="42" borderId="0" xfId="0" applyNumberFormat="1" applyFill="1" applyAlignment="1">
      <alignment/>
    </xf>
    <xf numFmtId="0" fontId="36" fillId="39" borderId="40" xfId="0" applyFont="1" applyFill="1" applyBorder="1" applyAlignment="1">
      <alignment horizontal="left" vertical="center"/>
    </xf>
    <xf numFmtId="0" fontId="6" fillId="36" borderId="35" xfId="0" applyFont="1" applyFill="1" applyBorder="1" applyAlignment="1">
      <alignment/>
    </xf>
    <xf numFmtId="0" fontId="8" fillId="36" borderId="35" xfId="0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49" fontId="4" fillId="43" borderId="12" xfId="0" applyNumberFormat="1" applyFont="1" applyFill="1" applyBorder="1" applyAlignment="1">
      <alignment horizontal="center"/>
    </xf>
    <xf numFmtId="49" fontId="4" fillId="42" borderId="16" xfId="0" applyNumberFormat="1" applyFont="1" applyFill="1" applyBorder="1" applyAlignment="1">
      <alignment horizontal="center"/>
    </xf>
    <xf numFmtId="0" fontId="4" fillId="42" borderId="19" xfId="0" applyFont="1" applyFill="1" applyBorder="1" applyAlignment="1">
      <alignment horizontal="center"/>
    </xf>
    <xf numFmtId="0" fontId="4" fillId="42" borderId="21" xfId="0" applyFont="1" applyFill="1" applyBorder="1" applyAlignment="1">
      <alignment horizontal="center"/>
    </xf>
    <xf numFmtId="3" fontId="4" fillId="42" borderId="14" xfId="0" applyNumberFormat="1" applyFont="1" applyFill="1" applyBorder="1" applyAlignment="1">
      <alignment horizontal="right"/>
    </xf>
    <xf numFmtId="49" fontId="4" fillId="42" borderId="11" xfId="0" applyNumberFormat="1" applyFont="1" applyFill="1" applyBorder="1" applyAlignment="1">
      <alignment horizontal="center"/>
    </xf>
    <xf numFmtId="49" fontId="12" fillId="0" borderId="11" xfId="0" applyNumberFormat="1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49" fontId="5" fillId="42" borderId="12" xfId="0" applyNumberFormat="1" applyFont="1" applyFill="1" applyBorder="1" applyAlignment="1">
      <alignment horizontal="center"/>
    </xf>
    <xf numFmtId="49" fontId="4" fillId="42" borderId="11" xfId="0" applyNumberFormat="1" applyFont="1" applyFill="1" applyBorder="1" applyAlignment="1">
      <alignment horizontal="center"/>
    </xf>
    <xf numFmtId="0" fontId="13" fillId="42" borderId="16" xfId="0" applyFont="1" applyFill="1" applyBorder="1" applyAlignment="1">
      <alignment/>
    </xf>
    <xf numFmtId="0" fontId="6" fillId="0" borderId="16" xfId="0" applyFont="1" applyBorder="1" applyAlignment="1">
      <alignment/>
    </xf>
    <xf numFmtId="0" fontId="13" fillId="40" borderId="0" xfId="0" applyFont="1" applyFill="1" applyBorder="1" applyAlignment="1">
      <alignment/>
    </xf>
    <xf numFmtId="0" fontId="4" fillId="35" borderId="23" xfId="0" applyFont="1" applyFill="1" applyBorder="1" applyAlignment="1">
      <alignment/>
    </xf>
    <xf numFmtId="0" fontId="28" fillId="39" borderId="23" xfId="0" applyFont="1" applyFill="1" applyBorder="1" applyAlignment="1">
      <alignment/>
    </xf>
    <xf numFmtId="0" fontId="4" fillId="34" borderId="11" xfId="0" applyFont="1" applyFill="1" applyBorder="1" applyAlignment="1">
      <alignment/>
    </xf>
    <xf numFmtId="0" fontId="7" fillId="42" borderId="11" xfId="0" applyFont="1" applyFill="1" applyBorder="1" applyAlignment="1">
      <alignment/>
    </xf>
    <xf numFmtId="0" fontId="4" fillId="34" borderId="13" xfId="0" applyFont="1" applyFill="1" applyBorder="1" applyAlignment="1">
      <alignment/>
    </xf>
    <xf numFmtId="0" fontId="4" fillId="34" borderId="33" xfId="0" applyFont="1" applyFill="1" applyBorder="1" applyAlignment="1">
      <alignment/>
    </xf>
    <xf numFmtId="3" fontId="39" fillId="44" borderId="17" xfId="0" applyNumberFormat="1" applyFont="1" applyFill="1" applyBorder="1" applyAlignment="1">
      <alignment vertical="center"/>
    </xf>
    <xf numFmtId="3" fontId="22" fillId="44" borderId="20" xfId="0" applyNumberFormat="1" applyFont="1" applyFill="1" applyBorder="1" applyAlignment="1">
      <alignment/>
    </xf>
    <xf numFmtId="49" fontId="4" fillId="13" borderId="12" xfId="0" applyNumberFormat="1" applyFont="1" applyFill="1" applyBorder="1" applyAlignment="1">
      <alignment horizontal="center"/>
    </xf>
    <xf numFmtId="3" fontId="22" fillId="44" borderId="22" xfId="0" applyNumberFormat="1" applyFont="1" applyFill="1" applyBorder="1" applyAlignment="1">
      <alignment/>
    </xf>
    <xf numFmtId="0" fontId="6" fillId="42" borderId="11" xfId="0" applyFont="1" applyFill="1" applyBorder="1" applyAlignment="1">
      <alignment/>
    </xf>
    <xf numFmtId="0" fontId="7" fillId="42" borderId="33" xfId="0" applyFont="1" applyFill="1" applyBorder="1" applyAlignment="1">
      <alignment/>
    </xf>
    <xf numFmtId="0" fontId="28" fillId="39" borderId="41" xfId="0" applyFont="1" applyFill="1" applyBorder="1" applyAlignment="1">
      <alignment/>
    </xf>
    <xf numFmtId="0" fontId="7" fillId="42" borderId="13" xfId="0" applyFont="1" applyFill="1" applyBorder="1" applyAlignment="1">
      <alignment/>
    </xf>
    <xf numFmtId="0" fontId="6" fillId="42" borderId="13" xfId="0" applyFont="1" applyFill="1" applyBorder="1" applyAlignment="1">
      <alignment/>
    </xf>
    <xf numFmtId="0" fontId="8" fillId="13" borderId="35" xfId="0" applyFont="1" applyFill="1" applyBorder="1" applyAlignment="1">
      <alignment horizontal="left"/>
    </xf>
    <xf numFmtId="0" fontId="8" fillId="13" borderId="14" xfId="0" applyFont="1" applyFill="1" applyBorder="1" applyAlignment="1">
      <alignment horizontal="left"/>
    </xf>
    <xf numFmtId="0" fontId="8" fillId="13" borderId="13" xfId="0" applyFont="1" applyFill="1" applyBorder="1" applyAlignment="1">
      <alignment horizontal="left"/>
    </xf>
    <xf numFmtId="0" fontId="2" fillId="0" borderId="30" xfId="0" applyFont="1" applyBorder="1" applyAlignment="1">
      <alignment horizontal="center"/>
    </xf>
    <xf numFmtId="0" fontId="3" fillId="42" borderId="10" xfId="0" applyFont="1" applyFill="1" applyBorder="1" applyAlignment="1">
      <alignment horizontal="center"/>
    </xf>
    <xf numFmtId="0" fontId="4" fillId="42" borderId="42" xfId="0" applyFont="1" applyFill="1" applyBorder="1" applyAlignment="1">
      <alignment horizontal="center"/>
    </xf>
    <xf numFmtId="0" fontId="3" fillId="42" borderId="32" xfId="0" applyFont="1" applyFill="1" applyBorder="1" applyAlignment="1">
      <alignment horizontal="center"/>
    </xf>
    <xf numFmtId="0" fontId="19" fillId="42" borderId="11" xfId="0" applyFont="1" applyFill="1" applyBorder="1" applyAlignment="1">
      <alignment/>
    </xf>
    <xf numFmtId="0" fontId="3" fillId="13" borderId="35" xfId="0" applyFont="1" applyFill="1" applyBorder="1" applyAlignment="1">
      <alignment/>
    </xf>
    <xf numFmtId="0" fontId="8" fillId="13" borderId="35" xfId="0" applyFont="1" applyFill="1" applyBorder="1" applyAlignment="1">
      <alignment/>
    </xf>
    <xf numFmtId="0" fontId="8" fillId="13" borderId="13" xfId="0" applyFont="1" applyFill="1" applyBorder="1" applyAlignment="1">
      <alignment/>
    </xf>
    <xf numFmtId="0" fontId="4" fillId="42" borderId="32" xfId="0" applyFont="1" applyFill="1" applyBorder="1" applyAlignment="1">
      <alignment horizontal="center"/>
    </xf>
    <xf numFmtId="0" fontId="24" fillId="39" borderId="43" xfId="0" applyFont="1" applyFill="1" applyBorder="1" applyAlignment="1">
      <alignment horizontal="center" vertical="center"/>
    </xf>
    <xf numFmtId="0" fontId="4" fillId="41" borderId="20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7" fillId="42" borderId="19" xfId="0" applyFont="1" applyFill="1" applyBorder="1" applyAlignment="1">
      <alignment/>
    </xf>
    <xf numFmtId="0" fontId="6" fillId="43" borderId="11" xfId="0" applyFont="1" applyFill="1" applyBorder="1" applyAlignment="1">
      <alignment/>
    </xf>
    <xf numFmtId="0" fontId="3" fillId="43" borderId="12" xfId="0" applyFont="1" applyFill="1" applyBorder="1" applyAlignment="1">
      <alignment horizontal="center"/>
    </xf>
    <xf numFmtId="0" fontId="6" fillId="43" borderId="13" xfId="0" applyFont="1" applyFill="1" applyBorder="1" applyAlignment="1">
      <alignment/>
    </xf>
    <xf numFmtId="0" fontId="3" fillId="43" borderId="10" xfId="0" applyFont="1" applyFill="1" applyBorder="1" applyAlignment="1">
      <alignment horizontal="center"/>
    </xf>
    <xf numFmtId="0" fontId="8" fillId="43" borderId="37" xfId="0" applyFont="1" applyFill="1" applyBorder="1" applyAlignment="1">
      <alignment/>
    </xf>
    <xf numFmtId="0" fontId="8" fillId="43" borderId="11" xfId="0" applyFont="1" applyFill="1" applyBorder="1" applyAlignment="1">
      <alignment/>
    </xf>
    <xf numFmtId="0" fontId="4" fillId="43" borderId="35" xfId="0" applyFont="1" applyFill="1" applyBorder="1" applyAlignment="1">
      <alignment/>
    </xf>
    <xf numFmtId="0" fontId="8" fillId="43" borderId="35" xfId="0" applyFont="1" applyFill="1" applyBorder="1" applyAlignment="1">
      <alignment/>
    </xf>
    <xf numFmtId="0" fontId="8" fillId="43" borderId="13" xfId="0" applyFont="1" applyFill="1" applyBorder="1" applyAlignment="1">
      <alignment/>
    </xf>
    <xf numFmtId="0" fontId="32" fillId="39" borderId="36" xfId="0" applyFont="1" applyFill="1" applyBorder="1" applyAlignment="1">
      <alignment horizontal="left" vertical="center"/>
    </xf>
    <xf numFmtId="0" fontId="8" fillId="36" borderId="13" xfId="0" applyFont="1" applyFill="1" applyBorder="1" applyAlignment="1">
      <alignment/>
    </xf>
    <xf numFmtId="3" fontId="0" fillId="0" borderId="0" xfId="0" applyNumberFormat="1" applyFont="1" applyAlignment="1">
      <alignment/>
    </xf>
    <xf numFmtId="0" fontId="19" fillId="42" borderId="33" xfId="0" applyFont="1" applyFill="1" applyBorder="1" applyAlignment="1">
      <alignment/>
    </xf>
    <xf numFmtId="0" fontId="2" fillId="42" borderId="30" xfId="0" applyFont="1" applyFill="1" applyBorder="1" applyAlignment="1">
      <alignment horizontal="center"/>
    </xf>
    <xf numFmtId="3" fontId="10" fillId="0" borderId="0" xfId="0" applyNumberFormat="1" applyFont="1" applyAlignment="1">
      <alignment/>
    </xf>
    <xf numFmtId="3" fontId="0" fillId="0" borderId="0" xfId="0" applyNumberFormat="1" applyBorder="1" applyAlignment="1">
      <alignment/>
    </xf>
    <xf numFmtId="3" fontId="3" fillId="42" borderId="14" xfId="0" applyNumberFormat="1" applyFont="1" applyFill="1" applyBorder="1" applyAlignment="1">
      <alignment horizontal="right"/>
    </xf>
    <xf numFmtId="3" fontId="6" fillId="0" borderId="14" xfId="0" applyNumberFormat="1" applyFont="1" applyFill="1" applyBorder="1" applyAlignment="1">
      <alignment/>
    </xf>
    <xf numFmtId="3" fontId="3" fillId="0" borderId="14" xfId="0" applyNumberFormat="1" applyFont="1" applyFill="1" applyBorder="1" applyAlignment="1">
      <alignment/>
    </xf>
    <xf numFmtId="0" fontId="29" fillId="42" borderId="0" xfId="0" applyFont="1" applyFill="1" applyBorder="1" applyAlignment="1">
      <alignment/>
    </xf>
    <xf numFmtId="0" fontId="0" fillId="42" borderId="0" xfId="0" applyFill="1" applyBorder="1" applyAlignment="1">
      <alignment/>
    </xf>
    <xf numFmtId="49" fontId="9" fillId="42" borderId="0" xfId="0" applyNumberFormat="1" applyFont="1" applyFill="1" applyBorder="1" applyAlignment="1">
      <alignment horizontal="center" vertical="center"/>
    </xf>
    <xf numFmtId="0" fontId="4" fillId="42" borderId="0" xfId="0" applyFont="1" applyFill="1" applyBorder="1" applyAlignment="1">
      <alignment horizontal="center"/>
    </xf>
    <xf numFmtId="3" fontId="7" fillId="42" borderId="0" xfId="0" applyNumberFormat="1" applyFont="1" applyFill="1" applyBorder="1" applyAlignment="1">
      <alignment horizontal="right"/>
    </xf>
    <xf numFmtId="49" fontId="5" fillId="42" borderId="0" xfId="0" applyNumberFormat="1" applyFont="1" applyFill="1" applyBorder="1" applyAlignment="1">
      <alignment horizontal="center"/>
    </xf>
    <xf numFmtId="49" fontId="4" fillId="42" borderId="0" xfId="0" applyNumberFormat="1" applyFont="1" applyFill="1" applyBorder="1" applyAlignment="1">
      <alignment horizontal="center"/>
    </xf>
    <xf numFmtId="49" fontId="3" fillId="42" borderId="0" xfId="0" applyNumberFormat="1" applyFont="1" applyFill="1" applyBorder="1" applyAlignment="1">
      <alignment horizontal="center"/>
    </xf>
    <xf numFmtId="0" fontId="4" fillId="42" borderId="0" xfId="0" applyFont="1" applyFill="1" applyBorder="1" applyAlignment="1">
      <alignment/>
    </xf>
    <xf numFmtId="0" fontId="4" fillId="42" borderId="0" xfId="0" applyFont="1" applyFill="1" applyBorder="1" applyAlignment="1">
      <alignment/>
    </xf>
    <xf numFmtId="0" fontId="14" fillId="42" borderId="0" xfId="0" applyFont="1" applyFill="1" applyBorder="1" applyAlignment="1">
      <alignment/>
    </xf>
    <xf numFmtId="49" fontId="3" fillId="45" borderId="12" xfId="0" applyNumberFormat="1" applyFont="1" applyFill="1" applyBorder="1" applyAlignment="1">
      <alignment horizontal="center"/>
    </xf>
    <xf numFmtId="49" fontId="4" fillId="45" borderId="12" xfId="0" applyNumberFormat="1" applyFont="1" applyFill="1" applyBorder="1" applyAlignment="1">
      <alignment horizontal="center"/>
    </xf>
    <xf numFmtId="0" fontId="4" fillId="45" borderId="11" xfId="0" applyFont="1" applyFill="1" applyBorder="1" applyAlignment="1">
      <alignment horizontal="center"/>
    </xf>
    <xf numFmtId="0" fontId="4" fillId="45" borderId="11" xfId="0" applyFont="1" applyFill="1" applyBorder="1" applyAlignment="1">
      <alignment horizontal="center"/>
    </xf>
    <xf numFmtId="0" fontId="6" fillId="36" borderId="37" xfId="0" applyFont="1" applyFill="1" applyBorder="1" applyAlignment="1">
      <alignment/>
    </xf>
    <xf numFmtId="0" fontId="8" fillId="36" borderId="37" xfId="0" applyFont="1" applyFill="1" applyBorder="1" applyAlignment="1">
      <alignment/>
    </xf>
    <xf numFmtId="0" fontId="8" fillId="36" borderId="11" xfId="0" applyFont="1" applyFill="1" applyBorder="1" applyAlignment="1">
      <alignment/>
    </xf>
    <xf numFmtId="0" fontId="8" fillId="36" borderId="37" xfId="0" applyFont="1" applyFill="1" applyBorder="1" applyAlignment="1">
      <alignment horizontal="center"/>
    </xf>
    <xf numFmtId="0" fontId="16" fillId="42" borderId="0" xfId="0" applyFont="1" applyFill="1" applyBorder="1" applyAlignment="1">
      <alignment/>
    </xf>
    <xf numFmtId="3" fontId="8" fillId="42" borderId="0" xfId="0" applyNumberFormat="1" applyFont="1" applyFill="1" applyBorder="1" applyAlignment="1">
      <alignment horizontal="right"/>
    </xf>
    <xf numFmtId="0" fontId="7" fillId="42" borderId="0" xfId="0" applyFont="1" applyFill="1" applyBorder="1" applyAlignment="1">
      <alignment horizontal="center"/>
    </xf>
    <xf numFmtId="0" fontId="31" fillId="42" borderId="0" xfId="0" applyFont="1" applyFill="1" applyAlignment="1">
      <alignment/>
    </xf>
    <xf numFmtId="0" fontId="13" fillId="34" borderId="42" xfId="0" applyFont="1" applyFill="1" applyBorder="1" applyAlignment="1">
      <alignment horizontal="center"/>
    </xf>
    <xf numFmtId="0" fontId="9" fillId="34" borderId="44" xfId="0" applyFont="1" applyFill="1" applyBorder="1" applyAlignment="1">
      <alignment/>
    </xf>
    <xf numFmtId="0" fontId="16" fillId="34" borderId="44" xfId="0" applyFont="1" applyFill="1" applyBorder="1" applyAlignment="1">
      <alignment/>
    </xf>
    <xf numFmtId="0" fontId="4" fillId="34" borderId="45" xfId="0" applyFont="1" applyFill="1" applyBorder="1" applyAlignment="1">
      <alignment/>
    </xf>
    <xf numFmtId="3" fontId="3" fillId="0" borderId="44" xfId="0" applyNumberFormat="1" applyFont="1" applyFill="1" applyBorder="1" applyAlignment="1">
      <alignment/>
    </xf>
    <xf numFmtId="3" fontId="3" fillId="42" borderId="16" xfId="0" applyNumberFormat="1" applyFont="1" applyFill="1" applyBorder="1" applyAlignment="1">
      <alignment horizontal="right"/>
    </xf>
    <xf numFmtId="49" fontId="3" fillId="42" borderId="10" xfId="0" applyNumberFormat="1" applyFont="1" applyFill="1" applyBorder="1" applyAlignment="1">
      <alignment horizontal="center"/>
    </xf>
    <xf numFmtId="0" fontId="4" fillId="6" borderId="12" xfId="0" applyFont="1" applyFill="1" applyBorder="1" applyAlignment="1">
      <alignment horizontal="center"/>
    </xf>
    <xf numFmtId="0" fontId="6" fillId="6" borderId="11" xfId="0" applyFont="1" applyFill="1" applyBorder="1" applyAlignment="1">
      <alignment/>
    </xf>
    <xf numFmtId="0" fontId="3" fillId="42" borderId="13" xfId="0" applyFont="1" applyFill="1" applyBorder="1" applyAlignment="1">
      <alignment horizontal="center"/>
    </xf>
    <xf numFmtId="49" fontId="4" fillId="42" borderId="10" xfId="0" applyNumberFormat="1" applyFont="1" applyFill="1" applyBorder="1" applyAlignment="1">
      <alignment horizontal="center"/>
    </xf>
    <xf numFmtId="0" fontId="6" fillId="42" borderId="33" xfId="0" applyFont="1" applyFill="1" applyBorder="1" applyAlignment="1">
      <alignment/>
    </xf>
    <xf numFmtId="49" fontId="5" fillId="43" borderId="32" xfId="0" applyNumberFormat="1" applyFont="1" applyFill="1" applyBorder="1" applyAlignment="1">
      <alignment horizontal="center"/>
    </xf>
    <xf numFmtId="49" fontId="5" fillId="43" borderId="33" xfId="0" applyNumberFormat="1" applyFont="1" applyFill="1" applyBorder="1" applyAlignment="1">
      <alignment horizontal="center"/>
    </xf>
    <xf numFmtId="49" fontId="3" fillId="43" borderId="33" xfId="0" applyNumberFormat="1" applyFont="1" applyFill="1" applyBorder="1" applyAlignment="1">
      <alignment horizontal="center"/>
    </xf>
    <xf numFmtId="0" fontId="44" fillId="43" borderId="46" xfId="0" applyFont="1" applyFill="1" applyBorder="1" applyAlignment="1">
      <alignment/>
    </xf>
    <xf numFmtId="0" fontId="4" fillId="43" borderId="18" xfId="0" applyFont="1" applyFill="1" applyBorder="1" applyAlignment="1">
      <alignment/>
    </xf>
    <xf numFmtId="49" fontId="48" fillId="46" borderId="42" xfId="0" applyNumberFormat="1" applyFont="1" applyFill="1" applyBorder="1" applyAlignment="1">
      <alignment horizontal="center"/>
    </xf>
    <xf numFmtId="0" fontId="35" fillId="46" borderId="42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49" fontId="4" fillId="34" borderId="26" xfId="0" applyNumberFormat="1" applyFont="1" applyFill="1" applyBorder="1" applyAlignment="1">
      <alignment horizontal="center"/>
    </xf>
    <xf numFmtId="0" fontId="8" fillId="34" borderId="47" xfId="0" applyFont="1" applyFill="1" applyBorder="1" applyAlignment="1">
      <alignment/>
    </xf>
    <xf numFmtId="49" fontId="49" fillId="46" borderId="42" xfId="0" applyNumberFormat="1" applyFont="1" applyFill="1" applyBorder="1" applyAlignment="1">
      <alignment horizontal="center"/>
    </xf>
    <xf numFmtId="0" fontId="35" fillId="46" borderId="33" xfId="0" applyFont="1" applyFill="1" applyBorder="1" applyAlignment="1">
      <alignment/>
    </xf>
    <xf numFmtId="0" fontId="4" fillId="46" borderId="18" xfId="0" applyFont="1" applyFill="1" applyBorder="1" applyAlignment="1">
      <alignment/>
    </xf>
    <xf numFmtId="0" fontId="2" fillId="42" borderId="0" xfId="0" applyFont="1" applyFill="1" applyAlignment="1">
      <alignment horizontal="center"/>
    </xf>
    <xf numFmtId="0" fontId="0" fillId="42" borderId="0" xfId="0" applyFill="1" applyAlignment="1">
      <alignment horizontal="center"/>
    </xf>
    <xf numFmtId="49" fontId="4" fillId="42" borderId="21" xfId="0" applyNumberFormat="1" applyFont="1" applyFill="1" applyBorder="1" applyAlignment="1">
      <alignment horizontal="center"/>
    </xf>
    <xf numFmtId="0" fontId="40" fillId="37" borderId="25" xfId="0" applyFont="1" applyFill="1" applyBorder="1" applyAlignment="1">
      <alignment/>
    </xf>
    <xf numFmtId="0" fontId="43" fillId="38" borderId="48" xfId="0" applyFont="1" applyFill="1" applyBorder="1" applyAlignment="1">
      <alignment/>
    </xf>
    <xf numFmtId="0" fontId="43" fillId="38" borderId="31" xfId="0" applyFont="1" applyFill="1" applyBorder="1" applyAlignment="1">
      <alignment/>
    </xf>
    <xf numFmtId="49" fontId="4" fillId="34" borderId="49" xfId="0" applyNumberFormat="1" applyFont="1" applyFill="1" applyBorder="1" applyAlignment="1">
      <alignment horizontal="center"/>
    </xf>
    <xf numFmtId="3" fontId="3" fillId="42" borderId="50" xfId="0" applyNumberFormat="1" applyFont="1" applyFill="1" applyBorder="1" applyAlignment="1">
      <alignment horizontal="right"/>
    </xf>
    <xf numFmtId="3" fontId="20" fillId="0" borderId="0" xfId="0" applyNumberFormat="1" applyFont="1" applyFill="1" applyBorder="1" applyAlignment="1">
      <alignment horizontal="right"/>
    </xf>
    <xf numFmtId="3" fontId="37" fillId="0" borderId="0" xfId="0" applyNumberFormat="1" applyFont="1" applyFill="1" applyBorder="1" applyAlignment="1">
      <alignment horizontal="right"/>
    </xf>
    <xf numFmtId="3" fontId="20" fillId="42" borderId="0" xfId="0" applyNumberFormat="1" applyFont="1" applyFill="1" applyBorder="1" applyAlignment="1">
      <alignment horizontal="right"/>
    </xf>
    <xf numFmtId="3" fontId="8" fillId="42" borderId="0" xfId="0" applyNumberFormat="1" applyFont="1" applyFill="1" applyBorder="1" applyAlignment="1">
      <alignment horizontal="right"/>
    </xf>
    <xf numFmtId="3" fontId="8" fillId="42" borderId="16" xfId="0" applyNumberFormat="1" applyFont="1" applyFill="1" applyBorder="1" applyAlignment="1">
      <alignment horizontal="right"/>
    </xf>
    <xf numFmtId="3" fontId="18" fillId="42" borderId="0" xfId="0" applyNumberFormat="1" applyFont="1" applyFill="1" applyBorder="1" applyAlignment="1">
      <alignment horizontal="right"/>
    </xf>
    <xf numFmtId="3" fontId="18" fillId="0" borderId="0" xfId="0" applyNumberFormat="1" applyFont="1" applyFill="1" applyBorder="1" applyAlignment="1">
      <alignment horizontal="right"/>
    </xf>
    <xf numFmtId="3" fontId="18" fillId="42" borderId="14" xfId="0" applyNumberFormat="1" applyFont="1" applyFill="1" applyBorder="1" applyAlignment="1">
      <alignment horizontal="right"/>
    </xf>
    <xf numFmtId="3" fontId="8" fillId="42" borderId="14" xfId="0" applyNumberFormat="1" applyFont="1" applyFill="1" applyBorder="1" applyAlignment="1">
      <alignment horizontal="right"/>
    </xf>
    <xf numFmtId="3" fontId="37" fillId="42" borderId="0" xfId="0" applyNumberFormat="1" applyFont="1" applyFill="1" applyBorder="1" applyAlignment="1">
      <alignment horizontal="right"/>
    </xf>
    <xf numFmtId="3" fontId="18" fillId="42" borderId="16" xfId="0" applyNumberFormat="1" applyFont="1" applyFill="1" applyBorder="1" applyAlignment="1">
      <alignment horizontal="right"/>
    </xf>
    <xf numFmtId="3" fontId="18" fillId="42" borderId="50" xfId="0" applyNumberFormat="1" applyFont="1" applyFill="1" applyBorder="1" applyAlignment="1">
      <alignment horizontal="right"/>
    </xf>
    <xf numFmtId="3" fontId="20" fillId="0" borderId="0" xfId="0" applyNumberFormat="1" applyFont="1" applyFill="1" applyBorder="1" applyAlignment="1">
      <alignment/>
    </xf>
    <xf numFmtId="3" fontId="8" fillId="42" borderId="50" xfId="0" applyNumberFormat="1" applyFont="1" applyFill="1" applyBorder="1" applyAlignment="1">
      <alignment horizontal="right"/>
    </xf>
    <xf numFmtId="0" fontId="2" fillId="0" borderId="38" xfId="0" applyFont="1" applyBorder="1" applyAlignment="1">
      <alignment horizontal="center"/>
    </xf>
    <xf numFmtId="0" fontId="4" fillId="35" borderId="19" xfId="0" applyFont="1" applyFill="1" applyBorder="1" applyAlignment="1">
      <alignment/>
    </xf>
    <xf numFmtId="3" fontId="8" fillId="0" borderId="0" xfId="0" applyNumberFormat="1" applyFont="1" applyFill="1" applyBorder="1" applyAlignment="1">
      <alignment horizontal="right"/>
    </xf>
    <xf numFmtId="3" fontId="18" fillId="0" borderId="14" xfId="0" applyNumberFormat="1" applyFont="1" applyFill="1" applyBorder="1" applyAlignment="1">
      <alignment horizontal="right"/>
    </xf>
    <xf numFmtId="3" fontId="8" fillId="0" borderId="14" xfId="0" applyNumberFormat="1" applyFont="1" applyFill="1" applyBorder="1" applyAlignment="1">
      <alignment horizontal="right"/>
    </xf>
    <xf numFmtId="0" fontId="8" fillId="36" borderId="10" xfId="0" applyFont="1" applyFill="1" applyBorder="1" applyAlignment="1">
      <alignment/>
    </xf>
    <xf numFmtId="0" fontId="4" fillId="47" borderId="12" xfId="0" applyFont="1" applyFill="1" applyBorder="1" applyAlignment="1">
      <alignment horizontal="center"/>
    </xf>
    <xf numFmtId="0" fontId="6" fillId="47" borderId="11" xfId="0" applyFont="1" applyFill="1" applyBorder="1" applyAlignment="1">
      <alignment/>
    </xf>
    <xf numFmtId="3" fontId="3" fillId="47" borderId="0" xfId="0" applyNumberFormat="1" applyFont="1" applyFill="1" applyBorder="1" applyAlignment="1">
      <alignment horizontal="right"/>
    </xf>
    <xf numFmtId="3" fontId="4" fillId="47" borderId="0" xfId="0" applyNumberFormat="1" applyFont="1" applyFill="1" applyBorder="1" applyAlignment="1">
      <alignment horizontal="right"/>
    </xf>
    <xf numFmtId="0" fontId="4" fillId="42" borderId="14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7" fillId="0" borderId="11" xfId="0" applyFont="1" applyFill="1" applyBorder="1" applyAlignment="1">
      <alignment/>
    </xf>
    <xf numFmtId="0" fontId="4" fillId="42" borderId="16" xfId="0" applyFont="1" applyFill="1" applyBorder="1" applyAlignment="1">
      <alignment horizontal="center"/>
    </xf>
    <xf numFmtId="0" fontId="7" fillId="42" borderId="10" xfId="0" applyFont="1" applyFill="1" applyBorder="1" applyAlignment="1">
      <alignment/>
    </xf>
    <xf numFmtId="49" fontId="4" fillId="33" borderId="13" xfId="0" applyNumberFormat="1" applyFont="1" applyFill="1" applyBorder="1" applyAlignment="1">
      <alignment horizontal="center"/>
    </xf>
    <xf numFmtId="3" fontId="8" fillId="13" borderId="10" xfId="0" applyNumberFormat="1" applyFont="1" applyFill="1" applyBorder="1" applyAlignment="1">
      <alignment horizontal="right"/>
    </xf>
    <xf numFmtId="3" fontId="7" fillId="42" borderId="10" xfId="0" applyNumberFormat="1" applyFont="1" applyFill="1" applyBorder="1" applyAlignment="1">
      <alignment horizontal="right"/>
    </xf>
    <xf numFmtId="3" fontId="39" fillId="44" borderId="24" xfId="0" applyNumberFormat="1" applyFont="1" applyFill="1" applyBorder="1" applyAlignment="1">
      <alignment vertical="center"/>
    </xf>
    <xf numFmtId="3" fontId="22" fillId="44" borderId="12" xfId="0" applyNumberFormat="1" applyFont="1" applyFill="1" applyBorder="1" applyAlignment="1">
      <alignment/>
    </xf>
    <xf numFmtId="3" fontId="7" fillId="13" borderId="51" xfId="0" applyNumberFormat="1" applyFont="1" applyFill="1" applyBorder="1" applyAlignment="1">
      <alignment horizontal="right"/>
    </xf>
    <xf numFmtId="3" fontId="7" fillId="42" borderId="51" xfId="0" applyNumberFormat="1" applyFont="1" applyFill="1" applyBorder="1" applyAlignment="1">
      <alignment horizontal="right"/>
    </xf>
    <xf numFmtId="3" fontId="22" fillId="44" borderId="10" xfId="0" applyNumberFormat="1" applyFont="1" applyFill="1" applyBorder="1" applyAlignment="1">
      <alignment/>
    </xf>
    <xf numFmtId="3" fontId="7" fillId="42" borderId="12" xfId="0" applyNumberFormat="1" applyFont="1" applyFill="1" applyBorder="1" applyAlignment="1">
      <alignment horizontal="right"/>
    </xf>
    <xf numFmtId="3" fontId="37" fillId="42" borderId="51" xfId="0" applyNumberFormat="1" applyFont="1" applyFill="1" applyBorder="1" applyAlignment="1">
      <alignment horizontal="right"/>
    </xf>
    <xf numFmtId="3" fontId="22" fillId="44" borderId="42" xfId="0" applyNumberFormat="1" applyFont="1" applyFill="1" applyBorder="1" applyAlignment="1">
      <alignment/>
    </xf>
    <xf numFmtId="3" fontId="7" fillId="42" borderId="42" xfId="0" applyNumberFormat="1" applyFont="1" applyFill="1" applyBorder="1" applyAlignment="1">
      <alignment horizontal="right"/>
    </xf>
    <xf numFmtId="3" fontId="6" fillId="43" borderId="10" xfId="0" applyNumberFormat="1" applyFont="1" applyFill="1" applyBorder="1" applyAlignment="1">
      <alignment horizontal="right"/>
    </xf>
    <xf numFmtId="3" fontId="6" fillId="42" borderId="10" xfId="0" applyNumberFormat="1" applyFont="1" applyFill="1" applyBorder="1" applyAlignment="1">
      <alignment horizontal="right"/>
    </xf>
    <xf numFmtId="3" fontId="7" fillId="42" borderId="32" xfId="0" applyNumberFormat="1" applyFont="1" applyFill="1" applyBorder="1" applyAlignment="1">
      <alignment horizontal="right"/>
    </xf>
    <xf numFmtId="3" fontId="45" fillId="44" borderId="12" xfId="0" applyNumberFormat="1" applyFont="1" applyFill="1" applyBorder="1" applyAlignment="1">
      <alignment/>
    </xf>
    <xf numFmtId="3" fontId="45" fillId="44" borderId="10" xfId="0" applyNumberFormat="1" applyFont="1" applyFill="1" applyBorder="1" applyAlignment="1">
      <alignment/>
    </xf>
    <xf numFmtId="3" fontId="45" fillId="44" borderId="42" xfId="0" applyNumberFormat="1" applyFont="1" applyFill="1" applyBorder="1" applyAlignment="1">
      <alignment/>
    </xf>
    <xf numFmtId="3" fontId="8" fillId="43" borderId="10" xfId="0" applyNumberFormat="1" applyFont="1" applyFill="1" applyBorder="1" applyAlignment="1">
      <alignment horizontal="right"/>
    </xf>
    <xf numFmtId="3" fontId="6" fillId="42" borderId="39" xfId="0" applyNumberFormat="1" applyFont="1" applyFill="1" applyBorder="1" applyAlignment="1">
      <alignment horizontal="right"/>
    </xf>
    <xf numFmtId="3" fontId="22" fillId="44" borderId="26" xfId="0" applyNumberFormat="1" applyFont="1" applyFill="1" applyBorder="1" applyAlignment="1">
      <alignment/>
    </xf>
    <xf numFmtId="3" fontId="6" fillId="42" borderId="51" xfId="0" applyNumberFormat="1" applyFont="1" applyFill="1" applyBorder="1" applyAlignment="1">
      <alignment horizontal="right"/>
    </xf>
    <xf numFmtId="3" fontId="22" fillId="44" borderId="10" xfId="0" applyNumberFormat="1" applyFont="1" applyFill="1" applyBorder="1" applyAlignment="1">
      <alignment/>
    </xf>
    <xf numFmtId="3" fontId="7" fillId="0" borderId="10" xfId="0" applyNumberFormat="1" applyFont="1" applyFill="1" applyBorder="1" applyAlignment="1">
      <alignment horizontal="right"/>
    </xf>
    <xf numFmtId="3" fontId="18" fillId="42" borderId="10" xfId="0" applyNumberFormat="1" applyFont="1" applyFill="1" applyBorder="1" applyAlignment="1">
      <alignment horizontal="right"/>
    </xf>
    <xf numFmtId="3" fontId="8" fillId="42" borderId="39" xfId="0" applyNumberFormat="1" applyFont="1" applyFill="1" applyBorder="1" applyAlignment="1">
      <alignment horizontal="right"/>
    </xf>
    <xf numFmtId="3" fontId="98" fillId="44" borderId="12" xfId="0" applyNumberFormat="1" applyFont="1" applyFill="1" applyBorder="1" applyAlignment="1">
      <alignment/>
    </xf>
    <xf numFmtId="3" fontId="8" fillId="13" borderId="51" xfId="0" applyNumberFormat="1" applyFont="1" applyFill="1" applyBorder="1" applyAlignment="1">
      <alignment horizontal="right"/>
    </xf>
    <xf numFmtId="3" fontId="8" fillId="42" borderId="51" xfId="0" applyNumberFormat="1" applyFont="1" applyFill="1" applyBorder="1" applyAlignment="1">
      <alignment horizontal="right"/>
    </xf>
    <xf numFmtId="3" fontId="6" fillId="13" borderId="51" xfId="0" applyNumberFormat="1" applyFont="1" applyFill="1" applyBorder="1" applyAlignment="1">
      <alignment horizontal="right"/>
    </xf>
    <xf numFmtId="3" fontId="7" fillId="13" borderId="10" xfId="0" applyNumberFormat="1" applyFont="1" applyFill="1" applyBorder="1" applyAlignment="1">
      <alignment horizontal="right"/>
    </xf>
    <xf numFmtId="3" fontId="6" fillId="47" borderId="10" xfId="0" applyNumberFormat="1" applyFont="1" applyFill="1" applyBorder="1" applyAlignment="1">
      <alignment horizontal="right"/>
    </xf>
    <xf numFmtId="3" fontId="39" fillId="44" borderId="52" xfId="0" applyNumberFormat="1" applyFont="1" applyFill="1" applyBorder="1" applyAlignment="1">
      <alignment vertical="center"/>
    </xf>
    <xf numFmtId="49" fontId="3" fillId="42" borderId="14" xfId="0" applyNumberFormat="1" applyFont="1" applyFill="1" applyBorder="1" applyAlignment="1">
      <alignment horizontal="center"/>
    </xf>
    <xf numFmtId="3" fontId="39" fillId="48" borderId="24" xfId="0" applyNumberFormat="1" applyFont="1" applyFill="1" applyBorder="1" applyAlignment="1">
      <alignment vertical="center"/>
    </xf>
    <xf numFmtId="3" fontId="22" fillId="48" borderId="26" xfId="0" applyNumberFormat="1" applyFont="1" applyFill="1" applyBorder="1" applyAlignment="1">
      <alignment/>
    </xf>
    <xf numFmtId="3" fontId="22" fillId="48" borderId="10" xfId="0" applyNumberFormat="1" applyFont="1" applyFill="1" applyBorder="1" applyAlignment="1">
      <alignment/>
    </xf>
    <xf numFmtId="3" fontId="22" fillId="48" borderId="32" xfId="0" applyNumberFormat="1" applyFont="1" applyFill="1" applyBorder="1" applyAlignment="1">
      <alignment/>
    </xf>
    <xf numFmtId="3" fontId="22" fillId="48" borderId="10" xfId="0" applyNumberFormat="1" applyFont="1" applyFill="1" applyBorder="1" applyAlignment="1">
      <alignment/>
    </xf>
    <xf numFmtId="3" fontId="22" fillId="48" borderId="12" xfId="0" applyNumberFormat="1" applyFont="1" applyFill="1" applyBorder="1" applyAlignment="1">
      <alignment/>
    </xf>
    <xf numFmtId="3" fontId="39" fillId="48" borderId="52" xfId="0" applyNumberFormat="1" applyFont="1" applyFill="1" applyBorder="1" applyAlignment="1">
      <alignment vertical="center"/>
    </xf>
    <xf numFmtId="3" fontId="22" fillId="48" borderId="42" xfId="0" applyNumberFormat="1" applyFont="1" applyFill="1" applyBorder="1" applyAlignment="1">
      <alignment/>
    </xf>
    <xf numFmtId="3" fontId="98" fillId="48" borderId="12" xfId="0" applyNumberFormat="1" applyFont="1" applyFill="1" applyBorder="1" applyAlignment="1">
      <alignment/>
    </xf>
    <xf numFmtId="0" fontId="2" fillId="0" borderId="53" xfId="0" applyFont="1" applyBorder="1" applyAlignment="1">
      <alignment horizontal="center"/>
    </xf>
    <xf numFmtId="0" fontId="32" fillId="39" borderId="54" xfId="0" applyFont="1" applyFill="1" applyBorder="1" applyAlignment="1">
      <alignment horizontal="left" vertical="center"/>
    </xf>
    <xf numFmtId="0" fontId="28" fillId="39" borderId="55" xfId="0" applyFont="1" applyFill="1" applyBorder="1" applyAlignment="1">
      <alignment/>
    </xf>
    <xf numFmtId="0" fontId="28" fillId="39" borderId="56" xfId="0" applyFont="1" applyFill="1" applyBorder="1" applyAlignment="1">
      <alignment/>
    </xf>
    <xf numFmtId="3" fontId="5" fillId="0" borderId="34" xfId="0" applyNumberFormat="1" applyFont="1" applyFill="1" applyBorder="1" applyAlignment="1">
      <alignment vertical="center"/>
    </xf>
    <xf numFmtId="3" fontId="39" fillId="48" borderId="57" xfId="0" applyNumberFormat="1" applyFont="1" applyFill="1" applyBorder="1" applyAlignment="1">
      <alignment vertical="center"/>
    </xf>
    <xf numFmtId="3" fontId="39" fillId="44" borderId="57" xfId="0" applyNumberFormat="1" applyFont="1" applyFill="1" applyBorder="1" applyAlignment="1">
      <alignment vertical="center"/>
    </xf>
    <xf numFmtId="0" fontId="58" fillId="42" borderId="0" xfId="0" applyFont="1" applyFill="1" applyBorder="1" applyAlignment="1">
      <alignment/>
    </xf>
    <xf numFmtId="0" fontId="3" fillId="42" borderId="10" xfId="0" applyFont="1" applyFill="1" applyBorder="1" applyAlignment="1">
      <alignment horizontal="center"/>
    </xf>
    <xf numFmtId="0" fontId="4" fillId="49" borderId="20" xfId="0" applyFont="1" applyFill="1" applyBorder="1" applyAlignment="1">
      <alignment horizontal="center" vertical="center"/>
    </xf>
    <xf numFmtId="0" fontId="8" fillId="49" borderId="37" xfId="0" applyFont="1" applyFill="1" applyBorder="1" applyAlignment="1">
      <alignment/>
    </xf>
    <xf numFmtId="0" fontId="33" fillId="49" borderId="16" xfId="0" applyFont="1" applyFill="1" applyBorder="1" applyAlignment="1">
      <alignment/>
    </xf>
    <xf numFmtId="3" fontId="22" fillId="48" borderId="26" xfId="0" applyNumberFormat="1" applyFont="1" applyFill="1" applyBorder="1" applyAlignment="1">
      <alignment/>
    </xf>
    <xf numFmtId="3" fontId="20" fillId="33" borderId="10" xfId="0" applyNumberFormat="1" applyFont="1" applyFill="1" applyBorder="1" applyAlignment="1">
      <alignment horizontal="right"/>
    </xf>
    <xf numFmtId="3" fontId="20" fillId="36" borderId="10" xfId="0" applyNumberFormat="1" applyFont="1" applyFill="1" applyBorder="1" applyAlignment="1">
      <alignment horizontal="right"/>
    </xf>
    <xf numFmtId="3" fontId="20" fillId="45" borderId="10" xfId="0" applyNumberFormat="1" applyFont="1" applyFill="1" applyBorder="1" applyAlignment="1">
      <alignment horizontal="right"/>
    </xf>
    <xf numFmtId="3" fontId="20" fillId="36" borderId="12" xfId="0" applyNumberFormat="1" applyFont="1" applyFill="1" applyBorder="1" applyAlignment="1">
      <alignment horizontal="right"/>
    </xf>
    <xf numFmtId="3" fontId="8" fillId="42" borderId="10" xfId="0" applyNumberFormat="1" applyFont="1" applyFill="1" applyBorder="1" applyAlignment="1">
      <alignment horizontal="right"/>
    </xf>
    <xf numFmtId="3" fontId="6" fillId="6" borderId="10" xfId="0" applyNumberFormat="1" applyFont="1" applyFill="1" applyBorder="1" applyAlignment="1">
      <alignment horizontal="right"/>
    </xf>
    <xf numFmtId="3" fontId="20" fillId="43" borderId="10" xfId="0" applyNumberFormat="1" applyFont="1" applyFill="1" applyBorder="1" applyAlignment="1">
      <alignment horizontal="right"/>
    </xf>
    <xf numFmtId="3" fontId="18" fillId="42" borderId="12" xfId="0" applyNumberFormat="1" applyFont="1" applyFill="1" applyBorder="1" applyAlignment="1">
      <alignment horizontal="right"/>
    </xf>
    <xf numFmtId="3" fontId="20" fillId="42" borderId="10" xfId="0" applyNumberFormat="1" applyFont="1" applyFill="1" applyBorder="1" applyAlignment="1">
      <alignment horizontal="right"/>
    </xf>
    <xf numFmtId="3" fontId="6" fillId="42" borderId="12" xfId="0" applyNumberFormat="1" applyFont="1" applyFill="1" applyBorder="1" applyAlignment="1">
      <alignment horizontal="right"/>
    </xf>
    <xf numFmtId="3" fontId="18" fillId="0" borderId="10" xfId="0" applyNumberFormat="1" applyFont="1" applyFill="1" applyBorder="1" applyAlignment="1">
      <alignment horizontal="right"/>
    </xf>
    <xf numFmtId="3" fontId="8" fillId="0" borderId="51" xfId="0" applyNumberFormat="1" applyFont="1" applyFill="1" applyBorder="1" applyAlignment="1">
      <alignment horizontal="right"/>
    </xf>
    <xf numFmtId="3" fontId="8" fillId="0" borderId="10" xfId="0" applyNumberFormat="1" applyFont="1" applyFill="1" applyBorder="1" applyAlignment="1">
      <alignment horizontal="right"/>
    </xf>
    <xf numFmtId="3" fontId="18" fillId="42" borderId="51" xfId="0" applyNumberFormat="1" applyFont="1" applyFill="1" applyBorder="1" applyAlignment="1">
      <alignment horizontal="right"/>
    </xf>
    <xf numFmtId="3" fontId="6" fillId="6" borderId="12" xfId="0" applyNumberFormat="1" applyFont="1" applyFill="1" applyBorder="1" applyAlignment="1">
      <alignment horizontal="right"/>
    </xf>
    <xf numFmtId="49" fontId="3" fillId="42" borderId="35" xfId="0" applyNumberFormat="1" applyFont="1" applyFill="1" applyBorder="1" applyAlignment="1">
      <alignment horizontal="center"/>
    </xf>
    <xf numFmtId="3" fontId="43" fillId="48" borderId="24" xfId="0" applyNumberFormat="1" applyFont="1" applyFill="1" applyBorder="1" applyAlignment="1">
      <alignment vertical="center"/>
    </xf>
    <xf numFmtId="3" fontId="22" fillId="44" borderId="58" xfId="0" applyNumberFormat="1" applyFont="1" applyFill="1" applyBorder="1" applyAlignment="1">
      <alignment/>
    </xf>
    <xf numFmtId="3" fontId="7" fillId="43" borderId="39" xfId="0" applyNumberFormat="1" applyFont="1" applyFill="1" applyBorder="1" applyAlignment="1">
      <alignment horizontal="right"/>
    </xf>
    <xf numFmtId="3" fontId="6" fillId="47" borderId="39" xfId="0" applyNumberFormat="1" applyFont="1" applyFill="1" applyBorder="1" applyAlignment="1">
      <alignment horizontal="right"/>
    </xf>
    <xf numFmtId="3" fontId="45" fillId="44" borderId="22" xfId="0" applyNumberFormat="1" applyFont="1" applyFill="1" applyBorder="1" applyAlignment="1">
      <alignment/>
    </xf>
    <xf numFmtId="3" fontId="45" fillId="44" borderId="20" xfId="0" applyNumberFormat="1" applyFont="1" applyFill="1" applyBorder="1" applyAlignment="1">
      <alignment/>
    </xf>
    <xf numFmtId="3" fontId="7" fillId="47" borderId="22" xfId="0" applyNumberFormat="1" applyFont="1" applyFill="1" applyBorder="1" applyAlignment="1">
      <alignment horizontal="right"/>
    </xf>
    <xf numFmtId="3" fontId="6" fillId="42" borderId="42" xfId="0" applyNumberFormat="1" applyFont="1" applyFill="1" applyBorder="1" applyAlignment="1">
      <alignment horizontal="right"/>
    </xf>
    <xf numFmtId="0" fontId="4" fillId="8" borderId="20" xfId="0" applyFont="1" applyFill="1" applyBorder="1" applyAlignment="1">
      <alignment horizontal="center" vertical="center"/>
    </xf>
    <xf numFmtId="0" fontId="4" fillId="8" borderId="22" xfId="0" applyFont="1" applyFill="1" applyBorder="1" applyAlignment="1">
      <alignment horizontal="center" vertical="center"/>
    </xf>
    <xf numFmtId="0" fontId="28" fillId="50" borderId="20" xfId="0" applyFont="1" applyFill="1" applyBorder="1" applyAlignment="1">
      <alignment horizontal="center" vertical="center"/>
    </xf>
    <xf numFmtId="0" fontId="55" fillId="42" borderId="0" xfId="0" applyFont="1" applyFill="1" applyBorder="1" applyAlignment="1">
      <alignment/>
    </xf>
    <xf numFmtId="3" fontId="8" fillId="43" borderId="39" xfId="0" applyNumberFormat="1" applyFont="1" applyFill="1" applyBorder="1" applyAlignment="1">
      <alignment horizontal="right"/>
    </xf>
    <xf numFmtId="3" fontId="8" fillId="43" borderId="22" xfId="0" applyNumberFormat="1" applyFont="1" applyFill="1" applyBorder="1" applyAlignment="1">
      <alignment horizontal="right"/>
    </xf>
    <xf numFmtId="49" fontId="4" fillId="42" borderId="12" xfId="0" applyNumberFormat="1" applyFont="1" applyFill="1" applyBorder="1" applyAlignment="1">
      <alignment horizontal="center" vertical="center"/>
    </xf>
    <xf numFmtId="3" fontId="7" fillId="42" borderId="10" xfId="0" applyNumberFormat="1" applyFont="1" applyFill="1" applyBorder="1" applyAlignment="1">
      <alignment horizontal="right" vertical="center"/>
    </xf>
    <xf numFmtId="3" fontId="4" fillId="42" borderId="0" xfId="0" applyNumberFormat="1" applyFont="1" applyFill="1" applyBorder="1" applyAlignment="1">
      <alignment horizontal="right" vertical="center"/>
    </xf>
    <xf numFmtId="0" fontId="4" fillId="42" borderId="11" xfId="0" applyFont="1" applyFill="1" applyBorder="1" applyAlignment="1">
      <alignment horizontal="left" vertical="center"/>
    </xf>
    <xf numFmtId="0" fontId="14" fillId="42" borderId="11" xfId="0" applyFont="1" applyFill="1" applyBorder="1" applyAlignment="1">
      <alignment horizontal="left" vertical="center" wrapText="1"/>
    </xf>
    <xf numFmtId="0" fontId="4" fillId="42" borderId="12" xfId="0" applyFont="1" applyFill="1" applyBorder="1" applyAlignment="1">
      <alignment horizontal="center" vertical="center"/>
    </xf>
    <xf numFmtId="49" fontId="4" fillId="42" borderId="12" xfId="0" applyNumberFormat="1" applyFont="1" applyFill="1" applyBorder="1" applyAlignment="1">
      <alignment horizontal="left" vertical="center" wrapText="1"/>
    </xf>
    <xf numFmtId="0" fontId="7" fillId="42" borderId="11" xfId="0" applyFont="1" applyFill="1" applyBorder="1" applyAlignment="1">
      <alignment horizontal="left" vertical="center" wrapText="1"/>
    </xf>
    <xf numFmtId="3" fontId="4" fillId="42" borderId="0" xfId="0" applyNumberFormat="1" applyFont="1" applyFill="1" applyBorder="1" applyAlignment="1">
      <alignment vertical="center"/>
    </xf>
    <xf numFmtId="0" fontId="4" fillId="42" borderId="10" xfId="0" applyFont="1" applyFill="1" applyBorder="1" applyAlignment="1">
      <alignment horizontal="center" vertical="center"/>
    </xf>
    <xf numFmtId="0" fontId="60" fillId="42" borderId="0" xfId="0" applyFont="1" applyFill="1" applyBorder="1" applyAlignment="1">
      <alignment/>
    </xf>
    <xf numFmtId="0" fontId="4" fillId="42" borderId="11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vertical="center" wrapText="1"/>
    </xf>
    <xf numFmtId="0" fontId="4" fillId="42" borderId="13" xfId="0" applyFont="1" applyFill="1" applyBorder="1" applyAlignment="1">
      <alignment horizontal="center" vertical="center"/>
    </xf>
    <xf numFmtId="0" fontId="4" fillId="42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 wrapText="1"/>
    </xf>
    <xf numFmtId="3" fontId="7" fillId="42" borderId="51" xfId="0" applyNumberFormat="1" applyFont="1" applyFill="1" applyBorder="1" applyAlignment="1">
      <alignment horizontal="right" vertical="center"/>
    </xf>
    <xf numFmtId="0" fontId="19" fillId="0" borderId="11" xfId="0" applyFont="1" applyFill="1" applyBorder="1" applyAlignment="1">
      <alignment/>
    </xf>
    <xf numFmtId="3" fontId="7" fillId="42" borderId="21" xfId="0" applyNumberFormat="1" applyFont="1" applyFill="1" applyBorder="1" applyAlignment="1">
      <alignment horizontal="right"/>
    </xf>
    <xf numFmtId="3" fontId="4" fillId="42" borderId="44" xfId="0" applyNumberFormat="1" applyFont="1" applyFill="1" applyBorder="1" applyAlignment="1">
      <alignment horizontal="right"/>
    </xf>
    <xf numFmtId="3" fontId="4" fillId="42" borderId="50" xfId="0" applyNumberFormat="1" applyFont="1" applyFill="1" applyBorder="1" applyAlignment="1">
      <alignment horizontal="right"/>
    </xf>
    <xf numFmtId="49" fontId="38" fillId="42" borderId="0" xfId="0" applyNumberFormat="1" applyFont="1" applyFill="1" applyBorder="1" applyAlignment="1">
      <alignment horizontal="center" vertical="center" wrapText="1"/>
    </xf>
    <xf numFmtId="3" fontId="6" fillId="13" borderId="21" xfId="0" applyNumberFormat="1" applyFont="1" applyFill="1" applyBorder="1" applyAlignment="1">
      <alignment horizontal="right"/>
    </xf>
    <xf numFmtId="0" fontId="4" fillId="42" borderId="16" xfId="0" applyFont="1" applyFill="1" applyBorder="1" applyAlignment="1">
      <alignment horizontal="center" vertical="center"/>
    </xf>
    <xf numFmtId="3" fontId="7" fillId="42" borderId="12" xfId="0" applyNumberFormat="1" applyFont="1" applyFill="1" applyBorder="1" applyAlignment="1">
      <alignment horizontal="right" vertical="center"/>
    </xf>
    <xf numFmtId="49" fontId="38" fillId="42" borderId="0" xfId="0" applyNumberFormat="1" applyFont="1" applyFill="1" applyBorder="1" applyAlignment="1">
      <alignment horizontal="center" vertical="center" wrapText="1"/>
    </xf>
    <xf numFmtId="49" fontId="5" fillId="33" borderId="51" xfId="0" applyNumberFormat="1" applyFont="1" applyFill="1" applyBorder="1" applyAlignment="1">
      <alignment horizontal="center"/>
    </xf>
    <xf numFmtId="49" fontId="5" fillId="33" borderId="59" xfId="0" applyNumberFormat="1" applyFont="1" applyFill="1" applyBorder="1" applyAlignment="1">
      <alignment horizontal="center"/>
    </xf>
    <xf numFmtId="49" fontId="4" fillId="33" borderId="59" xfId="0" applyNumberFormat="1" applyFont="1" applyFill="1" applyBorder="1" applyAlignment="1">
      <alignment horizontal="center"/>
    </xf>
    <xf numFmtId="0" fontId="4" fillId="0" borderId="50" xfId="0" applyFont="1" applyBorder="1" applyAlignment="1">
      <alignment/>
    </xf>
    <xf numFmtId="0" fontId="4" fillId="42" borderId="59" xfId="0" applyFont="1" applyFill="1" applyBorder="1" applyAlignment="1">
      <alignment horizontal="center"/>
    </xf>
    <xf numFmtId="0" fontId="4" fillId="42" borderId="50" xfId="0" applyFont="1" applyFill="1" applyBorder="1" applyAlignment="1">
      <alignment horizontal="center"/>
    </xf>
    <xf numFmtId="0" fontId="7" fillId="42" borderId="59" xfId="0" applyFont="1" applyFill="1" applyBorder="1" applyAlignment="1">
      <alignment/>
    </xf>
    <xf numFmtId="3" fontId="7" fillId="42" borderId="11" xfId="0" applyNumberFormat="1" applyFont="1" applyFill="1" applyBorder="1" applyAlignment="1">
      <alignment horizontal="right"/>
    </xf>
    <xf numFmtId="0" fontId="14" fillId="0" borderId="11" xfId="0" applyFont="1" applyFill="1" applyBorder="1" applyAlignment="1">
      <alignment horizontal="left" vertical="center" wrapText="1"/>
    </xf>
    <xf numFmtId="3" fontId="7" fillId="0" borderId="12" xfId="0" applyNumberFormat="1" applyFont="1" applyFill="1" applyBorder="1" applyAlignment="1">
      <alignment horizontal="right"/>
    </xf>
    <xf numFmtId="49" fontId="3" fillId="42" borderId="42" xfId="0" applyNumberFormat="1" applyFont="1" applyFill="1" applyBorder="1" applyAlignment="1">
      <alignment horizontal="center"/>
    </xf>
    <xf numFmtId="49" fontId="4" fillId="42" borderId="42" xfId="0" applyNumberFormat="1" applyFont="1" applyFill="1" applyBorder="1" applyAlignment="1">
      <alignment horizontal="center"/>
    </xf>
    <xf numFmtId="0" fontId="7" fillId="42" borderId="42" xfId="0" applyFont="1" applyFill="1" applyBorder="1" applyAlignment="1">
      <alignment/>
    </xf>
    <xf numFmtId="0" fontId="4" fillId="42" borderId="37" xfId="0" applyFont="1" applyFill="1" applyBorder="1" applyAlignment="1">
      <alignment horizontal="center" vertical="center"/>
    </xf>
    <xf numFmtId="3" fontId="20" fillId="45" borderId="22" xfId="0" applyNumberFormat="1" applyFont="1" applyFill="1" applyBorder="1" applyAlignment="1">
      <alignment horizontal="right"/>
    </xf>
    <xf numFmtId="3" fontId="20" fillId="36" borderId="13" xfId="0" applyNumberFormat="1" applyFont="1" applyFill="1" applyBorder="1" applyAlignment="1">
      <alignment horizontal="right"/>
    </xf>
    <xf numFmtId="3" fontId="6" fillId="42" borderId="13" xfId="0" applyNumberFormat="1" applyFont="1" applyFill="1" applyBorder="1" applyAlignment="1">
      <alignment horizontal="right"/>
    </xf>
    <xf numFmtId="3" fontId="7" fillId="42" borderId="13" xfId="0" applyNumberFormat="1" applyFont="1" applyFill="1" applyBorder="1" applyAlignment="1">
      <alignment horizontal="right"/>
    </xf>
    <xf numFmtId="3" fontId="20" fillId="36" borderId="11" xfId="0" applyNumberFormat="1" applyFont="1" applyFill="1" applyBorder="1" applyAlignment="1">
      <alignment horizontal="right"/>
    </xf>
    <xf numFmtId="3" fontId="8" fillId="42" borderId="13" xfId="0" applyNumberFormat="1" applyFont="1" applyFill="1" applyBorder="1" applyAlignment="1">
      <alignment horizontal="right"/>
    </xf>
    <xf numFmtId="49" fontId="38" fillId="42" borderId="0" xfId="0" applyNumberFormat="1" applyFont="1" applyFill="1" applyBorder="1" applyAlignment="1">
      <alignment horizontal="center" vertical="center" wrapText="1"/>
    </xf>
    <xf numFmtId="0" fontId="52" fillId="50" borderId="16" xfId="0" applyFont="1" applyFill="1" applyBorder="1" applyAlignment="1">
      <alignment/>
    </xf>
    <xf numFmtId="0" fontId="10" fillId="42" borderId="14" xfId="0" applyFont="1" applyFill="1" applyBorder="1" applyAlignment="1">
      <alignment/>
    </xf>
    <xf numFmtId="3" fontId="22" fillId="48" borderId="51" xfId="0" applyNumberFormat="1" applyFont="1" applyFill="1" applyBorder="1" applyAlignment="1">
      <alignment/>
    </xf>
    <xf numFmtId="3" fontId="8" fillId="13" borderId="21" xfId="0" applyNumberFormat="1" applyFont="1" applyFill="1" applyBorder="1" applyAlignment="1">
      <alignment horizontal="right"/>
    </xf>
    <xf numFmtId="3" fontId="7" fillId="42" borderId="59" xfId="0" applyNumberFormat="1" applyFont="1" applyFill="1" applyBorder="1" applyAlignment="1">
      <alignment horizontal="right"/>
    </xf>
    <xf numFmtId="3" fontId="6" fillId="43" borderId="51" xfId="0" applyNumberFormat="1" applyFont="1" applyFill="1" applyBorder="1" applyAlignment="1">
      <alignment horizontal="right"/>
    </xf>
    <xf numFmtId="3" fontId="6" fillId="47" borderId="51" xfId="0" applyNumberFormat="1" applyFont="1" applyFill="1" applyBorder="1" applyAlignment="1">
      <alignment horizontal="right"/>
    </xf>
    <xf numFmtId="0" fontId="32" fillId="50" borderId="37" xfId="0" applyFont="1" applyFill="1" applyBorder="1" applyAlignment="1">
      <alignment/>
    </xf>
    <xf numFmtId="0" fontId="8" fillId="42" borderId="35" xfId="0" applyFont="1" applyFill="1" applyBorder="1" applyAlignment="1">
      <alignment/>
    </xf>
    <xf numFmtId="0" fontId="35" fillId="39" borderId="60" xfId="0" applyFont="1" applyFill="1" applyBorder="1" applyAlignment="1">
      <alignment horizontal="left" vertical="center"/>
    </xf>
    <xf numFmtId="3" fontId="37" fillId="5" borderId="13" xfId="0" applyNumberFormat="1" applyFont="1" applyFill="1" applyBorder="1" applyAlignment="1">
      <alignment horizontal="right"/>
    </xf>
    <xf numFmtId="3" fontId="37" fillId="42" borderId="13" xfId="0" applyNumberFormat="1" applyFont="1" applyFill="1" applyBorder="1" applyAlignment="1">
      <alignment horizontal="right"/>
    </xf>
    <xf numFmtId="0" fontId="99" fillId="51" borderId="61" xfId="0" applyFont="1" applyFill="1" applyBorder="1" applyAlignment="1">
      <alignment horizontal="left"/>
    </xf>
    <xf numFmtId="0" fontId="99" fillId="51" borderId="55" xfId="0" applyFont="1" applyFill="1" applyBorder="1" applyAlignment="1">
      <alignment horizontal="left"/>
    </xf>
    <xf numFmtId="3" fontId="98" fillId="52" borderId="11" xfId="0" applyNumberFormat="1" applyFont="1" applyFill="1" applyBorder="1" applyAlignment="1">
      <alignment horizontal="right"/>
    </xf>
    <xf numFmtId="3" fontId="98" fillId="52" borderId="13" xfId="0" applyNumberFormat="1" applyFont="1" applyFill="1" applyBorder="1" applyAlignment="1">
      <alignment horizontal="right"/>
    </xf>
    <xf numFmtId="3" fontId="98" fillId="52" borderId="19" xfId="0" applyNumberFormat="1" applyFont="1" applyFill="1" applyBorder="1" applyAlignment="1">
      <alignment horizontal="right"/>
    </xf>
    <xf numFmtId="3" fontId="98" fillId="52" borderId="11" xfId="0" applyNumberFormat="1" applyFont="1" applyFill="1" applyBorder="1" applyAlignment="1">
      <alignment horizontal="right"/>
    </xf>
    <xf numFmtId="4" fontId="98" fillId="52" borderId="33" xfId="0" applyNumberFormat="1" applyFont="1" applyFill="1" applyBorder="1" applyAlignment="1">
      <alignment horizontal="right"/>
    </xf>
    <xf numFmtId="49" fontId="100" fillId="52" borderId="56" xfId="0" applyNumberFormat="1" applyFont="1" applyFill="1" applyBorder="1" applyAlignment="1">
      <alignment horizontal="center" vertical="center" wrapText="1"/>
    </xf>
    <xf numFmtId="3" fontId="8" fillId="43" borderId="51" xfId="0" applyNumberFormat="1" applyFont="1" applyFill="1" applyBorder="1" applyAlignment="1">
      <alignment horizontal="right"/>
    </xf>
    <xf numFmtId="0" fontId="40" fillId="37" borderId="62" xfId="0" applyFont="1" applyFill="1" applyBorder="1" applyAlignment="1">
      <alignment/>
    </xf>
    <xf numFmtId="0" fontId="40" fillId="37" borderId="63" xfId="0" applyFont="1" applyFill="1" applyBorder="1" applyAlignment="1">
      <alignment/>
    </xf>
    <xf numFmtId="0" fontId="4" fillId="40" borderId="62" xfId="0" applyFont="1" applyFill="1" applyBorder="1" applyAlignment="1">
      <alignment/>
    </xf>
    <xf numFmtId="0" fontId="4" fillId="40" borderId="64" xfId="0" applyFont="1" applyFill="1" applyBorder="1" applyAlignment="1">
      <alignment/>
    </xf>
    <xf numFmtId="0" fontId="4" fillId="33" borderId="64" xfId="0" applyFont="1" applyFill="1" applyBorder="1" applyAlignment="1">
      <alignment/>
    </xf>
    <xf numFmtId="0" fontId="19" fillId="33" borderId="64" xfId="0" applyFont="1" applyFill="1" applyBorder="1" applyAlignment="1">
      <alignment/>
    </xf>
    <xf numFmtId="0" fontId="19" fillId="0" borderId="64" xfId="0" applyFont="1" applyFill="1" applyBorder="1" applyAlignment="1">
      <alignment/>
    </xf>
    <xf numFmtId="0" fontId="13" fillId="33" borderId="64" xfId="0" applyFont="1" applyFill="1" applyBorder="1" applyAlignment="1">
      <alignment/>
    </xf>
    <xf numFmtId="0" fontId="7" fillId="34" borderId="65" xfId="0" applyFont="1" applyFill="1" applyBorder="1" applyAlignment="1">
      <alignment vertical="center"/>
    </xf>
    <xf numFmtId="0" fontId="4" fillId="33" borderId="65" xfId="0" applyFont="1" applyFill="1" applyBorder="1" applyAlignment="1">
      <alignment/>
    </xf>
    <xf numFmtId="0" fontId="4" fillId="42" borderId="62" xfId="0" applyFont="1" applyFill="1" applyBorder="1" applyAlignment="1">
      <alignment/>
    </xf>
    <xf numFmtId="0" fontId="4" fillId="33" borderId="66" xfId="0" applyFont="1" applyFill="1" applyBorder="1" applyAlignment="1">
      <alignment/>
    </xf>
    <xf numFmtId="0" fontId="4" fillId="33" borderId="67" xfId="0" applyFont="1" applyFill="1" applyBorder="1" applyAlignment="1">
      <alignment/>
    </xf>
    <xf numFmtId="0" fontId="46" fillId="38" borderId="68" xfId="0" applyFont="1" applyFill="1" applyBorder="1" applyAlignment="1">
      <alignment/>
    </xf>
    <xf numFmtId="0" fontId="4" fillId="33" borderId="64" xfId="0" applyNumberFormat="1" applyFont="1" applyFill="1" applyBorder="1" applyAlignment="1">
      <alignment/>
    </xf>
    <xf numFmtId="0" fontId="4" fillId="33" borderId="65" xfId="0" applyNumberFormat="1" applyFont="1" applyFill="1" applyBorder="1" applyAlignment="1">
      <alignment/>
    </xf>
    <xf numFmtId="0" fontId="4" fillId="0" borderId="64" xfId="0" applyNumberFormat="1" applyFont="1" applyFill="1" applyBorder="1" applyAlignment="1">
      <alignment/>
    </xf>
    <xf numFmtId="0" fontId="4" fillId="42" borderId="64" xfId="0" applyFont="1" applyFill="1" applyBorder="1" applyAlignment="1">
      <alignment/>
    </xf>
    <xf numFmtId="0" fontId="4" fillId="0" borderId="64" xfId="0" applyFont="1" applyFill="1" applyBorder="1" applyAlignment="1">
      <alignment/>
    </xf>
    <xf numFmtId="0" fontId="4" fillId="33" borderId="64" xfId="0" applyFont="1" applyFill="1" applyBorder="1" applyAlignment="1">
      <alignment/>
    </xf>
    <xf numFmtId="0" fontId="3" fillId="33" borderId="64" xfId="0" applyFont="1" applyFill="1" applyBorder="1" applyAlignment="1">
      <alignment/>
    </xf>
    <xf numFmtId="0" fontId="7" fillId="34" borderId="64" xfId="0" applyFont="1" applyFill="1" applyBorder="1" applyAlignment="1">
      <alignment vertical="center"/>
    </xf>
    <xf numFmtId="0" fontId="4" fillId="0" borderId="64" xfId="0" applyFont="1" applyFill="1" applyBorder="1" applyAlignment="1">
      <alignment/>
    </xf>
    <xf numFmtId="0" fontId="4" fillId="0" borderId="64" xfId="0" applyFont="1" applyBorder="1" applyAlignment="1">
      <alignment/>
    </xf>
    <xf numFmtId="0" fontId="15" fillId="33" borderId="65" xfId="0" applyFont="1" applyFill="1" applyBorder="1" applyAlignment="1">
      <alignment/>
    </xf>
    <xf numFmtId="0" fontId="15" fillId="33" borderId="64" xfId="0" applyFont="1" applyFill="1" applyBorder="1" applyAlignment="1">
      <alignment/>
    </xf>
    <xf numFmtId="0" fontId="4" fillId="40" borderId="65" xfId="0" applyFont="1" applyFill="1" applyBorder="1" applyAlignment="1">
      <alignment/>
    </xf>
    <xf numFmtId="0" fontId="4" fillId="0" borderId="65" xfId="0" applyNumberFormat="1" applyFont="1" applyFill="1" applyBorder="1" applyAlignment="1">
      <alignment/>
    </xf>
    <xf numFmtId="0" fontId="26" fillId="39" borderId="34" xfId="0" applyFont="1" applyFill="1" applyBorder="1" applyAlignment="1">
      <alignment vertical="center" wrapText="1"/>
    </xf>
    <xf numFmtId="0" fontId="101" fillId="42" borderId="11" xfId="0" applyFont="1" applyFill="1" applyBorder="1" applyAlignment="1">
      <alignment/>
    </xf>
    <xf numFmtId="0" fontId="4" fillId="35" borderId="69" xfId="0" applyFont="1" applyFill="1" applyBorder="1" applyAlignment="1">
      <alignment/>
    </xf>
    <xf numFmtId="3" fontId="39" fillId="48" borderId="23" xfId="0" applyNumberFormat="1" applyFont="1" applyFill="1" applyBorder="1" applyAlignment="1">
      <alignment vertical="center"/>
    </xf>
    <xf numFmtId="3" fontId="22" fillId="48" borderId="47" xfId="0" applyNumberFormat="1" applyFont="1" applyFill="1" applyBorder="1" applyAlignment="1">
      <alignment/>
    </xf>
    <xf numFmtId="3" fontId="22" fillId="48" borderId="13" xfId="0" applyNumberFormat="1" applyFont="1" applyFill="1" applyBorder="1" applyAlignment="1">
      <alignment/>
    </xf>
    <xf numFmtId="3" fontId="7" fillId="42" borderId="45" xfId="0" applyNumberFormat="1" applyFont="1" applyFill="1" applyBorder="1" applyAlignment="1">
      <alignment horizontal="right"/>
    </xf>
    <xf numFmtId="0" fontId="4" fillId="0" borderId="11" xfId="0" applyFont="1" applyFill="1" applyBorder="1" applyAlignment="1">
      <alignment wrapText="1"/>
    </xf>
    <xf numFmtId="0" fontId="7" fillId="42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 vertical="center" wrapText="1"/>
    </xf>
    <xf numFmtId="0" fontId="3" fillId="0" borderId="11" xfId="0" applyNumberFormat="1" applyFont="1" applyFill="1" applyBorder="1" applyAlignment="1">
      <alignment horizontal="center"/>
    </xf>
    <xf numFmtId="0" fontId="4" fillId="0" borderId="12" xfId="0" applyNumberFormat="1" applyFont="1" applyFill="1" applyBorder="1" applyAlignment="1">
      <alignment horizontal="center"/>
    </xf>
    <xf numFmtId="49" fontId="3" fillId="33" borderId="59" xfId="0" applyNumberFormat="1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right"/>
    </xf>
    <xf numFmtId="3" fontId="7" fillId="0" borderId="12" xfId="0" applyNumberFormat="1" applyFont="1" applyFill="1" applyBorder="1" applyAlignment="1">
      <alignment horizontal="right" vertical="center"/>
    </xf>
    <xf numFmtId="0" fontId="19" fillId="0" borderId="11" xfId="0" applyFont="1" applyFill="1" applyBorder="1" applyAlignment="1">
      <alignment vertical="center" wrapText="1"/>
    </xf>
    <xf numFmtId="0" fontId="7" fillId="42" borderId="11" xfId="0" applyFont="1" applyFill="1" applyBorder="1" applyAlignment="1">
      <alignment vertical="center" wrapText="1"/>
    </xf>
    <xf numFmtId="3" fontId="7" fillId="42" borderId="39" xfId="0" applyNumberFormat="1" applyFont="1" applyFill="1" applyBorder="1" applyAlignment="1">
      <alignment horizontal="right" vertical="center"/>
    </xf>
    <xf numFmtId="3" fontId="6" fillId="0" borderId="64" xfId="0" applyNumberFormat="1" applyFont="1" applyFill="1" applyBorder="1" applyAlignment="1">
      <alignment horizontal="right"/>
    </xf>
    <xf numFmtId="3" fontId="6" fillId="33" borderId="64" xfId="0" applyNumberFormat="1" applyFont="1" applyFill="1" applyBorder="1" applyAlignment="1">
      <alignment horizontal="right"/>
    </xf>
    <xf numFmtId="3" fontId="7" fillId="33" borderId="64" xfId="0" applyNumberFormat="1" applyFont="1" applyFill="1" applyBorder="1" applyAlignment="1">
      <alignment horizontal="right"/>
    </xf>
    <xf numFmtId="3" fontId="7" fillId="0" borderId="65" xfId="0" applyNumberFormat="1" applyFont="1" applyBorder="1" applyAlignment="1">
      <alignment horizontal="right"/>
    </xf>
    <xf numFmtId="3" fontId="6" fillId="0" borderId="64" xfId="0" applyNumberFormat="1" applyFont="1" applyBorder="1" applyAlignment="1">
      <alignment horizontal="right"/>
    </xf>
    <xf numFmtId="3" fontId="7" fillId="0" borderId="64" xfId="0" applyNumberFormat="1" applyFont="1" applyFill="1" applyBorder="1" applyAlignment="1">
      <alignment horizontal="right"/>
    </xf>
    <xf numFmtId="3" fontId="7" fillId="0" borderId="64" xfId="0" applyNumberFormat="1" applyFont="1" applyBorder="1" applyAlignment="1">
      <alignment horizontal="right"/>
    </xf>
    <xf numFmtId="3" fontId="4" fillId="0" borderId="65" xfId="0" applyNumberFormat="1" applyFont="1" applyBorder="1" applyAlignment="1">
      <alignment horizontal="right"/>
    </xf>
    <xf numFmtId="3" fontId="7" fillId="33" borderId="65" xfId="0" applyNumberFormat="1" applyFont="1" applyFill="1" applyBorder="1" applyAlignment="1">
      <alignment horizontal="right"/>
    </xf>
    <xf numFmtId="3" fontId="6" fillId="33" borderId="64" xfId="0" applyNumberFormat="1" applyFont="1" applyFill="1" applyBorder="1" applyAlignment="1">
      <alignment horizontal="right"/>
    </xf>
    <xf numFmtId="3" fontId="7" fillId="0" borderId="65" xfId="0" applyNumberFormat="1" applyFont="1" applyFill="1" applyBorder="1" applyAlignment="1">
      <alignment horizontal="right"/>
    </xf>
    <xf numFmtId="3" fontId="6" fillId="40" borderId="64" xfId="0" applyNumberFormat="1" applyFont="1" applyFill="1" applyBorder="1" applyAlignment="1">
      <alignment horizontal="right"/>
    </xf>
    <xf numFmtId="3" fontId="6" fillId="42" borderId="64" xfId="0" applyNumberFormat="1" applyFont="1" applyFill="1" applyBorder="1" applyAlignment="1">
      <alignment horizontal="right"/>
    </xf>
    <xf numFmtId="3" fontId="7" fillId="40" borderId="62" xfId="0" applyNumberFormat="1" applyFont="1" applyFill="1" applyBorder="1" applyAlignment="1">
      <alignment horizontal="right"/>
    </xf>
    <xf numFmtId="3" fontId="7" fillId="42" borderId="64" xfId="0" applyNumberFormat="1" applyFont="1" applyFill="1" applyBorder="1" applyAlignment="1">
      <alignment horizontal="right"/>
    </xf>
    <xf numFmtId="3" fontId="32" fillId="53" borderId="65" xfId="0" applyNumberFormat="1" applyFont="1" applyFill="1" applyBorder="1" applyAlignment="1">
      <alignment horizontal="right" vertical="center"/>
    </xf>
    <xf numFmtId="3" fontId="7" fillId="33" borderId="66" xfId="0" applyNumberFormat="1" applyFont="1" applyFill="1" applyBorder="1" applyAlignment="1">
      <alignment horizontal="right"/>
    </xf>
    <xf numFmtId="3" fontId="32" fillId="53" borderId="64" xfId="0" applyNumberFormat="1" applyFont="1" applyFill="1" applyBorder="1" applyAlignment="1">
      <alignment horizontal="right" vertical="center"/>
    </xf>
    <xf numFmtId="3" fontId="7" fillId="42" borderId="64" xfId="0" applyNumberFormat="1" applyFont="1" applyFill="1" applyBorder="1" applyAlignment="1">
      <alignment horizontal="right"/>
    </xf>
    <xf numFmtId="3" fontId="17" fillId="40" borderId="65" xfId="0" applyNumberFormat="1" applyFont="1" applyFill="1" applyBorder="1" applyAlignment="1">
      <alignment horizontal="right"/>
    </xf>
    <xf numFmtId="3" fontId="17" fillId="40" borderId="64" xfId="0" applyNumberFormat="1" applyFont="1" applyFill="1" applyBorder="1" applyAlignment="1">
      <alignment horizontal="right"/>
    </xf>
    <xf numFmtId="3" fontId="22" fillId="53" borderId="65" xfId="0" applyNumberFormat="1" applyFont="1" applyFill="1" applyBorder="1" applyAlignment="1">
      <alignment horizontal="right" vertical="center"/>
    </xf>
    <xf numFmtId="3" fontId="6" fillId="33" borderId="66" xfId="0" applyNumberFormat="1" applyFont="1" applyFill="1" applyBorder="1" applyAlignment="1">
      <alignment horizontal="right"/>
    </xf>
    <xf numFmtId="3" fontId="7" fillId="33" borderId="67" xfId="0" applyNumberFormat="1" applyFont="1" applyFill="1" applyBorder="1" applyAlignment="1">
      <alignment horizontal="right"/>
    </xf>
    <xf numFmtId="3" fontId="32" fillId="53" borderId="68" xfId="0" applyNumberFormat="1" applyFont="1" applyFill="1" applyBorder="1" applyAlignment="1">
      <alignment horizontal="right"/>
    </xf>
    <xf numFmtId="3" fontId="32" fillId="53" borderId="70" xfId="0" applyNumberFormat="1" applyFont="1" applyFill="1" applyBorder="1" applyAlignment="1">
      <alignment horizontal="right" vertical="center"/>
    </xf>
    <xf numFmtId="3" fontId="20" fillId="33" borderId="70" xfId="0" applyNumberFormat="1" applyFont="1" applyFill="1" applyBorder="1" applyAlignment="1">
      <alignment/>
    </xf>
    <xf numFmtId="3" fontId="6" fillId="33" borderId="70" xfId="0" applyNumberFormat="1" applyFont="1" applyFill="1" applyBorder="1" applyAlignment="1">
      <alignment/>
    </xf>
    <xf numFmtId="3" fontId="7" fillId="33" borderId="70" xfId="0" applyNumberFormat="1" applyFont="1" applyFill="1" applyBorder="1" applyAlignment="1">
      <alignment/>
    </xf>
    <xf numFmtId="3" fontId="6" fillId="33" borderId="71" xfId="0" applyNumberFormat="1" applyFont="1" applyFill="1" applyBorder="1" applyAlignment="1">
      <alignment/>
    </xf>
    <xf numFmtId="3" fontId="32" fillId="53" borderId="72" xfId="0" applyNumberFormat="1" applyFont="1" applyFill="1" applyBorder="1" applyAlignment="1">
      <alignment/>
    </xf>
    <xf numFmtId="3" fontId="102" fillId="53" borderId="73" xfId="0" applyNumberFormat="1" applyFont="1" applyFill="1" applyBorder="1" applyAlignment="1">
      <alignment/>
    </xf>
    <xf numFmtId="3" fontId="102" fillId="53" borderId="71" xfId="0" applyNumberFormat="1" applyFont="1" applyFill="1" applyBorder="1" applyAlignment="1">
      <alignment/>
    </xf>
    <xf numFmtId="3" fontId="102" fillId="53" borderId="74" xfId="0" applyNumberFormat="1" applyFont="1" applyFill="1" applyBorder="1" applyAlignment="1">
      <alignment/>
    </xf>
    <xf numFmtId="3" fontId="7" fillId="33" borderId="75" xfId="0" applyNumberFormat="1" applyFont="1" applyFill="1" applyBorder="1" applyAlignment="1">
      <alignment horizontal="right"/>
    </xf>
    <xf numFmtId="49" fontId="3" fillId="0" borderId="10" xfId="0" applyNumberFormat="1" applyFont="1" applyBorder="1" applyAlignment="1">
      <alignment horizontal="center"/>
    </xf>
    <xf numFmtId="0" fontId="4" fillId="42" borderId="18" xfId="0" applyFont="1" applyFill="1" applyBorder="1" applyAlignment="1">
      <alignment horizontal="center"/>
    </xf>
    <xf numFmtId="49" fontId="4" fillId="42" borderId="12" xfId="0" applyNumberFormat="1" applyFont="1" applyFill="1" applyBorder="1" applyAlignment="1">
      <alignment horizontal="center" vertical="center" wrapText="1"/>
    </xf>
    <xf numFmtId="3" fontId="7" fillId="42" borderId="76" xfId="0" applyNumberFormat="1" applyFont="1" applyFill="1" applyBorder="1" applyAlignment="1">
      <alignment horizontal="right"/>
    </xf>
    <xf numFmtId="3" fontId="7" fillId="42" borderId="77" xfId="0" applyNumberFormat="1" applyFont="1" applyFill="1" applyBorder="1" applyAlignment="1">
      <alignment horizontal="right"/>
    </xf>
    <xf numFmtId="0" fontId="26" fillId="39" borderId="78" xfId="0" applyFont="1" applyFill="1" applyBorder="1" applyAlignment="1">
      <alignment vertical="center" wrapText="1"/>
    </xf>
    <xf numFmtId="0" fontId="0" fillId="42" borderId="62" xfId="0" applyFill="1" applyBorder="1" applyAlignment="1">
      <alignment/>
    </xf>
    <xf numFmtId="49" fontId="3" fillId="0" borderId="11" xfId="0" applyNumberFormat="1" applyFont="1" applyBorder="1" applyAlignment="1">
      <alignment horizontal="center"/>
    </xf>
    <xf numFmtId="3" fontId="6" fillId="42" borderId="64" xfId="0" applyNumberFormat="1" applyFont="1" applyFill="1" applyBorder="1" applyAlignment="1">
      <alignment horizontal="right"/>
    </xf>
    <xf numFmtId="3" fontId="7" fillId="42" borderId="19" xfId="0" applyNumberFormat="1" applyFont="1" applyFill="1" applyBorder="1" applyAlignment="1">
      <alignment horizontal="right"/>
    </xf>
    <xf numFmtId="0" fontId="19" fillId="42" borderId="11" xfId="0" applyFont="1" applyFill="1" applyBorder="1" applyAlignment="1">
      <alignment wrapText="1"/>
    </xf>
    <xf numFmtId="3" fontId="98" fillId="42" borderId="12" xfId="0" applyNumberFormat="1" applyFont="1" applyFill="1" applyBorder="1" applyAlignment="1">
      <alignment/>
    </xf>
    <xf numFmtId="3" fontId="3" fillId="42" borderId="0" xfId="0" applyNumberFormat="1" applyFont="1" applyFill="1" applyBorder="1" applyAlignment="1">
      <alignment/>
    </xf>
    <xf numFmtId="3" fontId="10" fillId="42" borderId="0" xfId="0" applyNumberFormat="1" applyFont="1" applyFill="1" applyAlignment="1">
      <alignment/>
    </xf>
    <xf numFmtId="3" fontId="18" fillId="0" borderId="51" xfId="0" applyNumberFormat="1" applyFont="1" applyFill="1" applyBorder="1" applyAlignment="1">
      <alignment horizontal="right"/>
    </xf>
    <xf numFmtId="0" fontId="2" fillId="0" borderId="15" xfId="0" applyFont="1" applyBorder="1" applyAlignment="1">
      <alignment horizontal="center"/>
    </xf>
    <xf numFmtId="0" fontId="4" fillId="42" borderId="51" xfId="0" applyFont="1" applyFill="1" applyBorder="1" applyAlignment="1">
      <alignment horizontal="center"/>
    </xf>
    <xf numFmtId="49" fontId="3" fillId="42" borderId="51" xfId="0" applyNumberFormat="1" applyFont="1" applyFill="1" applyBorder="1" applyAlignment="1">
      <alignment horizontal="center"/>
    </xf>
    <xf numFmtId="49" fontId="4" fillId="42" borderId="51" xfId="0" applyNumberFormat="1" applyFont="1" applyFill="1" applyBorder="1" applyAlignment="1">
      <alignment horizontal="center"/>
    </xf>
    <xf numFmtId="0" fontId="7" fillId="42" borderId="51" xfId="0" applyFont="1" applyFill="1" applyBorder="1" applyAlignment="1">
      <alignment/>
    </xf>
    <xf numFmtId="3" fontId="6" fillId="42" borderId="20" xfId="0" applyNumberFormat="1" applyFont="1" applyFill="1" applyBorder="1" applyAlignment="1">
      <alignment horizontal="right"/>
    </xf>
    <xf numFmtId="49" fontId="4" fillId="42" borderId="10" xfId="0" applyNumberFormat="1" applyFont="1" applyFill="1" applyBorder="1" applyAlignment="1">
      <alignment horizontal="left" vertical="center" wrapText="1"/>
    </xf>
    <xf numFmtId="0" fontId="30" fillId="0" borderId="20" xfId="0" applyFont="1" applyBorder="1" applyAlignment="1">
      <alignment horizontal="center" vertical="center"/>
    </xf>
    <xf numFmtId="0" fontId="7" fillId="42" borderId="21" xfId="0" applyFont="1" applyFill="1" applyBorder="1" applyAlignment="1">
      <alignment/>
    </xf>
    <xf numFmtId="49" fontId="38" fillId="42" borderId="0" xfId="0" applyNumberFormat="1" applyFont="1" applyFill="1" applyBorder="1" applyAlignment="1">
      <alignment horizontal="center" vertical="center" wrapText="1"/>
    </xf>
    <xf numFmtId="164" fontId="4" fillId="0" borderId="64" xfId="0" applyNumberFormat="1" applyFont="1" applyFill="1" applyBorder="1" applyAlignment="1">
      <alignment horizontal="right" vertical="center"/>
    </xf>
    <xf numFmtId="164" fontId="4" fillId="0" borderId="64" xfId="0" applyNumberFormat="1" applyFont="1" applyFill="1" applyBorder="1" applyAlignment="1">
      <alignment horizontal="right"/>
    </xf>
    <xf numFmtId="164" fontId="4" fillId="0" borderId="64" xfId="0" applyNumberFormat="1" applyFont="1" applyFill="1" applyBorder="1" applyAlignment="1">
      <alignment horizontal="right"/>
    </xf>
    <xf numFmtId="164" fontId="4" fillId="0" borderId="70" xfId="0" applyNumberFormat="1" applyFont="1" applyFill="1" applyBorder="1" applyAlignment="1">
      <alignment horizontal="right" vertical="center"/>
    </xf>
    <xf numFmtId="49" fontId="53" fillId="41" borderId="34" xfId="0" applyNumberFormat="1" applyFont="1" applyFill="1" applyBorder="1" applyAlignment="1">
      <alignment horizontal="center"/>
    </xf>
    <xf numFmtId="0" fontId="29" fillId="42" borderId="0" xfId="0" applyFont="1" applyFill="1" applyBorder="1" applyAlignment="1">
      <alignment horizontal="left"/>
    </xf>
    <xf numFmtId="49" fontId="100" fillId="9" borderId="57" xfId="0" applyNumberFormat="1" applyFont="1" applyFill="1" applyBorder="1" applyAlignment="1">
      <alignment horizontal="center" vertical="center" wrapText="1"/>
    </xf>
    <xf numFmtId="3" fontId="98" fillId="9" borderId="11" xfId="0" applyNumberFormat="1" applyFont="1" applyFill="1" applyBorder="1" applyAlignment="1">
      <alignment horizontal="right"/>
    </xf>
    <xf numFmtId="4" fontId="98" fillId="9" borderId="33" xfId="0" applyNumberFormat="1" applyFont="1" applyFill="1" applyBorder="1" applyAlignment="1">
      <alignment horizontal="right"/>
    </xf>
    <xf numFmtId="0" fontId="99" fillId="51" borderId="34" xfId="0" applyFont="1" applyFill="1" applyBorder="1" applyAlignment="1">
      <alignment horizontal="left"/>
    </xf>
    <xf numFmtId="0" fontId="33" fillId="41" borderId="0" xfId="0" applyFont="1" applyFill="1" applyBorder="1" applyAlignment="1">
      <alignment/>
    </xf>
    <xf numFmtId="3" fontId="98" fillId="9" borderId="11" xfId="0" applyNumberFormat="1" applyFont="1" applyFill="1" applyBorder="1" applyAlignment="1">
      <alignment horizontal="right"/>
    </xf>
    <xf numFmtId="3" fontId="98" fillId="9" borderId="13" xfId="0" applyNumberFormat="1" applyFont="1" applyFill="1" applyBorder="1" applyAlignment="1">
      <alignment horizontal="right"/>
    </xf>
    <xf numFmtId="3" fontId="98" fillId="9" borderId="19" xfId="0" applyNumberFormat="1" applyFont="1" applyFill="1" applyBorder="1" applyAlignment="1">
      <alignment horizontal="right"/>
    </xf>
    <xf numFmtId="0" fontId="30" fillId="0" borderId="62" xfId="0" applyFont="1" applyFill="1" applyBorder="1" applyAlignment="1">
      <alignment/>
    </xf>
    <xf numFmtId="49" fontId="3" fillId="42" borderId="59" xfId="0" applyNumberFormat="1" applyFont="1" applyFill="1" applyBorder="1" applyAlignment="1">
      <alignment horizontal="center"/>
    </xf>
    <xf numFmtId="49" fontId="4" fillId="42" borderId="59" xfId="0" applyNumberFormat="1" applyFont="1" applyFill="1" applyBorder="1" applyAlignment="1">
      <alignment horizontal="center"/>
    </xf>
    <xf numFmtId="0" fontId="4" fillId="42" borderId="50" xfId="0" applyFont="1" applyFill="1" applyBorder="1" applyAlignment="1">
      <alignment/>
    </xf>
    <xf numFmtId="3" fontId="6" fillId="42" borderId="66" xfId="0" applyNumberFormat="1" applyFont="1" applyFill="1" applyBorder="1" applyAlignment="1">
      <alignment horizontal="right"/>
    </xf>
    <xf numFmtId="49" fontId="4" fillId="34" borderId="12" xfId="0" applyNumberFormat="1" applyFont="1" applyFill="1" applyBorder="1" applyAlignment="1">
      <alignment horizontal="center"/>
    </xf>
    <xf numFmtId="0" fontId="8" fillId="34" borderId="11" xfId="0" applyFont="1" applyFill="1" applyBorder="1" applyAlignment="1">
      <alignment/>
    </xf>
    <xf numFmtId="49" fontId="4" fillId="34" borderId="16" xfId="0" applyNumberFormat="1" applyFont="1" applyFill="1" applyBorder="1" applyAlignment="1">
      <alignment horizontal="center"/>
    </xf>
    <xf numFmtId="0" fontId="4" fillId="0" borderId="10" xfId="0" applyNumberFormat="1" applyFont="1" applyBorder="1" applyAlignment="1" applyProtection="1">
      <alignment horizontal="center"/>
      <protection locked="0"/>
    </xf>
    <xf numFmtId="49" fontId="53" fillId="41" borderId="55" xfId="0" applyNumberFormat="1" applyFont="1" applyFill="1" applyBorder="1" applyAlignment="1">
      <alignment horizontal="center"/>
    </xf>
    <xf numFmtId="164" fontId="4" fillId="0" borderId="79" xfId="0" applyNumberFormat="1" applyFont="1" applyFill="1" applyBorder="1" applyAlignment="1">
      <alignment/>
    </xf>
    <xf numFmtId="164" fontId="4" fillId="0" borderId="76" xfId="0" applyNumberFormat="1" applyFont="1" applyFill="1" applyBorder="1" applyAlignment="1">
      <alignment horizontal="right"/>
    </xf>
    <xf numFmtId="164" fontId="4" fillId="0" borderId="80" xfId="0" applyNumberFormat="1" applyFont="1" applyFill="1" applyBorder="1" applyAlignment="1">
      <alignment horizontal="right"/>
    </xf>
    <xf numFmtId="3" fontId="39" fillId="44" borderId="81" xfId="0" applyNumberFormat="1" applyFont="1" applyFill="1" applyBorder="1" applyAlignment="1">
      <alignment vertical="center"/>
    </xf>
    <xf numFmtId="3" fontId="22" fillId="44" borderId="82" xfId="0" applyNumberFormat="1" applyFont="1" applyFill="1" applyBorder="1" applyAlignment="1">
      <alignment/>
    </xf>
    <xf numFmtId="3" fontId="7" fillId="42" borderId="80" xfId="0" applyNumberFormat="1" applyFont="1" applyFill="1" applyBorder="1" applyAlignment="1">
      <alignment horizontal="right"/>
    </xf>
    <xf numFmtId="49" fontId="53" fillId="41" borderId="83" xfId="0" applyNumberFormat="1" applyFont="1" applyFill="1" applyBorder="1" applyAlignment="1">
      <alignment horizontal="center"/>
    </xf>
    <xf numFmtId="3" fontId="4" fillId="0" borderId="82" xfId="0" applyNumberFormat="1" applyFont="1" applyFill="1" applyBorder="1" applyAlignment="1">
      <alignment/>
    </xf>
    <xf numFmtId="164" fontId="4" fillId="0" borderId="72" xfId="0" applyNumberFormat="1" applyFont="1" applyFill="1" applyBorder="1" applyAlignment="1">
      <alignment horizontal="right"/>
    </xf>
    <xf numFmtId="49" fontId="53" fillId="41" borderId="78" xfId="0" applyNumberFormat="1" applyFont="1" applyFill="1" applyBorder="1" applyAlignment="1">
      <alignment horizontal="center"/>
    </xf>
    <xf numFmtId="3" fontId="4" fillId="0" borderId="84" xfId="0" applyNumberFormat="1" applyFont="1" applyFill="1" applyBorder="1" applyAlignment="1">
      <alignment/>
    </xf>
    <xf numFmtId="3" fontId="45" fillId="44" borderId="38" xfId="0" applyNumberFormat="1" applyFont="1" applyFill="1" applyBorder="1" applyAlignment="1">
      <alignment/>
    </xf>
    <xf numFmtId="0" fontId="7" fillId="42" borderId="12" xfId="0" applyFont="1" applyFill="1" applyBorder="1" applyAlignment="1">
      <alignment vertical="center" wrapText="1"/>
    </xf>
    <xf numFmtId="3" fontId="7" fillId="42" borderId="19" xfId="0" applyNumberFormat="1" applyFont="1" applyFill="1" applyBorder="1" applyAlignment="1">
      <alignment horizontal="right" vertical="center"/>
    </xf>
    <xf numFmtId="3" fontId="7" fillId="42" borderId="21" xfId="0" applyNumberFormat="1" applyFont="1" applyFill="1" applyBorder="1" applyAlignment="1">
      <alignment horizontal="right" vertical="center"/>
    </xf>
    <xf numFmtId="164" fontId="4" fillId="0" borderId="76" xfId="0" applyNumberFormat="1" applyFont="1" applyFill="1" applyBorder="1" applyAlignment="1">
      <alignment horizontal="right" vertical="center"/>
    </xf>
    <xf numFmtId="164" fontId="4" fillId="0" borderId="82" xfId="0" applyNumberFormat="1" applyFont="1" applyFill="1" applyBorder="1" applyAlignment="1">
      <alignment/>
    </xf>
    <xf numFmtId="164" fontId="4" fillId="0" borderId="82" xfId="0" applyNumberFormat="1" applyFont="1" applyFill="1" applyBorder="1" applyAlignment="1">
      <alignment vertical="center"/>
    </xf>
    <xf numFmtId="164" fontId="4" fillId="0" borderId="80" xfId="0" applyNumberFormat="1" applyFont="1" applyFill="1" applyBorder="1" applyAlignment="1">
      <alignment/>
    </xf>
    <xf numFmtId="164" fontId="4" fillId="0" borderId="77" xfId="0" applyNumberFormat="1" applyFont="1" applyFill="1" applyBorder="1" applyAlignment="1">
      <alignment/>
    </xf>
    <xf numFmtId="164" fontId="4" fillId="0" borderId="77" xfId="0" applyNumberFormat="1" applyFont="1" applyFill="1" applyBorder="1" applyAlignment="1">
      <alignment horizontal="right"/>
    </xf>
    <xf numFmtId="3" fontId="39" fillId="44" borderId="85" xfId="0" applyNumberFormat="1" applyFont="1" applyFill="1" applyBorder="1" applyAlignment="1">
      <alignment vertical="center"/>
    </xf>
    <xf numFmtId="49" fontId="4" fillId="42" borderId="11" xfId="0" applyNumberFormat="1" applyFont="1" applyFill="1" applyBorder="1" applyAlignment="1">
      <alignment horizontal="center" vertical="center"/>
    </xf>
    <xf numFmtId="0" fontId="30" fillId="0" borderId="38" xfId="0" applyFont="1" applyBorder="1" applyAlignment="1">
      <alignment horizontal="center"/>
    </xf>
    <xf numFmtId="3" fontId="39" fillId="44" borderId="86" xfId="0" applyNumberFormat="1" applyFont="1" applyFill="1" applyBorder="1" applyAlignment="1">
      <alignment vertical="center"/>
    </xf>
    <xf numFmtId="3" fontId="22" fillId="44" borderId="87" xfId="0" applyNumberFormat="1" applyFont="1" applyFill="1" applyBorder="1" applyAlignment="1">
      <alignment/>
    </xf>
    <xf numFmtId="3" fontId="6" fillId="42" borderId="88" xfId="0" applyNumberFormat="1" applyFont="1" applyFill="1" applyBorder="1" applyAlignment="1">
      <alignment horizontal="right"/>
    </xf>
    <xf numFmtId="3" fontId="6" fillId="42" borderId="89" xfId="0" applyNumberFormat="1" applyFont="1" applyFill="1" applyBorder="1" applyAlignment="1">
      <alignment horizontal="right"/>
    </xf>
    <xf numFmtId="3" fontId="7" fillId="42" borderId="88" xfId="0" applyNumberFormat="1" applyFont="1" applyFill="1" applyBorder="1" applyAlignment="1">
      <alignment horizontal="right"/>
    </xf>
    <xf numFmtId="3" fontId="22" fillId="44" borderId="89" xfId="0" applyNumberFormat="1" applyFont="1" applyFill="1" applyBorder="1" applyAlignment="1">
      <alignment/>
    </xf>
    <xf numFmtId="3" fontId="7" fillId="42" borderId="89" xfId="0" applyNumberFormat="1" applyFont="1" applyFill="1" applyBorder="1" applyAlignment="1">
      <alignment horizontal="right"/>
    </xf>
    <xf numFmtId="3" fontId="7" fillId="42" borderId="90" xfId="0" applyNumberFormat="1" applyFont="1" applyFill="1" applyBorder="1" applyAlignment="1">
      <alignment horizontal="right"/>
    </xf>
    <xf numFmtId="3" fontId="7" fillId="42" borderId="90" xfId="0" applyNumberFormat="1" applyFont="1" applyFill="1" applyBorder="1" applyAlignment="1">
      <alignment horizontal="right" vertical="center"/>
    </xf>
    <xf numFmtId="3" fontId="22" fillId="44" borderId="90" xfId="0" applyNumberFormat="1" applyFont="1" applyFill="1" applyBorder="1" applyAlignment="1">
      <alignment/>
    </xf>
    <xf numFmtId="3" fontId="7" fillId="42" borderId="89" xfId="0" applyNumberFormat="1" applyFont="1" applyFill="1" applyBorder="1" applyAlignment="1">
      <alignment horizontal="right" vertical="center"/>
    </xf>
    <xf numFmtId="3" fontId="7" fillId="42" borderId="91" xfId="0" applyNumberFormat="1" applyFont="1" applyFill="1" applyBorder="1" applyAlignment="1">
      <alignment horizontal="right"/>
    </xf>
    <xf numFmtId="3" fontId="22" fillId="44" borderId="12" xfId="0" applyNumberFormat="1" applyFont="1" applyFill="1" applyBorder="1" applyAlignment="1">
      <alignment/>
    </xf>
    <xf numFmtId="3" fontId="39" fillId="44" borderId="92" xfId="0" applyNumberFormat="1" applyFont="1" applyFill="1" applyBorder="1" applyAlignment="1">
      <alignment vertical="center"/>
    </xf>
    <xf numFmtId="3" fontId="7" fillId="13" borderId="39" xfId="0" applyNumberFormat="1" applyFont="1" applyFill="1" applyBorder="1" applyAlignment="1">
      <alignment horizontal="right"/>
    </xf>
    <xf numFmtId="3" fontId="37" fillId="42" borderId="39" xfId="0" applyNumberFormat="1" applyFont="1" applyFill="1" applyBorder="1" applyAlignment="1">
      <alignment horizontal="right"/>
    </xf>
    <xf numFmtId="3" fontId="22" fillId="44" borderId="38" xfId="0" applyNumberFormat="1" applyFont="1" applyFill="1" applyBorder="1" applyAlignment="1">
      <alignment/>
    </xf>
    <xf numFmtId="164" fontId="4" fillId="0" borderId="93" xfId="0" applyNumberFormat="1" applyFont="1" applyFill="1" applyBorder="1" applyAlignment="1">
      <alignment/>
    </xf>
    <xf numFmtId="164" fontId="4" fillId="0" borderId="76" xfId="0" applyNumberFormat="1" applyFont="1" applyFill="1" applyBorder="1" applyAlignment="1">
      <alignment/>
    </xf>
    <xf numFmtId="3" fontId="8" fillId="42" borderId="10" xfId="0" applyNumberFormat="1" applyFont="1" applyFill="1" applyBorder="1" applyAlignment="1">
      <alignment horizontal="left"/>
    </xf>
    <xf numFmtId="3" fontId="8" fillId="42" borderId="12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49" fontId="4" fillId="33" borderId="0" xfId="0" applyNumberFormat="1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3" fontId="6" fillId="33" borderId="0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 horizontal="right"/>
    </xf>
    <xf numFmtId="3" fontId="6" fillId="33" borderId="65" xfId="0" applyNumberFormat="1" applyFont="1" applyFill="1" applyBorder="1" applyAlignment="1">
      <alignment horizontal="right"/>
    </xf>
    <xf numFmtId="164" fontId="4" fillId="0" borderId="65" xfId="0" applyNumberFormat="1" applyFont="1" applyFill="1" applyBorder="1" applyAlignment="1">
      <alignment horizontal="right"/>
    </xf>
    <xf numFmtId="0" fontId="6" fillId="42" borderId="10" xfId="0" applyFont="1" applyFill="1" applyBorder="1" applyAlignment="1">
      <alignment/>
    </xf>
    <xf numFmtId="0" fontId="6" fillId="42" borderId="12" xfId="0" applyFont="1" applyFill="1" applyBorder="1" applyAlignment="1">
      <alignment/>
    </xf>
    <xf numFmtId="0" fontId="4" fillId="0" borderId="62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/>
    </xf>
    <xf numFmtId="3" fontId="7" fillId="33" borderId="62" xfId="0" applyNumberFormat="1" applyFont="1" applyFill="1" applyBorder="1" applyAlignment="1">
      <alignment horizontal="right"/>
    </xf>
    <xf numFmtId="3" fontId="7" fillId="33" borderId="62" xfId="0" applyNumberFormat="1" applyFont="1" applyFill="1" applyBorder="1" applyAlignment="1">
      <alignment horizontal="right"/>
    </xf>
    <xf numFmtId="164" fontId="4" fillId="0" borderId="62" xfId="0" applyNumberFormat="1" applyFont="1" applyFill="1" applyBorder="1" applyAlignment="1">
      <alignment horizontal="right"/>
    </xf>
    <xf numFmtId="49" fontId="5" fillId="33" borderId="42" xfId="0" applyNumberFormat="1" applyFont="1" applyFill="1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4" fillId="0" borderId="44" xfId="0" applyFont="1" applyBorder="1" applyAlignment="1">
      <alignment/>
    </xf>
    <xf numFmtId="0" fontId="4" fillId="33" borderId="75" xfId="0" applyFont="1" applyFill="1" applyBorder="1" applyAlignment="1">
      <alignment/>
    </xf>
    <xf numFmtId="3" fontId="6" fillId="33" borderId="75" xfId="0" applyNumberFormat="1" applyFont="1" applyFill="1" applyBorder="1" applyAlignment="1">
      <alignment horizontal="right"/>
    </xf>
    <xf numFmtId="164" fontId="4" fillId="0" borderId="75" xfId="0" applyNumberFormat="1" applyFont="1" applyFill="1" applyBorder="1" applyAlignment="1">
      <alignment horizontal="right"/>
    </xf>
    <xf numFmtId="164" fontId="4" fillId="0" borderId="68" xfId="0" applyNumberFormat="1" applyFont="1" applyFill="1" applyBorder="1" applyAlignment="1">
      <alignment horizontal="right"/>
    </xf>
    <xf numFmtId="0" fontId="4" fillId="0" borderId="65" xfId="0" applyNumberFormat="1" applyFont="1" applyFill="1" applyBorder="1" applyAlignment="1" applyProtection="1">
      <alignment horizontal="right"/>
      <protection locked="0"/>
    </xf>
    <xf numFmtId="0" fontId="4" fillId="33" borderId="30" xfId="0" applyFont="1" applyFill="1" applyBorder="1" applyAlignment="1">
      <alignment horizontal="center"/>
    </xf>
    <xf numFmtId="0" fontId="4" fillId="33" borderId="35" xfId="0" applyNumberFormat="1" applyFont="1" applyFill="1" applyBorder="1" applyAlignment="1" applyProtection="1">
      <alignment/>
      <protection locked="0"/>
    </xf>
    <xf numFmtId="0" fontId="4" fillId="0" borderId="14" xfId="0" applyNumberFormat="1" applyFont="1" applyBorder="1" applyAlignment="1" applyProtection="1">
      <alignment/>
      <protection locked="0"/>
    </xf>
    <xf numFmtId="3" fontId="32" fillId="53" borderId="73" xfId="0" applyNumberFormat="1" applyFont="1" applyFill="1" applyBorder="1" applyAlignment="1">
      <alignment horizontal="right" vertical="center"/>
    </xf>
    <xf numFmtId="3" fontId="6" fillId="42" borderId="94" xfId="0" applyNumberFormat="1" applyFont="1" applyFill="1" applyBorder="1" applyAlignment="1">
      <alignment horizontal="right"/>
    </xf>
    <xf numFmtId="3" fontId="20" fillId="33" borderId="64" xfId="0" applyNumberFormat="1" applyFont="1" applyFill="1" applyBorder="1" applyAlignment="1">
      <alignment/>
    </xf>
    <xf numFmtId="3" fontId="6" fillId="33" borderId="64" xfId="0" applyNumberFormat="1" applyFont="1" applyFill="1" applyBorder="1" applyAlignment="1">
      <alignment/>
    </xf>
    <xf numFmtId="3" fontId="6" fillId="33" borderId="65" xfId="0" applyNumberFormat="1" applyFont="1" applyFill="1" applyBorder="1" applyAlignment="1">
      <alignment/>
    </xf>
    <xf numFmtId="3" fontId="7" fillId="33" borderId="64" xfId="0" applyNumberFormat="1" applyFont="1" applyFill="1" applyBorder="1" applyAlignment="1">
      <alignment/>
    </xf>
    <xf numFmtId="0" fontId="7" fillId="33" borderId="65" xfId="0" applyNumberFormat="1" applyFont="1" applyFill="1" applyBorder="1" applyAlignment="1" applyProtection="1">
      <alignment/>
      <protection locked="0"/>
    </xf>
    <xf numFmtId="3" fontId="32" fillId="53" borderId="75" xfId="0" applyNumberFormat="1" applyFont="1" applyFill="1" applyBorder="1" applyAlignment="1">
      <alignment/>
    </xf>
    <xf numFmtId="0" fontId="7" fillId="33" borderId="71" xfId="0" applyNumberFormat="1" applyFont="1" applyFill="1" applyBorder="1" applyAlignment="1" applyProtection="1">
      <alignment/>
      <protection locked="0"/>
    </xf>
    <xf numFmtId="0" fontId="4" fillId="0" borderId="15" xfId="0" applyFont="1" applyFill="1" applyBorder="1" applyAlignment="1">
      <alignment horizontal="center"/>
    </xf>
    <xf numFmtId="49" fontId="4" fillId="33" borderId="59" xfId="0" applyNumberFormat="1" applyFont="1" applyFill="1" applyBorder="1" applyAlignment="1">
      <alignment horizontal="center"/>
    </xf>
    <xf numFmtId="49" fontId="4" fillId="0" borderId="59" xfId="0" applyNumberFormat="1" applyFont="1" applyBorder="1" applyAlignment="1">
      <alignment horizontal="center"/>
    </xf>
    <xf numFmtId="3" fontId="7" fillId="42" borderId="62" xfId="0" applyNumberFormat="1" applyFont="1" applyFill="1" applyBorder="1" applyAlignment="1">
      <alignment horizontal="right"/>
    </xf>
    <xf numFmtId="0" fontId="4" fillId="0" borderId="34" xfId="0" applyFont="1" applyFill="1" applyBorder="1" applyAlignment="1">
      <alignment horizontal="center"/>
    </xf>
    <xf numFmtId="49" fontId="5" fillId="33" borderId="34" xfId="0" applyNumberFormat="1" applyFont="1" applyFill="1" applyBorder="1" applyAlignment="1">
      <alignment horizontal="center"/>
    </xf>
    <xf numFmtId="49" fontId="3" fillId="33" borderId="34" xfId="0" applyNumberFormat="1" applyFont="1" applyFill="1" applyBorder="1" applyAlignment="1">
      <alignment horizontal="center"/>
    </xf>
    <xf numFmtId="49" fontId="4" fillId="0" borderId="34" xfId="0" applyNumberFormat="1" applyFont="1" applyBorder="1" applyAlignment="1">
      <alignment horizontal="center"/>
    </xf>
    <xf numFmtId="0" fontId="4" fillId="0" borderId="34" xfId="0" applyFont="1" applyBorder="1" applyAlignment="1">
      <alignment/>
    </xf>
    <xf numFmtId="0" fontId="4" fillId="33" borderId="34" xfId="0" applyFont="1" applyFill="1" applyBorder="1" applyAlignment="1">
      <alignment/>
    </xf>
    <xf numFmtId="3" fontId="7" fillId="33" borderId="34" xfId="0" applyNumberFormat="1" applyFont="1" applyFill="1" applyBorder="1" applyAlignment="1">
      <alignment horizontal="right"/>
    </xf>
    <xf numFmtId="164" fontId="4" fillId="0" borderId="34" xfId="0" applyNumberFormat="1" applyFont="1" applyFill="1" applyBorder="1" applyAlignment="1">
      <alignment horizontal="right"/>
    </xf>
    <xf numFmtId="49" fontId="4" fillId="0" borderId="0" xfId="0" applyNumberFormat="1" applyFont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49" fontId="5" fillId="33" borderId="18" xfId="0" applyNumberFormat="1" applyFont="1" applyFill="1" applyBorder="1" applyAlignment="1">
      <alignment horizontal="center"/>
    </xf>
    <xf numFmtId="49" fontId="3" fillId="33" borderId="18" xfId="0" applyNumberFormat="1" applyFont="1" applyFill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0" fontId="4" fillId="0" borderId="18" xfId="0" applyFont="1" applyBorder="1" applyAlignment="1">
      <alignment/>
    </xf>
    <xf numFmtId="0" fontId="4" fillId="33" borderId="18" xfId="0" applyFont="1" applyFill="1" applyBorder="1" applyAlignment="1">
      <alignment/>
    </xf>
    <xf numFmtId="3" fontId="7" fillId="33" borderId="18" xfId="0" applyNumberFormat="1" applyFont="1" applyFill="1" applyBorder="1" applyAlignment="1">
      <alignment horizontal="right"/>
    </xf>
    <xf numFmtId="164" fontId="4" fillId="0" borderId="18" xfId="0" applyNumberFormat="1" applyFont="1" applyFill="1" applyBorder="1" applyAlignment="1">
      <alignment horizontal="right"/>
    </xf>
    <xf numFmtId="0" fontId="12" fillId="0" borderId="59" xfId="0" applyNumberFormat="1" applyFont="1" applyFill="1" applyBorder="1" applyAlignment="1">
      <alignment horizontal="center"/>
    </xf>
    <xf numFmtId="49" fontId="4" fillId="0" borderId="51" xfId="0" applyNumberFormat="1" applyFont="1" applyFill="1" applyBorder="1" applyAlignment="1">
      <alignment horizontal="center"/>
    </xf>
    <xf numFmtId="49" fontId="4" fillId="0" borderId="59" xfId="0" applyNumberFormat="1" applyFont="1" applyFill="1" applyBorder="1" applyAlignment="1">
      <alignment horizontal="center"/>
    </xf>
    <xf numFmtId="0" fontId="4" fillId="0" borderId="50" xfId="0" applyNumberFormat="1" applyFont="1" applyFill="1" applyBorder="1" applyAlignment="1">
      <alignment/>
    </xf>
    <xf numFmtId="0" fontId="4" fillId="33" borderId="66" xfId="0" applyNumberFormat="1" applyFont="1" applyFill="1" applyBorder="1" applyAlignment="1">
      <alignment/>
    </xf>
    <xf numFmtId="164" fontId="4" fillId="0" borderId="94" xfId="0" applyNumberFormat="1" applyFont="1" applyFill="1" applyBorder="1" applyAlignment="1">
      <alignment horizontal="right"/>
    </xf>
    <xf numFmtId="3" fontId="6" fillId="33" borderId="65" xfId="0" applyNumberFormat="1" applyFont="1" applyFill="1" applyBorder="1" applyAlignment="1">
      <alignment horizontal="right"/>
    </xf>
    <xf numFmtId="164" fontId="4" fillId="0" borderId="65" xfId="0" applyNumberFormat="1" applyFont="1" applyFill="1" applyBorder="1" applyAlignment="1">
      <alignment horizontal="right" vertical="center"/>
    </xf>
    <xf numFmtId="49" fontId="4" fillId="0" borderId="19" xfId="0" applyNumberFormat="1" applyFont="1" applyFill="1" applyBorder="1" applyAlignment="1">
      <alignment horizontal="center"/>
    </xf>
    <xf numFmtId="0" fontId="4" fillId="0" borderId="62" xfId="0" applyFont="1" applyFill="1" applyBorder="1" applyAlignment="1">
      <alignment/>
    </xf>
    <xf numFmtId="49" fontId="4" fillId="33" borderId="34" xfId="0" applyNumberFormat="1" applyFont="1" applyFill="1" applyBorder="1" applyAlignment="1">
      <alignment horizontal="center"/>
    </xf>
    <xf numFmtId="49" fontId="4" fillId="0" borderId="34" xfId="0" applyNumberFormat="1" applyFont="1" applyFill="1" applyBorder="1" applyAlignment="1">
      <alignment horizontal="center"/>
    </xf>
    <xf numFmtId="0" fontId="4" fillId="33" borderId="34" xfId="0" applyFont="1" applyFill="1" applyBorder="1" applyAlignment="1">
      <alignment/>
    </xf>
    <xf numFmtId="0" fontId="4" fillId="0" borderId="34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49" fontId="4" fillId="33" borderId="18" xfId="0" applyNumberFormat="1" applyFont="1" applyFill="1" applyBorder="1" applyAlignment="1">
      <alignment horizontal="center"/>
    </xf>
    <xf numFmtId="49" fontId="4" fillId="0" borderId="18" xfId="0" applyNumberFormat="1" applyFont="1" applyFill="1" applyBorder="1" applyAlignment="1">
      <alignment horizontal="center"/>
    </xf>
    <xf numFmtId="0" fontId="4" fillId="33" borderId="18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0" xfId="0" applyFont="1" applyBorder="1" applyAlignment="1">
      <alignment/>
    </xf>
    <xf numFmtId="49" fontId="5" fillId="33" borderId="21" xfId="0" applyNumberFormat="1" applyFont="1" applyFill="1" applyBorder="1" applyAlignment="1">
      <alignment horizontal="center"/>
    </xf>
    <xf numFmtId="49" fontId="5" fillId="33" borderId="19" xfId="0" applyNumberFormat="1" applyFont="1" applyFill="1" applyBorder="1" applyAlignment="1">
      <alignment horizontal="center"/>
    </xf>
    <xf numFmtId="49" fontId="4" fillId="33" borderId="19" xfId="0" applyNumberFormat="1" applyFont="1" applyFill="1" applyBorder="1" applyAlignment="1">
      <alignment horizontal="center"/>
    </xf>
    <xf numFmtId="3" fontId="17" fillId="40" borderId="62" xfId="0" applyNumberFormat="1" applyFont="1" applyFill="1" applyBorder="1" applyAlignment="1">
      <alignment horizontal="right"/>
    </xf>
    <xf numFmtId="0" fontId="4" fillId="0" borderId="34" xfId="0" applyFont="1" applyBorder="1" applyAlignment="1">
      <alignment/>
    </xf>
    <xf numFmtId="0" fontId="4" fillId="0" borderId="18" xfId="0" applyFont="1" applyBorder="1" applyAlignment="1">
      <alignment/>
    </xf>
    <xf numFmtId="3" fontId="39" fillId="0" borderId="81" xfId="0" applyNumberFormat="1" applyFont="1" applyFill="1" applyBorder="1" applyAlignment="1">
      <alignment vertical="center"/>
    </xf>
    <xf numFmtId="3" fontId="22" fillId="0" borderId="82" xfId="0" applyNumberFormat="1" applyFont="1" applyFill="1" applyBorder="1" applyAlignment="1">
      <alignment/>
    </xf>
    <xf numFmtId="3" fontId="7" fillId="0" borderId="76" xfId="0" applyNumberFormat="1" applyFont="1" applyFill="1" applyBorder="1" applyAlignment="1">
      <alignment horizontal="right"/>
    </xf>
    <xf numFmtId="3" fontId="7" fillId="0" borderId="77" xfId="0" applyNumberFormat="1" applyFont="1" applyFill="1" applyBorder="1" applyAlignment="1">
      <alignment horizontal="right"/>
    </xf>
    <xf numFmtId="3" fontId="7" fillId="0" borderId="80" xfId="0" applyNumberFormat="1" applyFont="1" applyFill="1" applyBorder="1" applyAlignment="1">
      <alignment horizontal="right"/>
    </xf>
    <xf numFmtId="164" fontId="4" fillId="0" borderId="95" xfId="0" applyNumberFormat="1" applyFont="1" applyFill="1" applyBorder="1" applyAlignment="1">
      <alignment vertical="center"/>
    </xf>
    <xf numFmtId="3" fontId="7" fillId="0" borderId="51" xfId="0" applyNumberFormat="1" applyFont="1" applyFill="1" applyBorder="1" applyAlignment="1">
      <alignment horizontal="right"/>
    </xf>
    <xf numFmtId="3" fontId="39" fillId="54" borderId="61" xfId="0" applyNumberFormat="1" applyFont="1" applyFill="1" applyBorder="1" applyAlignment="1">
      <alignment vertical="center"/>
    </xf>
    <xf numFmtId="3" fontId="46" fillId="54" borderId="90" xfId="0" applyNumberFormat="1" applyFont="1" applyFill="1" applyBorder="1" applyAlignment="1">
      <alignment/>
    </xf>
    <xf numFmtId="3" fontId="6" fillId="13" borderId="88" xfId="0" applyNumberFormat="1" applyFont="1" applyFill="1" applyBorder="1" applyAlignment="1">
      <alignment/>
    </xf>
    <xf numFmtId="3" fontId="7" fillId="42" borderId="88" xfId="0" applyNumberFormat="1" applyFont="1" applyFill="1" applyBorder="1" applyAlignment="1">
      <alignment/>
    </xf>
    <xf numFmtId="3" fontId="46" fillId="54" borderId="89" xfId="0" applyNumberFormat="1" applyFont="1" applyFill="1" applyBorder="1" applyAlignment="1">
      <alignment/>
    </xf>
    <xf numFmtId="3" fontId="103" fillId="54" borderId="88" xfId="0" applyNumberFormat="1" applyFont="1" applyFill="1" applyBorder="1" applyAlignment="1">
      <alignment/>
    </xf>
    <xf numFmtId="3" fontId="7" fillId="42" borderId="89" xfId="0" applyNumberFormat="1" applyFont="1" applyFill="1" applyBorder="1" applyAlignment="1">
      <alignment/>
    </xf>
    <xf numFmtId="3" fontId="46" fillId="54" borderId="96" xfId="0" applyNumberFormat="1" applyFont="1" applyFill="1" applyBorder="1" applyAlignment="1">
      <alignment/>
    </xf>
    <xf numFmtId="0" fontId="0" fillId="33" borderId="78" xfId="0" applyFill="1" applyBorder="1" applyAlignment="1">
      <alignment/>
    </xf>
    <xf numFmtId="164" fontId="4" fillId="0" borderId="97" xfId="0" applyNumberFormat="1" applyFont="1" applyFill="1" applyBorder="1" applyAlignment="1">
      <alignment/>
    </xf>
    <xf numFmtId="164" fontId="4" fillId="0" borderId="66" xfId="0" applyNumberFormat="1" applyFont="1" applyFill="1" applyBorder="1" applyAlignment="1">
      <alignment horizontal="right"/>
    </xf>
    <xf numFmtId="164" fontId="4" fillId="0" borderId="75" xfId="0" applyNumberFormat="1" applyFont="1" applyFill="1" applyBorder="1" applyAlignment="1">
      <alignment horizontal="right"/>
    </xf>
    <xf numFmtId="3" fontId="39" fillId="54" borderId="57" xfId="0" applyNumberFormat="1" applyFont="1" applyFill="1" applyBorder="1" applyAlignment="1">
      <alignment vertical="center"/>
    </xf>
    <xf numFmtId="3" fontId="46" fillId="54" borderId="12" xfId="0" applyNumberFormat="1" applyFont="1" applyFill="1" applyBorder="1" applyAlignment="1">
      <alignment/>
    </xf>
    <xf numFmtId="3" fontId="6" fillId="13" borderId="51" xfId="0" applyNumberFormat="1" applyFont="1" applyFill="1" applyBorder="1" applyAlignment="1">
      <alignment/>
    </xf>
    <xf numFmtId="3" fontId="7" fillId="42" borderId="51" xfId="0" applyNumberFormat="1" applyFont="1" applyFill="1" applyBorder="1" applyAlignment="1">
      <alignment/>
    </xf>
    <xf numFmtId="3" fontId="46" fillId="54" borderId="10" xfId="0" applyNumberFormat="1" applyFont="1" applyFill="1" applyBorder="1" applyAlignment="1">
      <alignment/>
    </xf>
    <xf numFmtId="3" fontId="103" fillId="54" borderId="51" xfId="0" applyNumberFormat="1" applyFont="1" applyFill="1" applyBorder="1" applyAlignment="1">
      <alignment/>
    </xf>
    <xf numFmtId="3" fontId="7" fillId="42" borderId="10" xfId="0" applyNumberFormat="1" applyFont="1" applyFill="1" applyBorder="1" applyAlignment="1">
      <alignment/>
    </xf>
    <xf numFmtId="3" fontId="46" fillId="54" borderId="42" xfId="0" applyNumberFormat="1" applyFont="1" applyFill="1" applyBorder="1" applyAlignment="1">
      <alignment/>
    </xf>
    <xf numFmtId="3" fontId="39" fillId="44" borderId="98" xfId="0" applyNumberFormat="1" applyFont="1" applyFill="1" applyBorder="1" applyAlignment="1">
      <alignment vertical="center"/>
    </xf>
    <xf numFmtId="3" fontId="22" fillId="44" borderId="90" xfId="0" applyNumberFormat="1" applyFont="1" applyFill="1" applyBorder="1" applyAlignment="1">
      <alignment/>
    </xf>
    <xf numFmtId="3" fontId="7" fillId="42" borderId="96" xfId="0" applyNumberFormat="1" applyFont="1" applyFill="1" applyBorder="1" applyAlignment="1">
      <alignment horizontal="right"/>
    </xf>
    <xf numFmtId="3" fontId="39" fillId="54" borderId="98" xfId="0" applyNumberFormat="1" applyFont="1" applyFill="1" applyBorder="1" applyAlignment="1">
      <alignment vertical="center"/>
    </xf>
    <xf numFmtId="3" fontId="7" fillId="42" borderId="96" xfId="0" applyNumberFormat="1" applyFont="1" applyFill="1" applyBorder="1" applyAlignment="1">
      <alignment/>
    </xf>
    <xf numFmtId="164" fontId="4" fillId="0" borderId="65" xfId="0" applyNumberFormat="1" applyFont="1" applyFill="1" applyBorder="1" applyAlignment="1">
      <alignment horizontal="right"/>
    </xf>
    <xf numFmtId="164" fontId="4" fillId="0" borderId="68" xfId="0" applyNumberFormat="1" applyFont="1" applyFill="1" applyBorder="1" applyAlignment="1">
      <alignment horizontal="right"/>
    </xf>
    <xf numFmtId="3" fontId="39" fillId="54" borderId="24" xfId="0" applyNumberFormat="1" applyFont="1" applyFill="1" applyBorder="1" applyAlignment="1">
      <alignment vertical="center"/>
    </xf>
    <xf numFmtId="3" fontId="7" fillId="42" borderId="42" xfId="0" applyNumberFormat="1" applyFont="1" applyFill="1" applyBorder="1" applyAlignment="1">
      <alignment/>
    </xf>
    <xf numFmtId="164" fontId="4" fillId="0" borderId="64" xfId="0" applyNumberFormat="1" applyFont="1" applyFill="1" applyBorder="1" applyAlignment="1">
      <alignment/>
    </xf>
    <xf numFmtId="164" fontId="4" fillId="0" borderId="99" xfId="0" applyNumberFormat="1" applyFont="1" applyFill="1" applyBorder="1" applyAlignment="1">
      <alignment horizontal="right" vertical="center"/>
    </xf>
    <xf numFmtId="3" fontId="6" fillId="13" borderId="100" xfId="0" applyNumberFormat="1" applyFont="1" applyFill="1" applyBorder="1" applyAlignment="1">
      <alignment/>
    </xf>
    <xf numFmtId="3" fontId="7" fillId="42" borderId="90" xfId="0" applyNumberFormat="1" applyFont="1" applyFill="1" applyBorder="1" applyAlignment="1">
      <alignment/>
    </xf>
    <xf numFmtId="3" fontId="6" fillId="42" borderId="89" xfId="0" applyNumberFormat="1" applyFont="1" applyFill="1" applyBorder="1" applyAlignment="1">
      <alignment/>
    </xf>
    <xf numFmtId="3" fontId="7" fillId="42" borderId="91" xfId="0" applyNumberFormat="1" applyFont="1" applyFill="1" applyBorder="1" applyAlignment="1">
      <alignment/>
    </xf>
    <xf numFmtId="164" fontId="4" fillId="0" borderId="63" xfId="0" applyNumberFormat="1" applyFont="1" applyFill="1" applyBorder="1" applyAlignment="1">
      <alignment horizontal="right"/>
    </xf>
    <xf numFmtId="164" fontId="4" fillId="0" borderId="101" xfId="0" applyNumberFormat="1" applyFont="1" applyFill="1" applyBorder="1" applyAlignment="1">
      <alignment/>
    </xf>
    <xf numFmtId="164" fontId="4" fillId="0" borderId="62" xfId="0" applyNumberFormat="1" applyFont="1" applyFill="1" applyBorder="1" applyAlignment="1">
      <alignment horizontal="right"/>
    </xf>
    <xf numFmtId="3" fontId="6" fillId="13" borderId="21" xfId="0" applyNumberFormat="1" applyFont="1" applyFill="1" applyBorder="1" applyAlignment="1">
      <alignment/>
    </xf>
    <xf numFmtId="3" fontId="7" fillId="42" borderId="12" xfId="0" applyNumberFormat="1" applyFont="1" applyFill="1" applyBorder="1" applyAlignment="1">
      <alignment/>
    </xf>
    <xf numFmtId="3" fontId="6" fillId="42" borderId="10" xfId="0" applyNumberFormat="1" applyFont="1" applyFill="1" applyBorder="1" applyAlignment="1">
      <alignment/>
    </xf>
    <xf numFmtId="3" fontId="7" fillId="42" borderId="32" xfId="0" applyNumberFormat="1" applyFont="1" applyFill="1" applyBorder="1" applyAlignment="1">
      <alignment/>
    </xf>
    <xf numFmtId="3" fontId="39" fillId="44" borderId="23" xfId="0" applyNumberFormat="1" applyFont="1" applyFill="1" applyBorder="1" applyAlignment="1">
      <alignment vertical="center"/>
    </xf>
    <xf numFmtId="3" fontId="6" fillId="42" borderId="90" xfId="0" applyNumberFormat="1" applyFont="1" applyFill="1" applyBorder="1" applyAlignment="1">
      <alignment/>
    </xf>
    <xf numFmtId="3" fontId="6" fillId="42" borderId="12" xfId="0" applyNumberFormat="1" applyFont="1" applyFill="1" applyBorder="1" applyAlignment="1">
      <alignment/>
    </xf>
    <xf numFmtId="3" fontId="6" fillId="0" borderId="51" xfId="0" applyNumberFormat="1" applyFont="1" applyFill="1" applyBorder="1" applyAlignment="1">
      <alignment horizontal="right"/>
    </xf>
    <xf numFmtId="3" fontId="43" fillId="54" borderId="98" xfId="0" applyNumberFormat="1" applyFont="1" applyFill="1" applyBorder="1" applyAlignment="1">
      <alignment vertical="center"/>
    </xf>
    <xf numFmtId="3" fontId="22" fillId="54" borderId="90" xfId="0" applyNumberFormat="1" applyFont="1" applyFill="1" applyBorder="1" applyAlignment="1">
      <alignment/>
    </xf>
    <xf numFmtId="3" fontId="8" fillId="42" borderId="88" xfId="0" applyNumberFormat="1" applyFont="1" applyFill="1" applyBorder="1" applyAlignment="1">
      <alignment/>
    </xf>
    <xf numFmtId="3" fontId="18" fillId="42" borderId="88" xfId="0" applyNumberFormat="1" applyFont="1" applyFill="1" applyBorder="1" applyAlignment="1">
      <alignment/>
    </xf>
    <xf numFmtId="3" fontId="22" fillId="54" borderId="89" xfId="0" applyNumberFormat="1" applyFont="1" applyFill="1" applyBorder="1" applyAlignment="1">
      <alignment/>
    </xf>
    <xf numFmtId="3" fontId="18" fillId="42" borderId="89" xfId="0" applyNumberFormat="1" applyFont="1" applyFill="1" applyBorder="1" applyAlignment="1">
      <alignment/>
    </xf>
    <xf numFmtId="3" fontId="18" fillId="42" borderId="90" xfId="0" applyNumberFormat="1" applyFont="1" applyFill="1" applyBorder="1" applyAlignment="1">
      <alignment/>
    </xf>
    <xf numFmtId="3" fontId="18" fillId="42" borderId="96" xfId="0" applyNumberFormat="1" applyFont="1" applyFill="1" applyBorder="1" applyAlignment="1">
      <alignment/>
    </xf>
    <xf numFmtId="3" fontId="43" fillId="54" borderId="24" xfId="0" applyNumberFormat="1" applyFont="1" applyFill="1" applyBorder="1" applyAlignment="1">
      <alignment vertical="center"/>
    </xf>
    <xf numFmtId="3" fontId="22" fillId="54" borderId="12" xfId="0" applyNumberFormat="1" applyFont="1" applyFill="1" applyBorder="1" applyAlignment="1">
      <alignment/>
    </xf>
    <xf numFmtId="3" fontId="8" fillId="42" borderId="51" xfId="0" applyNumberFormat="1" applyFont="1" applyFill="1" applyBorder="1" applyAlignment="1">
      <alignment/>
    </xf>
    <xf numFmtId="3" fontId="18" fillId="42" borderId="51" xfId="0" applyNumberFormat="1" applyFont="1" applyFill="1" applyBorder="1" applyAlignment="1">
      <alignment/>
    </xf>
    <xf numFmtId="3" fontId="22" fillId="54" borderId="10" xfId="0" applyNumberFormat="1" applyFont="1" applyFill="1" applyBorder="1" applyAlignment="1">
      <alignment/>
    </xf>
    <xf numFmtId="3" fontId="18" fillId="42" borderId="10" xfId="0" applyNumberFormat="1" applyFont="1" applyFill="1" applyBorder="1" applyAlignment="1">
      <alignment/>
    </xf>
    <xf numFmtId="3" fontId="18" fillId="42" borderId="12" xfId="0" applyNumberFormat="1" applyFont="1" applyFill="1" applyBorder="1" applyAlignment="1">
      <alignment/>
    </xf>
    <xf numFmtId="3" fontId="18" fillId="42" borderId="42" xfId="0" applyNumberFormat="1" applyFont="1" applyFill="1" applyBorder="1" applyAlignment="1">
      <alignment/>
    </xf>
    <xf numFmtId="0" fontId="13" fillId="34" borderId="45" xfId="0" applyFont="1" applyFill="1" applyBorder="1" applyAlignment="1">
      <alignment horizontal="center"/>
    </xf>
    <xf numFmtId="0" fontId="2" fillId="0" borderId="71" xfId="0" applyFont="1" applyBorder="1" applyAlignment="1">
      <alignment horizontal="center"/>
    </xf>
    <xf numFmtId="3" fontId="6" fillId="43" borderId="89" xfId="0" applyNumberFormat="1" applyFont="1" applyFill="1" applyBorder="1" applyAlignment="1">
      <alignment horizontal="right"/>
    </xf>
    <xf numFmtId="3" fontId="7" fillId="42" borderId="100" xfId="0" applyNumberFormat="1" applyFont="1" applyFill="1" applyBorder="1" applyAlignment="1">
      <alignment vertical="center"/>
    </xf>
    <xf numFmtId="3" fontId="7" fillId="42" borderId="100" xfId="0" applyNumberFormat="1" applyFont="1" applyFill="1" applyBorder="1" applyAlignment="1">
      <alignment/>
    </xf>
    <xf numFmtId="164" fontId="4" fillId="0" borderId="66" xfId="0" applyNumberFormat="1" applyFont="1" applyFill="1" applyBorder="1" applyAlignment="1">
      <alignment horizontal="right" vertical="center"/>
    </xf>
    <xf numFmtId="3" fontId="7" fillId="42" borderId="21" xfId="0" applyNumberFormat="1" applyFont="1" applyFill="1" applyBorder="1" applyAlignment="1">
      <alignment vertical="center"/>
    </xf>
    <xf numFmtId="3" fontId="7" fillId="42" borderId="21" xfId="0" applyNumberFormat="1" applyFont="1" applyFill="1" applyBorder="1" applyAlignment="1">
      <alignment/>
    </xf>
    <xf numFmtId="3" fontId="43" fillId="48" borderId="52" xfId="0" applyNumberFormat="1" applyFont="1" applyFill="1" applyBorder="1" applyAlignment="1">
      <alignment vertical="center"/>
    </xf>
    <xf numFmtId="3" fontId="20" fillId="42" borderId="88" xfId="0" applyNumberFormat="1" applyFont="1" applyFill="1" applyBorder="1" applyAlignment="1">
      <alignment/>
    </xf>
    <xf numFmtId="3" fontId="20" fillId="36" borderId="88" xfId="0" applyNumberFormat="1" applyFont="1" applyFill="1" applyBorder="1" applyAlignment="1">
      <alignment/>
    </xf>
    <xf numFmtId="3" fontId="20" fillId="45" borderId="88" xfId="0" applyNumberFormat="1" applyFont="1" applyFill="1" applyBorder="1" applyAlignment="1">
      <alignment/>
    </xf>
    <xf numFmtId="3" fontId="18" fillId="42" borderId="100" xfId="0" applyNumberFormat="1" applyFont="1" applyFill="1" applyBorder="1" applyAlignment="1">
      <alignment/>
    </xf>
    <xf numFmtId="3" fontId="20" fillId="45" borderId="100" xfId="0" applyNumberFormat="1" applyFont="1" applyFill="1" applyBorder="1" applyAlignment="1">
      <alignment/>
    </xf>
    <xf numFmtId="3" fontId="20" fillId="36" borderId="100" xfId="0" applyNumberFormat="1" applyFont="1" applyFill="1" applyBorder="1" applyAlignment="1">
      <alignment/>
    </xf>
    <xf numFmtId="3" fontId="8" fillId="42" borderId="89" xfId="0" applyNumberFormat="1" applyFont="1" applyFill="1" applyBorder="1" applyAlignment="1">
      <alignment/>
    </xf>
    <xf numFmtId="3" fontId="8" fillId="42" borderId="100" xfId="0" applyNumberFormat="1" applyFont="1" applyFill="1" applyBorder="1" applyAlignment="1">
      <alignment/>
    </xf>
    <xf numFmtId="3" fontId="8" fillId="0" borderId="88" xfId="0" applyNumberFormat="1" applyFont="1" applyFill="1" applyBorder="1" applyAlignment="1">
      <alignment/>
    </xf>
    <xf numFmtId="3" fontId="8" fillId="42" borderId="90" xfId="0" applyNumberFormat="1" applyFont="1" applyFill="1" applyBorder="1" applyAlignment="1">
      <alignment/>
    </xf>
    <xf numFmtId="3" fontId="20" fillId="45" borderId="89" xfId="0" applyNumberFormat="1" applyFont="1" applyFill="1" applyBorder="1" applyAlignment="1">
      <alignment/>
    </xf>
    <xf numFmtId="3" fontId="20" fillId="45" borderId="90" xfId="0" applyNumberFormat="1" applyFont="1" applyFill="1" applyBorder="1" applyAlignment="1">
      <alignment/>
    </xf>
    <xf numFmtId="3" fontId="8" fillId="6" borderId="89" xfId="0" applyNumberFormat="1" applyFont="1" applyFill="1" applyBorder="1" applyAlignment="1">
      <alignment/>
    </xf>
    <xf numFmtId="3" fontId="8" fillId="6" borderId="90" xfId="0" applyNumberFormat="1" applyFont="1" applyFill="1" applyBorder="1" applyAlignment="1">
      <alignment/>
    </xf>
    <xf numFmtId="3" fontId="20" fillId="42" borderId="51" xfId="0" applyNumberFormat="1" applyFont="1" applyFill="1" applyBorder="1" applyAlignment="1">
      <alignment/>
    </xf>
    <xf numFmtId="3" fontId="20" fillId="36" borderId="51" xfId="0" applyNumberFormat="1" applyFont="1" applyFill="1" applyBorder="1" applyAlignment="1">
      <alignment/>
    </xf>
    <xf numFmtId="3" fontId="20" fillId="45" borderId="51" xfId="0" applyNumberFormat="1" applyFont="1" applyFill="1" applyBorder="1" applyAlignment="1">
      <alignment/>
    </xf>
    <xf numFmtId="3" fontId="18" fillId="42" borderId="21" xfId="0" applyNumberFormat="1" applyFont="1" applyFill="1" applyBorder="1" applyAlignment="1">
      <alignment/>
    </xf>
    <xf numFmtId="3" fontId="20" fillId="45" borderId="21" xfId="0" applyNumberFormat="1" applyFont="1" applyFill="1" applyBorder="1" applyAlignment="1">
      <alignment/>
    </xf>
    <xf numFmtId="3" fontId="20" fillId="36" borderId="21" xfId="0" applyNumberFormat="1" applyFont="1" applyFill="1" applyBorder="1" applyAlignment="1">
      <alignment/>
    </xf>
    <xf numFmtId="3" fontId="8" fillId="42" borderId="10" xfId="0" applyNumberFormat="1" applyFont="1" applyFill="1" applyBorder="1" applyAlignment="1">
      <alignment/>
    </xf>
    <xf numFmtId="3" fontId="8" fillId="42" borderId="21" xfId="0" applyNumberFormat="1" applyFont="1" applyFill="1" applyBorder="1" applyAlignment="1">
      <alignment/>
    </xf>
    <xf numFmtId="3" fontId="8" fillId="0" borderId="51" xfId="0" applyNumberFormat="1" applyFont="1" applyFill="1" applyBorder="1" applyAlignment="1">
      <alignment/>
    </xf>
    <xf numFmtId="3" fontId="8" fillId="42" borderId="12" xfId="0" applyNumberFormat="1" applyFont="1" applyFill="1" applyBorder="1" applyAlignment="1">
      <alignment/>
    </xf>
    <xf numFmtId="3" fontId="20" fillId="45" borderId="10" xfId="0" applyNumberFormat="1" applyFont="1" applyFill="1" applyBorder="1" applyAlignment="1">
      <alignment/>
    </xf>
    <xf numFmtId="3" fontId="20" fillId="45" borderId="12" xfId="0" applyNumberFormat="1" applyFont="1" applyFill="1" applyBorder="1" applyAlignment="1">
      <alignment/>
    </xf>
    <xf numFmtId="3" fontId="8" fillId="6" borderId="10" xfId="0" applyNumberFormat="1" applyFont="1" applyFill="1" applyBorder="1" applyAlignment="1">
      <alignment/>
    </xf>
    <xf numFmtId="3" fontId="8" fillId="6" borderId="12" xfId="0" applyNumberFormat="1" applyFont="1" applyFill="1" applyBorder="1" applyAlignment="1">
      <alignment/>
    </xf>
    <xf numFmtId="3" fontId="20" fillId="42" borderId="88" xfId="0" applyNumberFormat="1" applyFont="1" applyFill="1" applyBorder="1" applyAlignment="1">
      <alignment horizontal="right"/>
    </xf>
    <xf numFmtId="3" fontId="20" fillId="36" borderId="88" xfId="0" applyNumberFormat="1" applyFont="1" applyFill="1" applyBorder="1" applyAlignment="1">
      <alignment horizontal="right"/>
    </xf>
    <xf numFmtId="3" fontId="20" fillId="45" borderId="88" xfId="0" applyNumberFormat="1" applyFont="1" applyFill="1" applyBorder="1" applyAlignment="1">
      <alignment horizontal="right"/>
    </xf>
    <xf numFmtId="3" fontId="37" fillId="45" borderId="89" xfId="0" applyNumberFormat="1" applyFont="1" applyFill="1" applyBorder="1" applyAlignment="1">
      <alignment horizontal="right"/>
    </xf>
    <xf numFmtId="3" fontId="37" fillId="45" borderId="88" xfId="0" applyNumberFormat="1" applyFont="1" applyFill="1" applyBorder="1" applyAlignment="1">
      <alignment horizontal="right"/>
    </xf>
    <xf numFmtId="3" fontId="7" fillId="42" borderId="100" xfId="0" applyNumberFormat="1" applyFont="1" applyFill="1" applyBorder="1" applyAlignment="1">
      <alignment horizontal="right"/>
    </xf>
    <xf numFmtId="3" fontId="20" fillId="45" borderId="100" xfId="0" applyNumberFormat="1" applyFont="1" applyFill="1" applyBorder="1" applyAlignment="1">
      <alignment horizontal="right"/>
    </xf>
    <xf numFmtId="3" fontId="22" fillId="51" borderId="90" xfId="0" applyNumberFormat="1" applyFont="1" applyFill="1" applyBorder="1" applyAlignment="1">
      <alignment/>
    </xf>
    <xf numFmtId="3" fontId="8" fillId="42" borderId="88" xfId="0" applyNumberFormat="1" applyFont="1" applyFill="1" applyBorder="1" applyAlignment="1">
      <alignment horizontal="right"/>
    </xf>
    <xf numFmtId="3" fontId="8" fillId="42" borderId="89" xfId="0" applyNumberFormat="1" applyFont="1" applyFill="1" applyBorder="1" applyAlignment="1">
      <alignment horizontal="right"/>
    </xf>
    <xf numFmtId="3" fontId="37" fillId="36" borderId="100" xfId="0" applyNumberFormat="1" applyFont="1" applyFill="1" applyBorder="1" applyAlignment="1">
      <alignment horizontal="right"/>
    </xf>
    <xf numFmtId="3" fontId="18" fillId="42" borderId="88" xfId="0" applyNumberFormat="1" applyFont="1" applyFill="1" applyBorder="1" applyAlignment="1">
      <alignment horizontal="right"/>
    </xf>
    <xf numFmtId="3" fontId="18" fillId="42" borderId="89" xfId="0" applyNumberFormat="1" applyFont="1" applyFill="1" applyBorder="1" applyAlignment="1">
      <alignment horizontal="right"/>
    </xf>
    <xf numFmtId="3" fontId="18" fillId="42" borderId="100" xfId="0" applyNumberFormat="1" applyFont="1" applyFill="1" applyBorder="1" applyAlignment="1">
      <alignment horizontal="right"/>
    </xf>
    <xf numFmtId="3" fontId="8" fillId="42" borderId="100" xfId="0" applyNumberFormat="1" applyFont="1" applyFill="1" applyBorder="1" applyAlignment="1">
      <alignment horizontal="right"/>
    </xf>
    <xf numFmtId="3" fontId="18" fillId="42" borderId="90" xfId="0" applyNumberFormat="1" applyFont="1" applyFill="1" applyBorder="1" applyAlignment="1">
      <alignment horizontal="right"/>
    </xf>
    <xf numFmtId="3" fontId="37" fillId="45" borderId="90" xfId="0" applyNumberFormat="1" applyFont="1" applyFill="1" applyBorder="1" applyAlignment="1">
      <alignment horizontal="right"/>
    </xf>
    <xf numFmtId="3" fontId="20" fillId="45" borderId="90" xfId="0" applyNumberFormat="1" applyFont="1" applyFill="1" applyBorder="1" applyAlignment="1">
      <alignment horizontal="right"/>
    </xf>
    <xf numFmtId="3" fontId="7" fillId="6" borderId="89" xfId="0" applyNumberFormat="1" applyFont="1" applyFill="1" applyBorder="1" applyAlignment="1">
      <alignment horizontal="right"/>
    </xf>
    <xf numFmtId="3" fontId="7" fillId="6" borderId="90" xfId="0" applyNumberFormat="1" applyFont="1" applyFill="1" applyBorder="1" applyAlignment="1">
      <alignment horizontal="right"/>
    </xf>
    <xf numFmtId="3" fontId="20" fillId="45" borderId="89" xfId="0" applyNumberFormat="1" applyFont="1" applyFill="1" applyBorder="1" applyAlignment="1">
      <alignment horizontal="right"/>
    </xf>
    <xf numFmtId="3" fontId="20" fillId="42" borderId="51" xfId="0" applyNumberFormat="1" applyFont="1" applyFill="1" applyBorder="1" applyAlignment="1">
      <alignment horizontal="right"/>
    </xf>
    <xf numFmtId="3" fontId="20" fillId="36" borderId="51" xfId="0" applyNumberFormat="1" applyFont="1" applyFill="1" applyBorder="1" applyAlignment="1">
      <alignment horizontal="right"/>
    </xf>
    <xf numFmtId="3" fontId="20" fillId="45" borderId="51" xfId="0" applyNumberFormat="1" applyFont="1" applyFill="1" applyBorder="1" applyAlignment="1">
      <alignment horizontal="right"/>
    </xf>
    <xf numFmtId="3" fontId="37" fillId="45" borderId="10" xfId="0" applyNumberFormat="1" applyFont="1" applyFill="1" applyBorder="1" applyAlignment="1">
      <alignment horizontal="right"/>
    </xf>
    <xf numFmtId="3" fontId="37" fillId="45" borderId="51" xfId="0" applyNumberFormat="1" applyFont="1" applyFill="1" applyBorder="1" applyAlignment="1">
      <alignment horizontal="right"/>
    </xf>
    <xf numFmtId="3" fontId="20" fillId="45" borderId="21" xfId="0" applyNumberFormat="1" applyFont="1" applyFill="1" applyBorder="1" applyAlignment="1">
      <alignment horizontal="right"/>
    </xf>
    <xf numFmtId="3" fontId="22" fillId="51" borderId="12" xfId="0" applyNumberFormat="1" applyFont="1" applyFill="1" applyBorder="1" applyAlignment="1">
      <alignment/>
    </xf>
    <xf numFmtId="3" fontId="37" fillId="36" borderId="21" xfId="0" applyNumberFormat="1" applyFont="1" applyFill="1" applyBorder="1" applyAlignment="1">
      <alignment horizontal="right"/>
    </xf>
    <xf numFmtId="3" fontId="18" fillId="42" borderId="21" xfId="0" applyNumberFormat="1" applyFont="1" applyFill="1" applyBorder="1" applyAlignment="1">
      <alignment horizontal="right"/>
    </xf>
    <xf numFmtId="3" fontId="8" fillId="42" borderId="21" xfId="0" applyNumberFormat="1" applyFont="1" applyFill="1" applyBorder="1" applyAlignment="1">
      <alignment horizontal="right"/>
    </xf>
    <xf numFmtId="3" fontId="37" fillId="45" borderId="12" xfId="0" applyNumberFormat="1" applyFont="1" applyFill="1" applyBorder="1" applyAlignment="1">
      <alignment horizontal="right"/>
    </xf>
    <xf numFmtId="3" fontId="20" fillId="45" borderId="12" xfId="0" applyNumberFormat="1" applyFont="1" applyFill="1" applyBorder="1" applyAlignment="1">
      <alignment horizontal="right"/>
    </xf>
    <xf numFmtId="3" fontId="7" fillId="6" borderId="10" xfId="0" applyNumberFormat="1" applyFont="1" applyFill="1" applyBorder="1" applyAlignment="1">
      <alignment horizontal="right"/>
    </xf>
    <xf numFmtId="3" fontId="7" fillId="6" borderId="12" xfId="0" applyNumberFormat="1" applyFont="1" applyFill="1" applyBorder="1" applyAlignment="1">
      <alignment horizontal="right"/>
    </xf>
    <xf numFmtId="164" fontId="3" fillId="0" borderId="76" xfId="0" applyNumberFormat="1" applyFont="1" applyFill="1" applyBorder="1" applyAlignment="1">
      <alignment horizontal="right"/>
    </xf>
    <xf numFmtId="3" fontId="6" fillId="42" borderId="90" xfId="0" applyNumberFormat="1" applyFont="1" applyFill="1" applyBorder="1" applyAlignment="1">
      <alignment horizontal="right"/>
    </xf>
    <xf numFmtId="164" fontId="3" fillId="0" borderId="77" xfId="0" applyNumberFormat="1" applyFont="1" applyFill="1" applyBorder="1" applyAlignment="1">
      <alignment horizontal="right"/>
    </xf>
    <xf numFmtId="3" fontId="8" fillId="0" borderId="12" xfId="0" applyNumberFormat="1" applyFont="1" applyFill="1" applyBorder="1" applyAlignment="1">
      <alignment horizontal="right"/>
    </xf>
    <xf numFmtId="3" fontId="18" fillId="0" borderId="12" xfId="0" applyNumberFormat="1" applyFont="1" applyFill="1" applyBorder="1" applyAlignment="1">
      <alignment horizontal="right"/>
    </xf>
    <xf numFmtId="3" fontId="6" fillId="0" borderId="12" xfId="0" applyNumberFormat="1" applyFont="1" applyFill="1" applyBorder="1" applyAlignment="1">
      <alignment horizontal="right"/>
    </xf>
    <xf numFmtId="3" fontId="7" fillId="42" borderId="88" xfId="0" applyNumberFormat="1" applyFont="1" applyFill="1" applyBorder="1" applyAlignment="1">
      <alignment vertical="center"/>
    </xf>
    <xf numFmtId="3" fontId="6" fillId="43" borderId="89" xfId="0" applyNumberFormat="1" applyFont="1" applyFill="1" applyBorder="1" applyAlignment="1">
      <alignment/>
    </xf>
    <xf numFmtId="3" fontId="7" fillId="0" borderId="89" xfId="0" applyNumberFormat="1" applyFont="1" applyFill="1" applyBorder="1" applyAlignment="1">
      <alignment/>
    </xf>
    <xf numFmtId="3" fontId="7" fillId="0" borderId="90" xfId="0" applyNumberFormat="1" applyFont="1" applyFill="1" applyBorder="1" applyAlignment="1">
      <alignment/>
    </xf>
    <xf numFmtId="3" fontId="46" fillId="54" borderId="91" xfId="0" applyNumberFormat="1" applyFont="1" applyFill="1" applyBorder="1" applyAlignment="1">
      <alignment/>
    </xf>
    <xf numFmtId="3" fontId="7" fillId="42" borderId="51" xfId="0" applyNumberFormat="1" applyFont="1" applyFill="1" applyBorder="1" applyAlignment="1">
      <alignment vertical="center"/>
    </xf>
    <xf numFmtId="3" fontId="6" fillId="43" borderId="10" xfId="0" applyNumberFormat="1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3" fontId="7" fillId="0" borderId="12" xfId="0" applyNumberFormat="1" applyFont="1" applyFill="1" applyBorder="1" applyAlignment="1">
      <alignment/>
    </xf>
    <xf numFmtId="3" fontId="46" fillId="54" borderId="32" xfId="0" applyNumberFormat="1" applyFont="1" applyFill="1" applyBorder="1" applyAlignment="1">
      <alignment/>
    </xf>
    <xf numFmtId="3" fontId="7" fillId="0" borderId="89" xfId="0" applyNumberFormat="1" applyFont="1" applyFill="1" applyBorder="1" applyAlignment="1">
      <alignment horizontal="right"/>
    </xf>
    <xf numFmtId="3" fontId="7" fillId="0" borderId="90" xfId="0" applyNumberFormat="1" applyFont="1" applyFill="1" applyBorder="1" applyAlignment="1">
      <alignment horizontal="right"/>
    </xf>
    <xf numFmtId="3" fontId="22" fillId="44" borderId="91" xfId="0" applyNumberFormat="1" applyFont="1" applyFill="1" applyBorder="1" applyAlignment="1">
      <alignment/>
    </xf>
    <xf numFmtId="3" fontId="22" fillId="44" borderId="32" xfId="0" applyNumberFormat="1" applyFont="1" applyFill="1" applyBorder="1" applyAlignment="1">
      <alignment/>
    </xf>
    <xf numFmtId="3" fontId="39" fillId="48" borderId="36" xfId="0" applyNumberFormat="1" applyFont="1" applyFill="1" applyBorder="1" applyAlignment="1">
      <alignment vertical="center"/>
    </xf>
    <xf numFmtId="3" fontId="22" fillId="48" borderId="48" xfId="0" applyNumberFormat="1" applyFont="1" applyFill="1" applyBorder="1" applyAlignment="1">
      <alignment/>
    </xf>
    <xf numFmtId="3" fontId="7" fillId="42" borderId="102" xfId="0" applyNumberFormat="1" applyFont="1" applyFill="1" applyBorder="1" applyAlignment="1">
      <alignment horizontal="right"/>
    </xf>
    <xf numFmtId="3" fontId="7" fillId="42" borderId="35" xfId="0" applyNumberFormat="1" applyFont="1" applyFill="1" applyBorder="1" applyAlignment="1">
      <alignment horizontal="right"/>
    </xf>
    <xf numFmtId="3" fontId="7" fillId="42" borderId="102" xfId="0" applyNumberFormat="1" applyFont="1" applyFill="1" applyBorder="1" applyAlignment="1">
      <alignment vertical="center"/>
    </xf>
    <xf numFmtId="3" fontId="7" fillId="42" borderId="35" xfId="0" applyNumberFormat="1" applyFont="1" applyFill="1" applyBorder="1" applyAlignment="1">
      <alignment vertical="center"/>
    </xf>
    <xf numFmtId="3" fontId="22" fillId="48" borderId="35" xfId="0" applyNumberFormat="1" applyFont="1" applyFill="1" applyBorder="1" applyAlignment="1">
      <alignment/>
    </xf>
    <xf numFmtId="3" fontId="6" fillId="43" borderId="35" xfId="0" applyNumberFormat="1" applyFont="1" applyFill="1" applyBorder="1" applyAlignment="1">
      <alignment horizontal="right"/>
    </xf>
    <xf numFmtId="3" fontId="7" fillId="42" borderId="37" xfId="0" applyNumberFormat="1" applyFont="1" applyFill="1" applyBorder="1" applyAlignment="1">
      <alignment horizontal="right"/>
    </xf>
    <xf numFmtId="3" fontId="22" fillId="48" borderId="103" xfId="0" applyNumberFormat="1" applyFont="1" applyFill="1" applyBorder="1" applyAlignment="1">
      <alignment/>
    </xf>
    <xf numFmtId="3" fontId="7" fillId="42" borderId="10" xfId="0" applyNumberFormat="1" applyFont="1" applyFill="1" applyBorder="1" applyAlignment="1">
      <alignment vertical="center"/>
    </xf>
    <xf numFmtId="3" fontId="18" fillId="42" borderId="90" xfId="0" applyNumberFormat="1" applyFont="1" applyFill="1" applyBorder="1" applyAlignment="1">
      <alignment/>
    </xf>
    <xf numFmtId="3" fontId="7" fillId="42" borderId="89" xfId="0" applyNumberFormat="1" applyFont="1" applyFill="1" applyBorder="1" applyAlignment="1">
      <alignment vertical="center"/>
    </xf>
    <xf numFmtId="3" fontId="6" fillId="0" borderId="89" xfId="0" applyNumberFormat="1" applyFont="1" applyFill="1" applyBorder="1" applyAlignment="1">
      <alignment/>
    </xf>
    <xf numFmtId="3" fontId="18" fillId="42" borderId="12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/>
    </xf>
    <xf numFmtId="3" fontId="98" fillId="44" borderId="20" xfId="0" applyNumberFormat="1" applyFont="1" applyFill="1" applyBorder="1" applyAlignment="1">
      <alignment/>
    </xf>
    <xf numFmtId="3" fontId="98" fillId="42" borderId="20" xfId="0" applyNumberFormat="1" applyFont="1" applyFill="1" applyBorder="1" applyAlignment="1">
      <alignment/>
    </xf>
    <xf numFmtId="3" fontId="7" fillId="42" borderId="22" xfId="0" applyNumberFormat="1" applyFont="1" applyFill="1" applyBorder="1" applyAlignment="1">
      <alignment horizontal="right" vertical="center"/>
    </xf>
    <xf numFmtId="3" fontId="7" fillId="42" borderId="20" xfId="0" applyNumberFormat="1" applyFont="1" applyFill="1" applyBorder="1" applyAlignment="1">
      <alignment horizontal="right" vertical="center"/>
    </xf>
    <xf numFmtId="3" fontId="8" fillId="13" borderId="39" xfId="0" applyNumberFormat="1" applyFont="1" applyFill="1" applyBorder="1" applyAlignment="1">
      <alignment horizontal="right"/>
    </xf>
    <xf numFmtId="3" fontId="6" fillId="13" borderId="39" xfId="0" applyNumberFormat="1" applyFont="1" applyFill="1" applyBorder="1" applyAlignment="1">
      <alignment horizontal="right"/>
    </xf>
    <xf numFmtId="3" fontId="7" fillId="13" borderId="22" xfId="0" applyNumberFormat="1" applyFont="1" applyFill="1" applyBorder="1" applyAlignment="1">
      <alignment horizontal="right"/>
    </xf>
    <xf numFmtId="3" fontId="18" fillId="42" borderId="90" xfId="0" applyNumberFormat="1" applyFont="1" applyFill="1" applyBorder="1" applyAlignment="1">
      <alignment vertical="center"/>
    </xf>
    <xf numFmtId="3" fontId="18" fillId="42" borderId="89" xfId="0" applyNumberFormat="1" applyFont="1" applyFill="1" applyBorder="1" applyAlignment="1">
      <alignment vertical="center"/>
    </xf>
    <xf numFmtId="3" fontId="18" fillId="42" borderId="91" xfId="0" applyNumberFormat="1" applyFont="1" applyFill="1" applyBorder="1" applyAlignment="1">
      <alignment/>
    </xf>
    <xf numFmtId="3" fontId="18" fillId="42" borderId="12" xfId="0" applyNumberFormat="1" applyFont="1" applyFill="1" applyBorder="1" applyAlignment="1">
      <alignment vertical="center"/>
    </xf>
    <xf numFmtId="3" fontId="18" fillId="42" borderId="10" xfId="0" applyNumberFormat="1" applyFont="1" applyFill="1" applyBorder="1" applyAlignment="1">
      <alignment vertical="center"/>
    </xf>
    <xf numFmtId="3" fontId="18" fillId="42" borderId="32" xfId="0" applyNumberFormat="1" applyFont="1" applyFill="1" applyBorder="1" applyAlignment="1">
      <alignment/>
    </xf>
    <xf numFmtId="3" fontId="8" fillId="47" borderId="88" xfId="0" applyNumberFormat="1" applyFont="1" applyFill="1" applyBorder="1" applyAlignment="1">
      <alignment/>
    </xf>
    <xf numFmtId="3" fontId="8" fillId="47" borderId="89" xfId="0" applyNumberFormat="1" applyFont="1" applyFill="1" applyBorder="1" applyAlignment="1">
      <alignment/>
    </xf>
    <xf numFmtId="3" fontId="18" fillId="43" borderId="88" xfId="0" applyNumberFormat="1" applyFont="1" applyFill="1" applyBorder="1" applyAlignment="1">
      <alignment/>
    </xf>
    <xf numFmtId="3" fontId="18" fillId="0" borderId="89" xfId="0" applyNumberFormat="1" applyFont="1" applyFill="1" applyBorder="1" applyAlignment="1">
      <alignment/>
    </xf>
    <xf numFmtId="3" fontId="18" fillId="42" borderId="88" xfId="0" applyNumberFormat="1" applyFont="1" applyFill="1" applyBorder="1" applyAlignment="1">
      <alignment vertical="center"/>
    </xf>
    <xf numFmtId="3" fontId="8" fillId="43" borderId="88" xfId="0" applyNumberFormat="1" applyFont="1" applyFill="1" applyBorder="1" applyAlignment="1">
      <alignment/>
    </xf>
    <xf numFmtId="3" fontId="8" fillId="47" borderId="51" xfId="0" applyNumberFormat="1" applyFont="1" applyFill="1" applyBorder="1" applyAlignment="1">
      <alignment/>
    </xf>
    <xf numFmtId="3" fontId="8" fillId="47" borderId="10" xfId="0" applyNumberFormat="1" applyFont="1" applyFill="1" applyBorder="1" applyAlignment="1">
      <alignment/>
    </xf>
    <xf numFmtId="3" fontId="18" fillId="43" borderId="51" xfId="0" applyNumberFormat="1" applyFont="1" applyFill="1" applyBorder="1" applyAlignment="1">
      <alignment/>
    </xf>
    <xf numFmtId="3" fontId="18" fillId="0" borderId="10" xfId="0" applyNumberFormat="1" applyFont="1" applyFill="1" applyBorder="1" applyAlignment="1">
      <alignment/>
    </xf>
    <xf numFmtId="3" fontId="18" fillId="42" borderId="51" xfId="0" applyNumberFormat="1" applyFont="1" applyFill="1" applyBorder="1" applyAlignment="1">
      <alignment vertical="center"/>
    </xf>
    <xf numFmtId="3" fontId="8" fillId="43" borderId="51" xfId="0" applyNumberFormat="1" applyFont="1" applyFill="1" applyBorder="1" applyAlignment="1">
      <alignment/>
    </xf>
    <xf numFmtId="164" fontId="4" fillId="0" borderId="82" xfId="0" applyNumberFormat="1" applyFont="1" applyFill="1" applyBorder="1" applyAlignment="1">
      <alignment horizontal="right" vertical="center"/>
    </xf>
    <xf numFmtId="3" fontId="22" fillId="44" borderId="47" xfId="0" applyNumberFormat="1" applyFont="1" applyFill="1" applyBorder="1" applyAlignment="1">
      <alignment/>
    </xf>
    <xf numFmtId="3" fontId="22" fillId="44" borderId="13" xfId="0" applyNumberFormat="1" applyFont="1" applyFill="1" applyBorder="1" applyAlignment="1">
      <alignment/>
    </xf>
    <xf numFmtId="3" fontId="8" fillId="43" borderId="59" xfId="0" applyNumberFormat="1" applyFont="1" applyFill="1" applyBorder="1" applyAlignment="1">
      <alignment horizontal="right"/>
    </xf>
    <xf numFmtId="3" fontId="8" fillId="43" borderId="13" xfId="0" applyNumberFormat="1" applyFont="1" applyFill="1" applyBorder="1" applyAlignment="1">
      <alignment horizontal="right"/>
    </xf>
    <xf numFmtId="3" fontId="39" fillId="54" borderId="17" xfId="0" applyNumberFormat="1" applyFont="1" applyFill="1" applyBorder="1" applyAlignment="1">
      <alignment vertical="center"/>
    </xf>
    <xf numFmtId="3" fontId="46" fillId="54" borderId="20" xfId="0" applyNumberFormat="1" applyFont="1" applyFill="1" applyBorder="1" applyAlignment="1">
      <alignment/>
    </xf>
    <xf numFmtId="3" fontId="18" fillId="42" borderId="39" xfId="0" applyNumberFormat="1" applyFont="1" applyFill="1" applyBorder="1" applyAlignment="1">
      <alignment/>
    </xf>
    <xf numFmtId="3" fontId="46" fillId="54" borderId="22" xfId="0" applyNumberFormat="1" applyFont="1" applyFill="1" applyBorder="1" applyAlignment="1">
      <alignment/>
    </xf>
    <xf numFmtId="3" fontId="8" fillId="43" borderId="39" xfId="0" applyNumberFormat="1" applyFont="1" applyFill="1" applyBorder="1" applyAlignment="1">
      <alignment/>
    </xf>
    <xf numFmtId="3" fontId="18" fillId="42" borderId="22" xfId="0" applyNumberFormat="1" applyFont="1" applyFill="1" applyBorder="1" applyAlignment="1">
      <alignment/>
    </xf>
    <xf numFmtId="3" fontId="8" fillId="43" borderId="22" xfId="0" applyNumberFormat="1" applyFont="1" applyFill="1" applyBorder="1" applyAlignment="1">
      <alignment/>
    </xf>
    <xf numFmtId="3" fontId="18" fillId="42" borderId="20" xfId="0" applyNumberFormat="1" applyFont="1" applyFill="1" applyBorder="1" applyAlignment="1">
      <alignment/>
    </xf>
    <xf numFmtId="3" fontId="18" fillId="42" borderId="30" xfId="0" applyNumberFormat="1" applyFont="1" applyFill="1" applyBorder="1" applyAlignment="1">
      <alignment/>
    </xf>
    <xf numFmtId="3" fontId="39" fillId="54" borderId="23" xfId="0" applyNumberFormat="1" applyFont="1" applyFill="1" applyBorder="1" applyAlignment="1">
      <alignment vertical="center"/>
    </xf>
    <xf numFmtId="3" fontId="46" fillId="54" borderId="11" xfId="0" applyNumberFormat="1" applyFont="1" applyFill="1" applyBorder="1" applyAlignment="1">
      <alignment/>
    </xf>
    <xf numFmtId="3" fontId="18" fillId="42" borderId="59" xfId="0" applyNumberFormat="1" applyFont="1" applyFill="1" applyBorder="1" applyAlignment="1">
      <alignment/>
    </xf>
    <xf numFmtId="3" fontId="46" fillId="54" borderId="13" xfId="0" applyNumberFormat="1" applyFont="1" applyFill="1" applyBorder="1" applyAlignment="1">
      <alignment/>
    </xf>
    <xf numFmtId="3" fontId="8" fillId="43" borderId="59" xfId="0" applyNumberFormat="1" applyFont="1" applyFill="1" applyBorder="1" applyAlignment="1">
      <alignment/>
    </xf>
    <xf numFmtId="3" fontId="18" fillId="42" borderId="13" xfId="0" applyNumberFormat="1" applyFont="1" applyFill="1" applyBorder="1" applyAlignment="1">
      <alignment/>
    </xf>
    <xf numFmtId="3" fontId="8" fillId="43" borderId="13" xfId="0" applyNumberFormat="1" applyFont="1" applyFill="1" applyBorder="1" applyAlignment="1">
      <alignment/>
    </xf>
    <xf numFmtId="3" fontId="18" fillId="42" borderId="11" xfId="0" applyNumberFormat="1" applyFont="1" applyFill="1" applyBorder="1" applyAlignment="1">
      <alignment/>
    </xf>
    <xf numFmtId="3" fontId="18" fillId="42" borderId="33" xfId="0" applyNumberFormat="1" applyFont="1" applyFill="1" applyBorder="1" applyAlignment="1">
      <alignment/>
    </xf>
    <xf numFmtId="3" fontId="39" fillId="44" borderId="41" xfId="0" applyNumberFormat="1" applyFont="1" applyFill="1" applyBorder="1" applyAlignment="1">
      <alignment vertical="center"/>
    </xf>
    <xf numFmtId="3" fontId="6" fillId="47" borderId="59" xfId="0" applyNumberFormat="1" applyFont="1" applyFill="1" applyBorder="1" applyAlignment="1">
      <alignment horizontal="right"/>
    </xf>
    <xf numFmtId="3" fontId="6" fillId="42" borderId="59" xfId="0" applyNumberFormat="1" applyFont="1" applyFill="1" applyBorder="1" applyAlignment="1">
      <alignment horizontal="right"/>
    </xf>
    <xf numFmtId="3" fontId="45" fillId="44" borderId="13" xfId="0" applyNumberFormat="1" applyFont="1" applyFill="1" applyBorder="1" applyAlignment="1">
      <alignment/>
    </xf>
    <xf numFmtId="3" fontId="45" fillId="44" borderId="11" xfId="0" applyNumberFormat="1" applyFont="1" applyFill="1" applyBorder="1" applyAlignment="1">
      <alignment/>
    </xf>
    <xf numFmtId="3" fontId="7" fillId="47" borderId="13" xfId="0" applyNumberFormat="1" applyFont="1" applyFill="1" applyBorder="1" applyAlignment="1">
      <alignment horizontal="right"/>
    </xf>
    <xf numFmtId="3" fontId="7" fillId="43" borderId="59" xfId="0" applyNumberFormat="1" applyFont="1" applyFill="1" applyBorder="1" applyAlignment="1">
      <alignment horizontal="right"/>
    </xf>
    <xf numFmtId="3" fontId="7" fillId="42" borderId="59" xfId="0" applyNumberFormat="1" applyFont="1" applyFill="1" applyBorder="1" applyAlignment="1">
      <alignment horizontal="right" vertical="center"/>
    </xf>
    <xf numFmtId="0" fontId="4" fillId="42" borderId="37" xfId="0" applyFont="1" applyFill="1" applyBorder="1" applyAlignment="1">
      <alignment horizontal="center"/>
    </xf>
    <xf numFmtId="0" fontId="4" fillId="42" borderId="103" xfId="0" applyFont="1" applyFill="1" applyBorder="1" applyAlignment="1">
      <alignment horizontal="center"/>
    </xf>
    <xf numFmtId="0" fontId="26" fillId="39" borderId="104" xfId="0" applyFont="1" applyFill="1" applyBorder="1" applyAlignment="1">
      <alignment vertical="center" wrapText="1"/>
    </xf>
    <xf numFmtId="49" fontId="100" fillId="52" borderId="55" xfId="0" applyNumberFormat="1" applyFont="1" applyFill="1" applyBorder="1" applyAlignment="1">
      <alignment horizontal="center" vertical="center" wrapText="1"/>
    </xf>
    <xf numFmtId="3" fontId="98" fillId="52" borderId="16" xfId="0" applyNumberFormat="1" applyFont="1" applyFill="1" applyBorder="1" applyAlignment="1">
      <alignment horizontal="right"/>
    </xf>
    <xf numFmtId="4" fontId="37" fillId="42" borderId="14" xfId="0" applyNumberFormat="1" applyFont="1" applyFill="1" applyBorder="1" applyAlignment="1">
      <alignment horizontal="right"/>
    </xf>
    <xf numFmtId="3" fontId="37" fillId="5" borderId="14" xfId="0" applyNumberFormat="1" applyFont="1" applyFill="1" applyBorder="1" applyAlignment="1">
      <alignment horizontal="right"/>
    </xf>
    <xf numFmtId="3" fontId="98" fillId="52" borderId="50" xfId="0" applyNumberFormat="1" applyFont="1" applyFill="1" applyBorder="1" applyAlignment="1">
      <alignment horizontal="right" vertical="center"/>
    </xf>
    <xf numFmtId="3" fontId="98" fillId="52" borderId="16" xfId="0" applyNumberFormat="1" applyFont="1" applyFill="1" applyBorder="1" applyAlignment="1">
      <alignment horizontal="right" vertical="center"/>
    </xf>
    <xf numFmtId="4" fontId="98" fillId="52" borderId="50" xfId="0" applyNumberFormat="1" applyFont="1" applyFill="1" applyBorder="1" applyAlignment="1">
      <alignment horizontal="center" vertical="center"/>
    </xf>
    <xf numFmtId="4" fontId="98" fillId="52" borderId="16" xfId="0" applyNumberFormat="1" applyFont="1" applyFill="1" applyBorder="1" applyAlignment="1">
      <alignment horizontal="center" vertical="center"/>
    </xf>
    <xf numFmtId="3" fontId="98" fillId="52" borderId="18" xfId="0" applyNumberFormat="1" applyFont="1" applyFill="1" applyBorder="1" applyAlignment="1">
      <alignment horizontal="right" vertical="center"/>
    </xf>
    <xf numFmtId="0" fontId="99" fillId="51" borderId="105" xfId="0" applyFont="1" applyFill="1" applyBorder="1" applyAlignment="1">
      <alignment horizontal="left"/>
    </xf>
    <xf numFmtId="3" fontId="22" fillId="52" borderId="35" xfId="0" applyNumberFormat="1" applyFont="1" applyFill="1" applyBorder="1" applyAlignment="1">
      <alignment horizontal="right"/>
    </xf>
    <xf numFmtId="3" fontId="20" fillId="49" borderId="35" xfId="0" applyNumberFormat="1" applyFont="1" applyFill="1" applyBorder="1" applyAlignment="1">
      <alignment horizontal="right"/>
    </xf>
    <xf numFmtId="3" fontId="37" fillId="42" borderId="35" xfId="0" applyNumberFormat="1" applyFont="1" applyFill="1" applyBorder="1" applyAlignment="1">
      <alignment horizontal="right"/>
    </xf>
    <xf numFmtId="3" fontId="20" fillId="49" borderId="102" xfId="0" applyNumberFormat="1" applyFont="1" applyFill="1" applyBorder="1" applyAlignment="1">
      <alignment horizontal="right"/>
    </xf>
    <xf numFmtId="3" fontId="22" fillId="52" borderId="60" xfId="0" applyNumberFormat="1" applyFont="1" applyFill="1" applyBorder="1" applyAlignment="1">
      <alignment horizontal="right"/>
    </xf>
    <xf numFmtId="0" fontId="19" fillId="0" borderId="106" xfId="0" applyFont="1" applyFill="1" applyBorder="1" applyAlignment="1">
      <alignment horizontal="left"/>
    </xf>
    <xf numFmtId="3" fontId="98" fillId="52" borderId="12" xfId="0" applyNumberFormat="1" applyFont="1" applyFill="1" applyBorder="1" applyAlignment="1">
      <alignment horizontal="right"/>
    </xf>
    <xf numFmtId="4" fontId="37" fillId="42" borderId="10" xfId="0" applyNumberFormat="1" applyFont="1" applyFill="1" applyBorder="1" applyAlignment="1">
      <alignment horizontal="right"/>
    </xf>
    <xf numFmtId="3" fontId="37" fillId="5" borderId="10" xfId="0" applyNumberFormat="1" applyFont="1" applyFill="1" applyBorder="1" applyAlignment="1">
      <alignment horizontal="right"/>
    </xf>
    <xf numFmtId="3" fontId="98" fillId="52" borderId="51" xfId="0" applyNumberFormat="1" applyFont="1" applyFill="1" applyBorder="1" applyAlignment="1">
      <alignment horizontal="right" vertical="center"/>
    </xf>
    <xf numFmtId="3" fontId="98" fillId="52" borderId="12" xfId="0" applyNumberFormat="1" applyFont="1" applyFill="1" applyBorder="1" applyAlignment="1">
      <alignment horizontal="right" vertical="center"/>
    </xf>
    <xf numFmtId="4" fontId="98" fillId="52" borderId="51" xfId="0" applyNumberFormat="1" applyFont="1" applyFill="1" applyBorder="1" applyAlignment="1">
      <alignment horizontal="center" vertical="center"/>
    </xf>
    <xf numFmtId="4" fontId="98" fillId="52" borderId="12" xfId="0" applyNumberFormat="1" applyFont="1" applyFill="1" applyBorder="1" applyAlignment="1">
      <alignment horizontal="center" vertical="center"/>
    </xf>
    <xf numFmtId="3" fontId="98" fillId="52" borderId="32" xfId="0" applyNumberFormat="1" applyFont="1" applyFill="1" applyBorder="1" applyAlignment="1">
      <alignment horizontal="right" vertical="center"/>
    </xf>
    <xf numFmtId="0" fontId="0" fillId="42" borderId="21" xfId="0" applyFill="1" applyBorder="1" applyAlignment="1">
      <alignment/>
    </xf>
    <xf numFmtId="0" fontId="99" fillId="51" borderId="107" xfId="0" applyFont="1" applyFill="1" applyBorder="1" applyAlignment="1">
      <alignment horizontal="left"/>
    </xf>
    <xf numFmtId="3" fontId="22" fillId="52" borderId="10" xfId="0" applyNumberFormat="1" applyFont="1" applyFill="1" applyBorder="1" applyAlignment="1">
      <alignment horizontal="right"/>
    </xf>
    <xf numFmtId="3" fontId="20" fillId="49" borderId="10" xfId="0" applyNumberFormat="1" applyFont="1" applyFill="1" applyBorder="1" applyAlignment="1">
      <alignment horizontal="right"/>
    </xf>
    <xf numFmtId="3" fontId="37" fillId="42" borderId="10" xfId="0" applyNumberFormat="1" applyFont="1" applyFill="1" applyBorder="1" applyAlignment="1">
      <alignment horizontal="right"/>
    </xf>
    <xf numFmtId="3" fontId="20" fillId="49" borderId="51" xfId="0" applyNumberFormat="1" applyFont="1" applyFill="1" applyBorder="1" applyAlignment="1">
      <alignment horizontal="right"/>
    </xf>
    <xf numFmtId="3" fontId="22" fillId="52" borderId="46" xfId="0" applyNumberFormat="1" applyFont="1" applyFill="1" applyBorder="1" applyAlignment="1">
      <alignment horizontal="right"/>
    </xf>
    <xf numFmtId="49" fontId="2" fillId="0" borderId="95" xfId="0" applyNumberFormat="1" applyFont="1" applyFill="1" applyBorder="1" applyAlignment="1">
      <alignment horizontal="center" vertical="center" wrapText="1"/>
    </xf>
    <xf numFmtId="164" fontId="4" fillId="42" borderId="82" xfId="0" applyNumberFormat="1" applyFont="1" applyFill="1" applyBorder="1" applyAlignment="1">
      <alignment horizontal="right"/>
    </xf>
    <xf numFmtId="164" fontId="4" fillId="42" borderId="77" xfId="0" applyNumberFormat="1" applyFont="1" applyFill="1" applyBorder="1" applyAlignment="1">
      <alignment horizontal="right"/>
    </xf>
    <xf numFmtId="164" fontId="4" fillId="42" borderId="76" xfId="0" applyNumberFormat="1" applyFont="1" applyFill="1" applyBorder="1" applyAlignment="1">
      <alignment horizontal="right"/>
    </xf>
    <xf numFmtId="164" fontId="4" fillId="42" borderId="84" xfId="0" applyNumberFormat="1" applyFont="1" applyFill="1" applyBorder="1" applyAlignment="1">
      <alignment horizontal="right"/>
    </xf>
    <xf numFmtId="164" fontId="4" fillId="0" borderId="82" xfId="0" applyNumberFormat="1" applyFont="1" applyFill="1" applyBorder="1" applyAlignment="1">
      <alignment horizontal="right"/>
    </xf>
    <xf numFmtId="164" fontId="4" fillId="0" borderId="108" xfId="0" applyNumberFormat="1" applyFont="1" applyFill="1" applyBorder="1" applyAlignment="1">
      <alignment horizontal="right"/>
    </xf>
    <xf numFmtId="164" fontId="4" fillId="0" borderId="82" xfId="0" applyNumberFormat="1" applyFont="1" applyFill="1" applyBorder="1" applyAlignment="1">
      <alignment horizontal="right"/>
    </xf>
    <xf numFmtId="164" fontId="4" fillId="0" borderId="84" xfId="0" applyNumberFormat="1" applyFont="1" applyFill="1" applyBorder="1" applyAlignment="1">
      <alignment horizontal="right"/>
    </xf>
    <xf numFmtId="0" fontId="27" fillId="8" borderId="37" xfId="0" applyFont="1" applyFill="1" applyBorder="1" applyAlignment="1">
      <alignment/>
    </xf>
    <xf numFmtId="0" fontId="27" fillId="8" borderId="35" xfId="0" applyFont="1" applyFill="1" applyBorder="1" applyAlignment="1">
      <alignment/>
    </xf>
    <xf numFmtId="0" fontId="18" fillId="0" borderId="35" xfId="0" applyFont="1" applyBorder="1" applyAlignment="1">
      <alignment/>
    </xf>
    <xf numFmtId="0" fontId="59" fillId="0" borderId="35" xfId="0" applyFont="1" applyBorder="1" applyAlignment="1">
      <alignment horizontal="left"/>
    </xf>
    <xf numFmtId="0" fontId="59" fillId="0" borderId="35" xfId="0" applyFont="1" applyBorder="1" applyAlignment="1">
      <alignment/>
    </xf>
    <xf numFmtId="0" fontId="9" fillId="8" borderId="103" xfId="0" applyFont="1" applyFill="1" applyBorder="1" applyAlignment="1">
      <alignment horizontal="left" vertical="center"/>
    </xf>
    <xf numFmtId="49" fontId="2" fillId="0" borderId="83" xfId="0" applyNumberFormat="1" applyFont="1" applyFill="1" applyBorder="1" applyAlignment="1">
      <alignment horizontal="center" vertical="center" wrapText="1"/>
    </xf>
    <xf numFmtId="164" fontId="4" fillId="0" borderId="80" xfId="0" applyNumberFormat="1" applyFont="1" applyFill="1" applyBorder="1" applyAlignment="1">
      <alignment horizontal="right" vertical="center"/>
    </xf>
    <xf numFmtId="0" fontId="26" fillId="39" borderId="109" xfId="0" applyFont="1" applyFill="1" applyBorder="1" applyAlignment="1">
      <alignment vertical="center" wrapText="1"/>
    </xf>
    <xf numFmtId="49" fontId="100" fillId="52" borderId="61" xfId="0" applyNumberFormat="1" applyFont="1" applyFill="1" applyBorder="1" applyAlignment="1">
      <alignment horizontal="center" vertical="center" wrapText="1"/>
    </xf>
    <xf numFmtId="3" fontId="98" fillId="52" borderId="90" xfId="0" applyNumberFormat="1" applyFont="1" applyFill="1" applyBorder="1" applyAlignment="1">
      <alignment horizontal="right"/>
    </xf>
    <xf numFmtId="3" fontId="98" fillId="52" borderId="89" xfId="0" applyNumberFormat="1" applyFont="1" applyFill="1" applyBorder="1" applyAlignment="1">
      <alignment horizontal="right"/>
    </xf>
    <xf numFmtId="4" fontId="37" fillId="42" borderId="89" xfId="0" applyNumberFormat="1" applyFont="1" applyFill="1" applyBorder="1" applyAlignment="1">
      <alignment horizontal="right"/>
    </xf>
    <xf numFmtId="3" fontId="37" fillId="5" borderId="89" xfId="0" applyNumberFormat="1" applyFont="1" applyFill="1" applyBorder="1" applyAlignment="1">
      <alignment horizontal="right"/>
    </xf>
    <xf numFmtId="4" fontId="98" fillId="52" borderId="88" xfId="0" applyNumberFormat="1" applyFont="1" applyFill="1" applyBorder="1" applyAlignment="1">
      <alignment horizontal="right"/>
    </xf>
    <xf numFmtId="4" fontId="98" fillId="52" borderId="90" xfId="0" applyNumberFormat="1" applyFont="1" applyFill="1" applyBorder="1" applyAlignment="1">
      <alignment horizontal="right"/>
    </xf>
    <xf numFmtId="4" fontId="98" fillId="52" borderId="91" xfId="0" applyNumberFormat="1" applyFont="1" applyFill="1" applyBorder="1" applyAlignment="1">
      <alignment horizontal="right"/>
    </xf>
    <xf numFmtId="3" fontId="98" fillId="9" borderId="12" xfId="0" applyNumberFormat="1" applyFont="1" applyFill="1" applyBorder="1" applyAlignment="1">
      <alignment horizontal="right"/>
    </xf>
    <xf numFmtId="3" fontId="98" fillId="9" borderId="10" xfId="0" applyNumberFormat="1" applyFont="1" applyFill="1" applyBorder="1" applyAlignment="1">
      <alignment horizontal="right"/>
    </xf>
    <xf numFmtId="4" fontId="98" fillId="9" borderId="51" xfId="0" applyNumberFormat="1" applyFont="1" applyFill="1" applyBorder="1" applyAlignment="1">
      <alignment horizontal="right"/>
    </xf>
    <xf numFmtId="4" fontId="98" fillId="9" borderId="12" xfId="0" applyNumberFormat="1" applyFont="1" applyFill="1" applyBorder="1" applyAlignment="1">
      <alignment horizontal="right"/>
    </xf>
    <xf numFmtId="4" fontId="98" fillId="9" borderId="32" xfId="0" applyNumberFormat="1" applyFont="1" applyFill="1" applyBorder="1" applyAlignment="1">
      <alignment horizontal="right"/>
    </xf>
    <xf numFmtId="49" fontId="3" fillId="0" borderId="10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/>
    </xf>
    <xf numFmtId="0" fontId="4" fillId="0" borderId="78" xfId="0" applyFont="1" applyFill="1" applyBorder="1" applyAlignment="1">
      <alignment horizontal="center" vertical="center" wrapText="1"/>
    </xf>
    <xf numFmtId="0" fontId="4" fillId="0" borderId="62" xfId="0" applyFont="1" applyFill="1" applyBorder="1" applyAlignment="1">
      <alignment horizontal="center" vertical="center" wrapText="1"/>
    </xf>
    <xf numFmtId="0" fontId="4" fillId="0" borderId="63" xfId="0" applyFont="1" applyFill="1" applyBorder="1" applyAlignment="1">
      <alignment horizontal="center" vertical="center" wrapText="1"/>
    </xf>
    <xf numFmtId="0" fontId="22" fillId="53" borderId="78" xfId="0" applyFont="1" applyFill="1" applyBorder="1" applyAlignment="1">
      <alignment horizontal="center" vertical="center" wrapText="1"/>
    </xf>
    <xf numFmtId="0" fontId="22" fillId="53" borderId="62" xfId="0" applyFont="1" applyFill="1" applyBorder="1" applyAlignment="1">
      <alignment horizontal="center" vertical="center" wrapText="1"/>
    </xf>
    <xf numFmtId="0" fontId="22" fillId="53" borderId="63" xfId="0" applyFont="1" applyFill="1" applyBorder="1" applyAlignment="1">
      <alignment horizontal="center" vertical="center" wrapText="1"/>
    </xf>
    <xf numFmtId="49" fontId="61" fillId="42" borderId="0" xfId="0" applyNumberFormat="1" applyFont="1" applyFill="1" applyBorder="1" applyAlignment="1">
      <alignment horizontal="center" vertical="center" wrapText="1"/>
    </xf>
    <xf numFmtId="49" fontId="50" fillId="37" borderId="110" xfId="0" applyNumberFormat="1" applyFont="1" applyFill="1" applyBorder="1" applyAlignment="1">
      <alignment horizontal="left" vertical="center"/>
    </xf>
    <xf numFmtId="49" fontId="50" fillId="37" borderId="34" xfId="0" applyNumberFormat="1" applyFont="1" applyFill="1" applyBorder="1" applyAlignment="1">
      <alignment horizontal="left" vertical="center"/>
    </xf>
    <xf numFmtId="49" fontId="50" fillId="37" borderId="90" xfId="0" applyNumberFormat="1" applyFont="1" applyFill="1" applyBorder="1" applyAlignment="1">
      <alignment horizontal="left" vertical="center"/>
    </xf>
    <xf numFmtId="49" fontId="50" fillId="37" borderId="16" xfId="0" applyNumberFormat="1" applyFont="1" applyFill="1" applyBorder="1" applyAlignment="1">
      <alignment horizontal="left" vertical="center"/>
    </xf>
    <xf numFmtId="0" fontId="22" fillId="53" borderId="111" xfId="0" applyFont="1" applyFill="1" applyBorder="1" applyAlignment="1">
      <alignment horizontal="center" vertical="center" wrapText="1"/>
    </xf>
    <xf numFmtId="0" fontId="22" fillId="53" borderId="112" xfId="0" applyFont="1" applyFill="1" applyBorder="1" applyAlignment="1">
      <alignment horizontal="center" vertical="center" wrapText="1"/>
    </xf>
    <xf numFmtId="0" fontId="22" fillId="53" borderId="113" xfId="0" applyFont="1" applyFill="1" applyBorder="1" applyAlignment="1">
      <alignment horizontal="center" vertical="center" wrapText="1"/>
    </xf>
    <xf numFmtId="49" fontId="41" fillId="37" borderId="21" xfId="0" applyNumberFormat="1" applyFont="1" applyFill="1" applyBorder="1" applyAlignment="1">
      <alignment horizontal="center" vertical="center" wrapText="1"/>
    </xf>
    <xf numFmtId="49" fontId="41" fillId="37" borderId="24" xfId="0" applyNumberFormat="1" applyFont="1" applyFill="1" applyBorder="1" applyAlignment="1">
      <alignment horizontal="center" vertical="center" wrapText="1"/>
    </xf>
    <xf numFmtId="49" fontId="51" fillId="37" borderId="34" xfId="0" applyNumberFormat="1" applyFont="1" applyFill="1" applyBorder="1" applyAlignment="1">
      <alignment vertical="center"/>
    </xf>
    <xf numFmtId="49" fontId="51" fillId="37" borderId="78" xfId="0" applyNumberFormat="1" applyFont="1" applyFill="1" applyBorder="1" applyAlignment="1">
      <alignment vertical="center"/>
    </xf>
    <xf numFmtId="49" fontId="51" fillId="37" borderId="90" xfId="0" applyNumberFormat="1" applyFont="1" applyFill="1" applyBorder="1" applyAlignment="1">
      <alignment vertical="center"/>
    </xf>
    <xf numFmtId="49" fontId="51" fillId="37" borderId="16" xfId="0" applyNumberFormat="1" applyFont="1" applyFill="1" applyBorder="1" applyAlignment="1">
      <alignment vertical="center"/>
    </xf>
    <xf numFmtId="49" fontId="51" fillId="37" borderId="64" xfId="0" applyNumberFormat="1" applyFont="1" applyFill="1" applyBorder="1" applyAlignment="1">
      <alignment vertical="center"/>
    </xf>
    <xf numFmtId="49" fontId="41" fillId="37" borderId="51" xfId="0" applyNumberFormat="1" applyFont="1" applyFill="1" applyBorder="1" applyAlignment="1">
      <alignment horizontal="center" vertical="center" wrapText="1"/>
    </xf>
    <xf numFmtId="0" fontId="45" fillId="44" borderId="114" xfId="0" applyFont="1" applyFill="1" applyBorder="1" applyAlignment="1">
      <alignment horizontal="center" vertical="center" wrapText="1"/>
    </xf>
    <xf numFmtId="0" fontId="45" fillId="44" borderId="17" xfId="0" applyFont="1" applyFill="1" applyBorder="1" applyAlignment="1">
      <alignment horizontal="center" vertical="center" wrapText="1"/>
    </xf>
    <xf numFmtId="0" fontId="45" fillId="44" borderId="69" xfId="0" applyFont="1" applyFill="1" applyBorder="1" applyAlignment="1">
      <alignment horizontal="center" vertical="center" wrapText="1"/>
    </xf>
    <xf numFmtId="0" fontId="45" fillId="44" borderId="23" xfId="0" applyFont="1" applyFill="1" applyBorder="1" applyAlignment="1">
      <alignment horizontal="center" vertical="center" wrapText="1"/>
    </xf>
    <xf numFmtId="0" fontId="4" fillId="0" borderId="93" xfId="0" applyFont="1" applyFill="1" applyBorder="1" applyAlignment="1">
      <alignment horizontal="center" vertical="center" wrapText="1"/>
    </xf>
    <xf numFmtId="0" fontId="4" fillId="0" borderId="81" xfId="0" applyFont="1" applyFill="1" applyBorder="1" applyAlignment="1">
      <alignment horizontal="center" vertical="center" wrapText="1"/>
    </xf>
    <xf numFmtId="49" fontId="53" fillId="41" borderId="61" xfId="0" applyNumberFormat="1" applyFont="1" applyFill="1" applyBorder="1" applyAlignment="1">
      <alignment horizontal="center"/>
    </xf>
    <xf numFmtId="49" fontId="53" fillId="41" borderId="55" xfId="0" applyNumberFormat="1" applyFont="1" applyFill="1" applyBorder="1" applyAlignment="1">
      <alignment horizontal="center"/>
    </xf>
    <xf numFmtId="49" fontId="53" fillId="41" borderId="34" xfId="0" applyNumberFormat="1" applyFont="1" applyFill="1" applyBorder="1" applyAlignment="1">
      <alignment horizontal="center"/>
    </xf>
    <xf numFmtId="49" fontId="22" fillId="54" borderId="115" xfId="0" applyNumberFormat="1" applyFont="1" applyFill="1" applyBorder="1" applyAlignment="1">
      <alignment horizontal="center" vertical="center" wrapText="1"/>
    </xf>
    <xf numFmtId="0" fontId="54" fillId="54" borderId="15" xfId="0" applyFont="1" applyFill="1" applyBorder="1" applyAlignment="1">
      <alignment horizontal="center" wrapText="1"/>
    </xf>
    <xf numFmtId="0" fontId="54" fillId="54" borderId="17" xfId="0" applyFont="1" applyFill="1" applyBorder="1" applyAlignment="1">
      <alignment horizontal="center" wrapText="1"/>
    </xf>
    <xf numFmtId="49" fontId="22" fillId="54" borderId="116" xfId="0" applyNumberFormat="1" applyFont="1" applyFill="1" applyBorder="1" applyAlignment="1">
      <alignment horizontal="center" vertical="center" wrapText="1"/>
    </xf>
    <xf numFmtId="0" fontId="54" fillId="54" borderId="19" xfId="0" applyFont="1" applyFill="1" applyBorder="1" applyAlignment="1">
      <alignment horizontal="center" wrapText="1"/>
    </xf>
    <xf numFmtId="0" fontId="54" fillId="54" borderId="23" xfId="0" applyFont="1" applyFill="1" applyBorder="1" applyAlignment="1">
      <alignment horizontal="center" wrapText="1"/>
    </xf>
    <xf numFmtId="0" fontId="4" fillId="35" borderId="21" xfId="0" applyFont="1" applyFill="1" applyBorder="1" applyAlignment="1">
      <alignment horizontal="center" vertical="center" textRotation="180" wrapText="1"/>
    </xf>
    <xf numFmtId="0" fontId="4" fillId="35" borderId="24" xfId="0" applyFont="1" applyFill="1" applyBorder="1" applyAlignment="1">
      <alignment horizontal="center" vertical="center" textRotation="180" wrapText="1"/>
    </xf>
    <xf numFmtId="0" fontId="103" fillId="52" borderId="117" xfId="0" applyFont="1" applyFill="1" applyBorder="1" applyAlignment="1">
      <alignment horizontal="center" vertical="center" wrapText="1"/>
    </xf>
    <xf numFmtId="0" fontId="103" fillId="52" borderId="24" xfId="0" applyFont="1" applyFill="1" applyBorder="1" applyAlignment="1">
      <alignment horizontal="center" vertical="center" wrapText="1"/>
    </xf>
    <xf numFmtId="0" fontId="103" fillId="52" borderId="21" xfId="0" applyFont="1" applyFill="1" applyBorder="1" applyAlignment="1">
      <alignment horizontal="center" vertical="center" wrapText="1"/>
    </xf>
    <xf numFmtId="0" fontId="20" fillId="13" borderId="35" xfId="0" applyFont="1" applyFill="1" applyBorder="1" applyAlignment="1">
      <alignment horizontal="left"/>
    </xf>
    <xf numFmtId="0" fontId="20" fillId="13" borderId="14" xfId="0" applyFont="1" applyFill="1" applyBorder="1" applyAlignment="1">
      <alignment horizontal="left"/>
    </xf>
    <xf numFmtId="0" fontId="20" fillId="13" borderId="13" xfId="0" applyFont="1" applyFill="1" applyBorder="1" applyAlignment="1">
      <alignment horizontal="left"/>
    </xf>
    <xf numFmtId="49" fontId="22" fillId="54" borderId="110" xfId="0" applyNumberFormat="1" applyFont="1" applyFill="1" applyBorder="1" applyAlignment="1">
      <alignment horizontal="center" vertical="center" wrapText="1"/>
    </xf>
    <xf numFmtId="0" fontId="54" fillId="54" borderId="100" xfId="0" applyFont="1" applyFill="1" applyBorder="1" applyAlignment="1">
      <alignment horizontal="center" wrapText="1"/>
    </xf>
    <xf numFmtId="0" fontId="54" fillId="54" borderId="98" xfId="0" applyFont="1" applyFill="1" applyBorder="1" applyAlignment="1">
      <alignment horizontal="center" wrapText="1"/>
    </xf>
    <xf numFmtId="0" fontId="45" fillId="44" borderId="117" xfId="0" applyFont="1" applyFill="1" applyBorder="1" applyAlignment="1">
      <alignment horizontal="center" vertical="center" wrapText="1"/>
    </xf>
    <xf numFmtId="0" fontId="45" fillId="44" borderId="24" xfId="0" applyFont="1" applyFill="1" applyBorder="1" applyAlignment="1">
      <alignment horizontal="center" vertical="center" wrapText="1"/>
    </xf>
    <xf numFmtId="49" fontId="22" fillId="54" borderId="100" xfId="0" applyNumberFormat="1" applyFont="1" applyFill="1" applyBorder="1" applyAlignment="1">
      <alignment horizontal="center" vertical="center" wrapText="1"/>
    </xf>
    <xf numFmtId="49" fontId="22" fillId="54" borderId="98" xfId="0" applyNumberFormat="1" applyFont="1" applyFill="1" applyBorder="1" applyAlignment="1">
      <alignment horizontal="center" vertical="center" wrapText="1"/>
    </xf>
    <xf numFmtId="0" fontId="4" fillId="35" borderId="117" xfId="0" applyFont="1" applyFill="1" applyBorder="1" applyAlignment="1">
      <alignment horizontal="center" vertical="center" textRotation="180" wrapText="1"/>
    </xf>
    <xf numFmtId="0" fontId="45" fillId="44" borderId="118" xfId="0" applyFont="1" applyFill="1" applyBorder="1" applyAlignment="1">
      <alignment horizontal="center" vertical="center" wrapText="1"/>
    </xf>
    <xf numFmtId="0" fontId="45" fillId="44" borderId="98" xfId="0" applyFont="1" applyFill="1" applyBorder="1" applyAlignment="1">
      <alignment horizontal="center" vertical="center" wrapText="1"/>
    </xf>
    <xf numFmtId="49" fontId="22" fillId="54" borderId="119" xfId="0" applyNumberFormat="1" applyFont="1" applyFill="1" applyBorder="1" applyAlignment="1">
      <alignment horizontal="center" vertical="center" wrapText="1"/>
    </xf>
    <xf numFmtId="0" fontId="54" fillId="54" borderId="21" xfId="0" applyFont="1" applyFill="1" applyBorder="1" applyAlignment="1">
      <alignment horizontal="center" wrapText="1"/>
    </xf>
    <xf numFmtId="0" fontId="54" fillId="54" borderId="24" xfId="0" applyFont="1" applyFill="1" applyBorder="1" applyAlignment="1">
      <alignment horizontal="center" wrapText="1"/>
    </xf>
    <xf numFmtId="0" fontId="9" fillId="34" borderId="35" xfId="0" applyFont="1" applyFill="1" applyBorder="1" applyAlignment="1">
      <alignment horizontal="left"/>
    </xf>
    <xf numFmtId="0" fontId="9" fillId="34" borderId="14" xfId="0" applyFont="1" applyFill="1" applyBorder="1" applyAlignment="1">
      <alignment horizontal="left"/>
    </xf>
    <xf numFmtId="0" fontId="9" fillId="34" borderId="13" xfId="0" applyFont="1" applyFill="1" applyBorder="1" applyAlignment="1">
      <alignment horizontal="left"/>
    </xf>
    <xf numFmtId="0" fontId="45" fillId="44" borderId="21" xfId="0" applyFont="1" applyFill="1" applyBorder="1" applyAlignment="1">
      <alignment horizontal="center" vertical="center" wrapText="1"/>
    </xf>
    <xf numFmtId="0" fontId="0" fillId="0" borderId="24" xfId="0" applyBorder="1" applyAlignment="1">
      <alignment/>
    </xf>
    <xf numFmtId="0" fontId="29" fillId="42" borderId="18" xfId="0" applyFont="1" applyFill="1" applyBorder="1" applyAlignment="1">
      <alignment horizontal="left"/>
    </xf>
    <xf numFmtId="49" fontId="53" fillId="41" borderId="83" xfId="0" applyNumberFormat="1" applyFont="1" applyFill="1" applyBorder="1" applyAlignment="1">
      <alignment horizontal="center"/>
    </xf>
    <xf numFmtId="49" fontId="22" fillId="54" borderId="21" xfId="0" applyNumberFormat="1" applyFont="1" applyFill="1" applyBorder="1" applyAlignment="1">
      <alignment horizontal="center" vertical="center" wrapText="1"/>
    </xf>
    <xf numFmtId="49" fontId="22" fillId="54" borderId="24" xfId="0" applyNumberFormat="1" applyFont="1" applyFill="1" applyBorder="1" applyAlignment="1">
      <alignment horizontal="center" vertical="center" wrapText="1"/>
    </xf>
    <xf numFmtId="0" fontId="57" fillId="42" borderId="0" xfId="0" applyFont="1" applyFill="1" applyAlignment="1">
      <alignment horizontal="center" vertical="top" wrapText="1"/>
    </xf>
    <xf numFmtId="0" fontId="23" fillId="39" borderId="110" xfId="0" applyFont="1" applyFill="1" applyBorder="1" applyAlignment="1">
      <alignment vertical="center"/>
    </xf>
    <xf numFmtId="0" fontId="23" fillId="39" borderId="34" xfId="0" applyFont="1" applyFill="1" applyBorder="1" applyAlignment="1">
      <alignment vertical="center"/>
    </xf>
    <xf numFmtId="0" fontId="0" fillId="0" borderId="98" xfId="0" applyBorder="1" applyAlignment="1">
      <alignment vertical="center"/>
    </xf>
    <xf numFmtId="0" fontId="0" fillId="0" borderId="25" xfId="0" applyBorder="1" applyAlignment="1">
      <alignment vertical="center"/>
    </xf>
    <xf numFmtId="0" fontId="9" fillId="8" borderId="102" xfId="0" applyFont="1" applyFill="1" applyBorder="1" applyAlignment="1">
      <alignment vertical="center"/>
    </xf>
    <xf numFmtId="0" fontId="34" fillId="8" borderId="37" xfId="0" applyFont="1" applyFill="1" applyBorder="1" applyAlignment="1">
      <alignment vertical="center"/>
    </xf>
    <xf numFmtId="3" fontId="98" fillId="52" borderId="59" xfId="0" applyNumberFormat="1" applyFont="1" applyFill="1" applyBorder="1" applyAlignment="1">
      <alignment horizontal="right" vertical="center"/>
    </xf>
    <xf numFmtId="0" fontId="33" fillId="0" borderId="11" xfId="0" applyFont="1" applyBorder="1" applyAlignment="1">
      <alignment horizontal="right" vertical="center"/>
    </xf>
    <xf numFmtId="0" fontId="9" fillId="8" borderId="102" xfId="0" applyFont="1" applyFill="1" applyBorder="1" applyAlignment="1">
      <alignment horizontal="left" vertical="center"/>
    </xf>
    <xf numFmtId="0" fontId="34" fillId="8" borderId="37" xfId="0" applyFont="1" applyFill="1" applyBorder="1" applyAlignment="1">
      <alignment horizontal="left" vertical="center"/>
    </xf>
    <xf numFmtId="3" fontId="98" fillId="52" borderId="88" xfId="0" applyNumberFormat="1" applyFont="1" applyFill="1" applyBorder="1" applyAlignment="1">
      <alignment horizontal="right" vertical="center"/>
    </xf>
    <xf numFmtId="0" fontId="104" fillId="52" borderId="90" xfId="0" applyFont="1" applyFill="1" applyBorder="1" applyAlignment="1">
      <alignment horizontal="right" vertical="center"/>
    </xf>
    <xf numFmtId="3" fontId="98" fillId="9" borderId="51" xfId="0" applyNumberFormat="1" applyFont="1" applyFill="1" applyBorder="1" applyAlignment="1">
      <alignment horizontal="right" vertical="center"/>
    </xf>
    <xf numFmtId="0" fontId="104" fillId="9" borderId="12" xfId="0" applyFont="1" applyFill="1" applyBorder="1" applyAlignment="1">
      <alignment horizontal="right" vertical="center"/>
    </xf>
    <xf numFmtId="164" fontId="4" fillId="42" borderId="76" xfId="0" applyNumberFormat="1" applyFont="1" applyFill="1" applyBorder="1" applyAlignment="1">
      <alignment horizontal="right" vertical="center"/>
    </xf>
    <xf numFmtId="164" fontId="4" fillId="42" borderId="82" xfId="0" applyNumberFormat="1" applyFont="1" applyFill="1" applyBorder="1" applyAlignment="1">
      <alignment horizontal="right" vertical="center"/>
    </xf>
    <xf numFmtId="3" fontId="98" fillId="9" borderId="59" xfId="0" applyNumberFormat="1" applyFont="1" applyFill="1" applyBorder="1" applyAlignment="1">
      <alignment horizontal="right" vertical="center"/>
    </xf>
    <xf numFmtId="0" fontId="33" fillId="9" borderId="11" xfId="0" applyFont="1" applyFill="1" applyBorder="1" applyAlignment="1">
      <alignment horizontal="right" vertical="center"/>
    </xf>
    <xf numFmtId="164" fontId="4" fillId="0" borderId="76" xfId="0" applyNumberFormat="1" applyFont="1" applyFill="1" applyBorder="1" applyAlignment="1">
      <alignment horizontal="right" vertical="center" wrapText="1"/>
    </xf>
    <xf numFmtId="164" fontId="4" fillId="0" borderId="82" xfId="0" applyNumberFormat="1" applyFont="1" applyFill="1" applyBorder="1" applyAlignment="1">
      <alignment horizontal="right" vertical="center" wrapText="1"/>
    </xf>
    <xf numFmtId="0" fontId="105" fillId="42" borderId="0" xfId="0" applyFont="1" applyFill="1" applyBorder="1" applyAlignment="1">
      <alignment horizontal="center" vertical="center" wrapText="1"/>
    </xf>
    <xf numFmtId="0" fontId="7" fillId="42" borderId="0" xfId="0" applyFont="1" applyFill="1" applyBorder="1" applyAlignment="1">
      <alignment horizontal="center" vertical="center" wrapText="1"/>
    </xf>
  </cellXfs>
  <cellStyles count="52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Excel Built-in Normal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e 2" xfId="45"/>
    <cellStyle name="normálne 2 2" xfId="46"/>
    <cellStyle name="normálne 4" xfId="47"/>
    <cellStyle name="normálne 9" xfId="48"/>
    <cellStyle name="Percent" xfId="49"/>
    <cellStyle name="Poznámka" xfId="50"/>
    <cellStyle name="Prepojená bunka" xfId="51"/>
    <cellStyle name="Spolu" xfId="52"/>
    <cellStyle name="Text upozornenia" xfId="53"/>
    <cellStyle name="Titul" xfId="54"/>
    <cellStyle name="Vstup" xfId="55"/>
    <cellStyle name="Výpočet" xfId="56"/>
    <cellStyle name="Výstup" xfId="57"/>
    <cellStyle name="Vysvetľujúci text" xfId="58"/>
    <cellStyle name="Zlá" xfId="59"/>
    <cellStyle name="Zvýraznenie1" xfId="60"/>
    <cellStyle name="Zvýraznenie2" xfId="61"/>
    <cellStyle name="Zvýraznenie3" xfId="62"/>
    <cellStyle name="Zvýraznenie4" xfId="63"/>
    <cellStyle name="Zvýraznenie5" xfId="64"/>
    <cellStyle name="Zvýraznenie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27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1.421875" style="15" customWidth="1"/>
    <col min="2" max="2" width="3.28125" style="13" customWidth="1"/>
    <col min="3" max="3" width="3.57421875" style="14" customWidth="1"/>
    <col min="4" max="4" width="4.00390625" style="14" customWidth="1"/>
    <col min="5" max="5" width="4.140625" style="14" customWidth="1"/>
    <col min="6" max="6" width="4.57421875" style="13" customWidth="1"/>
    <col min="7" max="7" width="49.8515625" style="13" customWidth="1"/>
    <col min="8" max="8" width="16.140625" style="0" customWidth="1"/>
    <col min="9" max="9" width="13.140625" style="0" customWidth="1"/>
    <col min="10" max="10" width="6.00390625" style="0" customWidth="1"/>
    <col min="12" max="12" width="11.421875" style="0" bestFit="1" customWidth="1"/>
    <col min="13" max="13" width="10.140625" style="0" customWidth="1"/>
    <col min="14" max="14" width="10.140625" style="0" bestFit="1" customWidth="1"/>
  </cols>
  <sheetData>
    <row r="2" spans="2:10" ht="64.5" customHeight="1">
      <c r="B2" s="1052" t="s">
        <v>870</v>
      </c>
      <c r="C2" s="1052"/>
      <c r="D2" s="1052"/>
      <c r="E2" s="1052"/>
      <c r="F2" s="1052"/>
      <c r="G2" s="1052"/>
      <c r="H2" s="1052"/>
      <c r="I2" s="1052"/>
      <c r="J2" s="1052"/>
    </row>
    <row r="3" spans="2:8" ht="11.25" customHeight="1" thickBot="1">
      <c r="B3" s="250"/>
      <c r="C3" s="250"/>
      <c r="D3" s="250"/>
      <c r="E3" s="250"/>
      <c r="F3" s="250"/>
      <c r="G3" s="250"/>
      <c r="H3" s="140"/>
    </row>
    <row r="4" spans="2:10" ht="15.75" customHeight="1">
      <c r="B4" s="1053" t="s">
        <v>9</v>
      </c>
      <c r="C4" s="1062"/>
      <c r="D4" s="1062"/>
      <c r="E4" s="1062"/>
      <c r="F4" s="1062"/>
      <c r="G4" s="1063"/>
      <c r="H4" s="1049" t="s">
        <v>805</v>
      </c>
      <c r="I4" s="1049" t="s">
        <v>836</v>
      </c>
      <c r="J4" s="1046" t="s">
        <v>835</v>
      </c>
    </row>
    <row r="5" spans="2:10" ht="15" customHeight="1">
      <c r="B5" s="1064"/>
      <c r="C5" s="1065"/>
      <c r="D5" s="1065"/>
      <c r="E5" s="1065"/>
      <c r="F5" s="1065"/>
      <c r="G5" s="1066"/>
      <c r="H5" s="1050"/>
      <c r="I5" s="1050"/>
      <c r="J5" s="1047"/>
    </row>
    <row r="6" spans="1:10" ht="15" customHeight="1">
      <c r="A6" s="240"/>
      <c r="B6" s="81"/>
      <c r="C6" s="1067" t="s">
        <v>10</v>
      </c>
      <c r="D6" s="82" t="s">
        <v>11</v>
      </c>
      <c r="E6" s="82" t="s">
        <v>12</v>
      </c>
      <c r="F6" s="83"/>
      <c r="G6" s="487"/>
      <c r="H6" s="1050"/>
      <c r="I6" s="1050"/>
      <c r="J6" s="1047"/>
    </row>
    <row r="7" spans="1:10" ht="16.5" customHeight="1" thickBot="1">
      <c r="A7" s="240"/>
      <c r="B7" s="85"/>
      <c r="C7" s="1061"/>
      <c r="D7" s="87"/>
      <c r="E7" s="86" t="s">
        <v>13</v>
      </c>
      <c r="F7" s="88" t="s">
        <v>14</v>
      </c>
      <c r="G7" s="488"/>
      <c r="H7" s="1051"/>
      <c r="I7" s="1051"/>
      <c r="J7" s="1048"/>
    </row>
    <row r="8" spans="2:10" ht="19.5" customHeight="1" thickTop="1">
      <c r="B8" s="34">
        <v>1</v>
      </c>
      <c r="C8" s="104" t="s">
        <v>15</v>
      </c>
      <c r="D8" s="105"/>
      <c r="E8" s="106"/>
      <c r="F8" s="111" t="s">
        <v>16</v>
      </c>
      <c r="G8" s="508"/>
      <c r="H8" s="552">
        <f>H10+H13+H19</f>
        <v>20947000</v>
      </c>
      <c r="I8" s="552">
        <f>I10+I13+I19</f>
        <v>11369856</v>
      </c>
      <c r="J8" s="595">
        <f>I8/H8*100</f>
        <v>54.27916169379864</v>
      </c>
    </row>
    <row r="9" spans="1:10" ht="13.5" customHeight="1">
      <c r="A9" s="240"/>
      <c r="B9" s="35">
        <f>B8+1</f>
        <v>2</v>
      </c>
      <c r="C9" s="3"/>
      <c r="D9" s="36"/>
      <c r="E9" s="5"/>
      <c r="F9" s="37"/>
      <c r="G9" s="509"/>
      <c r="H9" s="535"/>
      <c r="I9" s="535"/>
      <c r="J9" s="596"/>
    </row>
    <row r="10" spans="2:10" ht="13.5" customHeight="1">
      <c r="B10" s="35">
        <f aca="true" t="shared" si="0" ref="B10:B74">B9+1</f>
        <v>3</v>
      </c>
      <c r="C10" s="6" t="s">
        <v>17</v>
      </c>
      <c r="D10" s="38"/>
      <c r="E10" s="39"/>
      <c r="F10" s="40" t="s">
        <v>18</v>
      </c>
      <c r="G10" s="491"/>
      <c r="H10" s="536">
        <f>H11</f>
        <v>13000000</v>
      </c>
      <c r="I10" s="536">
        <f>I11</f>
        <v>6619500</v>
      </c>
      <c r="J10" s="597">
        <f aca="true" t="shared" si="1" ref="J10:J74">I10/H10*100</f>
        <v>50.91923076923077</v>
      </c>
    </row>
    <row r="11" spans="2:14" ht="12.75" customHeight="1">
      <c r="B11" s="35">
        <f t="shared" si="0"/>
        <v>4</v>
      </c>
      <c r="C11" s="6"/>
      <c r="D11" s="38" t="s">
        <v>19</v>
      </c>
      <c r="E11" s="39" t="s">
        <v>20</v>
      </c>
      <c r="F11" s="33" t="s">
        <v>21</v>
      </c>
      <c r="G11" s="491"/>
      <c r="H11" s="537">
        <v>13000000</v>
      </c>
      <c r="I11" s="537">
        <v>6619500</v>
      </c>
      <c r="J11" s="596">
        <f t="shared" si="1"/>
        <v>50.91923076923077</v>
      </c>
      <c r="K11" s="140"/>
      <c r="L11" s="178"/>
      <c r="M11" s="178"/>
      <c r="N11" s="178"/>
    </row>
    <row r="12" spans="2:10" ht="12.75">
      <c r="B12" s="35">
        <f t="shared" si="0"/>
        <v>5</v>
      </c>
      <c r="C12" s="7"/>
      <c r="D12" s="42"/>
      <c r="E12" s="43"/>
      <c r="F12" s="44"/>
      <c r="G12" s="510"/>
      <c r="H12" s="538"/>
      <c r="I12" s="538"/>
      <c r="J12" s="596"/>
    </row>
    <row r="13" spans="2:10" ht="12.75">
      <c r="B13" s="35">
        <f t="shared" si="0"/>
        <v>6</v>
      </c>
      <c r="C13" s="6" t="s">
        <v>22</v>
      </c>
      <c r="D13" s="42"/>
      <c r="E13" s="46"/>
      <c r="F13" s="40" t="s">
        <v>23</v>
      </c>
      <c r="G13" s="510"/>
      <c r="H13" s="539">
        <f>H14</f>
        <v>5400000</v>
      </c>
      <c r="I13" s="539">
        <f>I14</f>
        <v>3070838</v>
      </c>
      <c r="J13" s="596">
        <f t="shared" si="1"/>
        <v>56.867370370370374</v>
      </c>
    </row>
    <row r="14" spans="2:10" ht="12.75">
      <c r="B14" s="35">
        <f t="shared" si="0"/>
        <v>7</v>
      </c>
      <c r="C14" s="7"/>
      <c r="D14" s="42" t="s">
        <v>24</v>
      </c>
      <c r="E14" s="46"/>
      <c r="F14" s="33" t="s">
        <v>25</v>
      </c>
      <c r="G14" s="510"/>
      <c r="H14" s="540">
        <f>SUM(H15:H17)</f>
        <v>5400000</v>
      </c>
      <c r="I14" s="540">
        <f>I15+I16+I17</f>
        <v>3070838</v>
      </c>
      <c r="J14" s="596">
        <f t="shared" si="1"/>
        <v>56.867370370370374</v>
      </c>
    </row>
    <row r="15" spans="2:10" ht="12.75">
      <c r="B15" s="35">
        <f t="shared" si="0"/>
        <v>8</v>
      </c>
      <c r="C15" s="7"/>
      <c r="D15" s="42"/>
      <c r="E15" s="46" t="s">
        <v>26</v>
      </c>
      <c r="F15" s="37" t="s">
        <v>27</v>
      </c>
      <c r="G15" s="510"/>
      <c r="H15" s="541">
        <v>620000</v>
      </c>
      <c r="I15" s="553">
        <v>345803</v>
      </c>
      <c r="J15" s="596">
        <f t="shared" si="1"/>
        <v>55.77467741935484</v>
      </c>
    </row>
    <row r="16" spans="2:10" ht="12.75">
      <c r="B16" s="35">
        <f t="shared" si="0"/>
        <v>9</v>
      </c>
      <c r="C16" s="7"/>
      <c r="D16" s="42"/>
      <c r="E16" s="46" t="s">
        <v>28</v>
      </c>
      <c r="F16" s="37" t="s">
        <v>29</v>
      </c>
      <c r="G16" s="510"/>
      <c r="H16" s="541">
        <v>4415000</v>
      </c>
      <c r="I16" s="553">
        <v>2444678</v>
      </c>
      <c r="J16" s="596">
        <f t="shared" si="1"/>
        <v>55.37209513023783</v>
      </c>
    </row>
    <row r="17" spans="2:10" ht="12.75">
      <c r="B17" s="35">
        <f t="shared" si="0"/>
        <v>10</v>
      </c>
      <c r="C17" s="7"/>
      <c r="D17" s="42"/>
      <c r="E17" s="46" t="s">
        <v>20</v>
      </c>
      <c r="F17" s="37" t="s">
        <v>30</v>
      </c>
      <c r="G17" s="510"/>
      <c r="H17" s="541">
        <v>365000</v>
      </c>
      <c r="I17" s="553">
        <v>280357</v>
      </c>
      <c r="J17" s="596">
        <f t="shared" si="1"/>
        <v>76.81013698630137</v>
      </c>
    </row>
    <row r="18" spans="2:10" ht="12.75">
      <c r="B18" s="35">
        <f t="shared" si="0"/>
        <v>11</v>
      </c>
      <c r="C18" s="47"/>
      <c r="D18" s="42"/>
      <c r="E18" s="46"/>
      <c r="F18" s="48"/>
      <c r="G18" s="510"/>
      <c r="H18" s="542"/>
      <c r="I18" s="542"/>
      <c r="J18" s="596"/>
    </row>
    <row r="19" spans="2:10" ht="12.75">
      <c r="B19" s="35">
        <f t="shared" si="0"/>
        <v>12</v>
      </c>
      <c r="C19" s="6" t="s">
        <v>31</v>
      </c>
      <c r="D19" s="42"/>
      <c r="E19" s="46"/>
      <c r="F19" s="40" t="s">
        <v>32</v>
      </c>
      <c r="G19" s="510"/>
      <c r="H19" s="539">
        <f>SUM(H20:H23)</f>
        <v>2547000</v>
      </c>
      <c r="I19" s="539">
        <f>SUM(I20:I23)</f>
        <v>1679518</v>
      </c>
      <c r="J19" s="596">
        <f t="shared" si="1"/>
        <v>65.94102866117001</v>
      </c>
    </row>
    <row r="20" spans="2:10" ht="12.75">
      <c r="B20" s="35">
        <f t="shared" si="0"/>
        <v>13</v>
      </c>
      <c r="C20" s="28"/>
      <c r="D20" s="1" t="s">
        <v>33</v>
      </c>
      <c r="E20" s="2" t="s">
        <v>34</v>
      </c>
      <c r="F20" s="37" t="s">
        <v>35</v>
      </c>
      <c r="G20" s="509"/>
      <c r="H20" s="540">
        <v>62000</v>
      </c>
      <c r="I20" s="540">
        <v>10929</v>
      </c>
      <c r="J20" s="596">
        <f t="shared" si="1"/>
        <v>17.62741935483871</v>
      </c>
    </row>
    <row r="21" spans="2:10" ht="12.75">
      <c r="B21" s="35">
        <f t="shared" si="0"/>
        <v>14</v>
      </c>
      <c r="C21" s="28"/>
      <c r="D21" s="1" t="s">
        <v>33</v>
      </c>
      <c r="E21" s="2" t="s">
        <v>26</v>
      </c>
      <c r="F21" s="37" t="s">
        <v>124</v>
      </c>
      <c r="G21" s="509"/>
      <c r="H21" s="540">
        <v>50000</v>
      </c>
      <c r="I21" s="540">
        <v>39633</v>
      </c>
      <c r="J21" s="596">
        <f t="shared" si="1"/>
        <v>79.266</v>
      </c>
    </row>
    <row r="22" spans="2:10" ht="12.75">
      <c r="B22" s="35">
        <f t="shared" si="0"/>
        <v>15</v>
      </c>
      <c r="C22" s="28"/>
      <c r="D22" s="1" t="s">
        <v>33</v>
      </c>
      <c r="E22" s="2" t="s">
        <v>36</v>
      </c>
      <c r="F22" s="37" t="s">
        <v>179</v>
      </c>
      <c r="G22" s="509"/>
      <c r="H22" s="540">
        <v>2400000</v>
      </c>
      <c r="I22" s="540">
        <v>1610853</v>
      </c>
      <c r="J22" s="596">
        <f t="shared" si="1"/>
        <v>67.118875</v>
      </c>
    </row>
    <row r="23" spans="2:10" ht="12.75">
      <c r="B23" s="35">
        <f t="shared" si="0"/>
        <v>16</v>
      </c>
      <c r="C23" s="28"/>
      <c r="D23" s="1" t="s">
        <v>33</v>
      </c>
      <c r="E23" s="2"/>
      <c r="F23" s="37" t="s">
        <v>291</v>
      </c>
      <c r="G23" s="509"/>
      <c r="H23" s="540">
        <v>35000</v>
      </c>
      <c r="I23" s="540">
        <v>18103</v>
      </c>
      <c r="J23" s="596">
        <f t="shared" si="1"/>
        <v>51.72285714285715</v>
      </c>
    </row>
    <row r="24" spans="2:10" ht="12.75">
      <c r="B24" s="35">
        <f t="shared" si="0"/>
        <v>17</v>
      </c>
      <c r="C24" s="7"/>
      <c r="D24" s="42"/>
      <c r="E24" s="46"/>
      <c r="F24" s="44"/>
      <c r="G24" s="510"/>
      <c r="H24" s="538"/>
      <c r="I24" s="538"/>
      <c r="J24" s="596"/>
    </row>
    <row r="25" spans="2:13" ht="19.5" customHeight="1">
      <c r="B25" s="35">
        <f t="shared" si="0"/>
        <v>18</v>
      </c>
      <c r="C25" s="107" t="s">
        <v>37</v>
      </c>
      <c r="D25" s="108"/>
      <c r="E25" s="109"/>
      <c r="F25" s="110" t="s">
        <v>38</v>
      </c>
      <c r="G25" s="495"/>
      <c r="H25" s="550">
        <f>H27+H38+H48+H50+H71+H89+H141+H202+H256+H257</f>
        <v>2964358</v>
      </c>
      <c r="I25" s="550">
        <f>I27+I38+I48+I50+I71+I89+I141+I202+I256+I257+I258</f>
        <v>1594682</v>
      </c>
      <c r="J25" s="596">
        <f t="shared" si="1"/>
        <v>53.795189379960185</v>
      </c>
      <c r="K25" s="15"/>
      <c r="L25" s="15"/>
      <c r="M25" s="15"/>
    </row>
    <row r="26" spans="2:11" ht="12.75">
      <c r="B26" s="35">
        <f t="shared" si="0"/>
        <v>19</v>
      </c>
      <c r="C26" s="49"/>
      <c r="D26" s="49"/>
      <c r="E26" s="50"/>
      <c r="F26" s="37"/>
      <c r="G26" s="491"/>
      <c r="H26" s="537"/>
      <c r="I26" s="537"/>
      <c r="J26" s="596"/>
      <c r="K26" s="15"/>
    </row>
    <row r="27" spans="2:10" ht="12.75">
      <c r="B27" s="35">
        <f t="shared" si="0"/>
        <v>20</v>
      </c>
      <c r="C27" s="6" t="s">
        <v>39</v>
      </c>
      <c r="D27" s="6"/>
      <c r="E27" s="8"/>
      <c r="F27" s="40" t="s">
        <v>40</v>
      </c>
      <c r="G27" s="491"/>
      <c r="H27" s="539">
        <f>H28</f>
        <v>449900</v>
      </c>
      <c r="I27" s="539">
        <f>I28</f>
        <v>212472</v>
      </c>
      <c r="J27" s="596">
        <f t="shared" si="1"/>
        <v>47.22649477661703</v>
      </c>
    </row>
    <row r="28" spans="2:10" ht="12.75">
      <c r="B28" s="35">
        <f t="shared" si="0"/>
        <v>21</v>
      </c>
      <c r="C28" s="6"/>
      <c r="D28" s="6" t="s">
        <v>41</v>
      </c>
      <c r="E28" s="8"/>
      <c r="F28" s="73" t="s">
        <v>90</v>
      </c>
      <c r="G28" s="491"/>
      <c r="H28" s="541">
        <f>H29+H30</f>
        <v>449900</v>
      </c>
      <c r="I28" s="541">
        <f>I29+I30+I36</f>
        <v>212472</v>
      </c>
      <c r="J28" s="596">
        <f t="shared" si="1"/>
        <v>47.22649477661703</v>
      </c>
    </row>
    <row r="29" spans="2:10" ht="12.75">
      <c r="B29" s="35">
        <f t="shared" si="0"/>
        <v>22</v>
      </c>
      <c r="C29" s="49"/>
      <c r="D29" s="38"/>
      <c r="E29" s="9" t="s">
        <v>28</v>
      </c>
      <c r="F29" s="45" t="s">
        <v>42</v>
      </c>
      <c r="G29" s="491"/>
      <c r="H29" s="541">
        <f>97500-5100</f>
        <v>92400</v>
      </c>
      <c r="I29" s="541">
        <v>70515</v>
      </c>
      <c r="J29" s="596">
        <f t="shared" si="1"/>
        <v>76.31493506493506</v>
      </c>
    </row>
    <row r="30" spans="2:10" ht="12.75">
      <c r="B30" s="35">
        <f t="shared" si="0"/>
        <v>23</v>
      </c>
      <c r="C30" s="49"/>
      <c r="D30" s="38"/>
      <c r="E30" s="9" t="s">
        <v>20</v>
      </c>
      <c r="F30" s="45" t="s">
        <v>43</v>
      </c>
      <c r="G30" s="491"/>
      <c r="H30" s="537">
        <f>SUM(H31:H35)</f>
        <v>357500</v>
      </c>
      <c r="I30" s="537">
        <f>SUM(I31:I35)</f>
        <v>139602</v>
      </c>
      <c r="J30" s="596">
        <f t="shared" si="1"/>
        <v>39.04951048951049</v>
      </c>
    </row>
    <row r="31" spans="2:10" ht="12.75">
      <c r="B31" s="35">
        <f t="shared" si="0"/>
        <v>24</v>
      </c>
      <c r="C31" s="49"/>
      <c r="D31" s="38"/>
      <c r="E31" s="50"/>
      <c r="F31" s="33"/>
      <c r="G31" s="491" t="s">
        <v>44</v>
      </c>
      <c r="H31" s="537">
        <v>35500</v>
      </c>
      <c r="I31" s="537">
        <v>7873</v>
      </c>
      <c r="J31" s="596">
        <f t="shared" si="1"/>
        <v>22.177464788732397</v>
      </c>
    </row>
    <row r="32" spans="2:10" ht="12.75">
      <c r="B32" s="35">
        <f t="shared" si="0"/>
        <v>25</v>
      </c>
      <c r="C32" s="49"/>
      <c r="D32" s="38"/>
      <c r="E32" s="50"/>
      <c r="F32" s="45"/>
      <c r="G32" s="491" t="s">
        <v>45</v>
      </c>
      <c r="H32" s="537">
        <v>217000</v>
      </c>
      <c r="I32" s="537">
        <f>84302+814+1019</f>
        <v>86135</v>
      </c>
      <c r="J32" s="596">
        <f t="shared" si="1"/>
        <v>39.69354838709677</v>
      </c>
    </row>
    <row r="33" spans="2:10" ht="12.75">
      <c r="B33" s="35">
        <f t="shared" si="0"/>
        <v>26</v>
      </c>
      <c r="C33" s="49"/>
      <c r="D33" s="49"/>
      <c r="E33" s="50"/>
      <c r="F33" s="45"/>
      <c r="G33" s="491" t="s">
        <v>123</v>
      </c>
      <c r="H33" s="543">
        <v>32000</v>
      </c>
      <c r="I33" s="543">
        <f>764+410</f>
        <v>1174</v>
      </c>
      <c r="J33" s="596">
        <f t="shared" si="1"/>
        <v>3.6687499999999997</v>
      </c>
    </row>
    <row r="34" spans="2:10" ht="12.75">
      <c r="B34" s="35">
        <f t="shared" si="0"/>
        <v>27</v>
      </c>
      <c r="C34" s="49"/>
      <c r="D34" s="49"/>
      <c r="E34" s="50"/>
      <c r="F34" s="45"/>
      <c r="G34" s="491" t="s">
        <v>237</v>
      </c>
      <c r="H34" s="537">
        <v>63000</v>
      </c>
      <c r="I34" s="537">
        <v>38429</v>
      </c>
      <c r="J34" s="596">
        <f t="shared" si="1"/>
        <v>60.99841269841269</v>
      </c>
    </row>
    <row r="35" spans="2:10" ht="12.75">
      <c r="B35" s="35">
        <f t="shared" si="0"/>
        <v>28</v>
      </c>
      <c r="C35" s="49"/>
      <c r="D35" s="49"/>
      <c r="E35" s="50"/>
      <c r="F35" s="45"/>
      <c r="G35" s="491" t="s">
        <v>489</v>
      </c>
      <c r="H35" s="540">
        <v>10000</v>
      </c>
      <c r="I35" s="540">
        <f>676+215+225+4857+18</f>
        <v>5991</v>
      </c>
      <c r="J35" s="596">
        <f t="shared" si="1"/>
        <v>59.91</v>
      </c>
    </row>
    <row r="36" spans="2:10" ht="12.75">
      <c r="B36" s="35">
        <f t="shared" si="0"/>
        <v>29</v>
      </c>
      <c r="C36" s="49"/>
      <c r="D36" s="49"/>
      <c r="E36" s="39" t="s">
        <v>49</v>
      </c>
      <c r="F36" s="45" t="s">
        <v>842</v>
      </c>
      <c r="G36" s="491"/>
      <c r="H36" s="540">
        <v>0</v>
      </c>
      <c r="I36" s="540">
        <v>2355</v>
      </c>
      <c r="J36" s="596"/>
    </row>
    <row r="37" spans="2:10" ht="12.75">
      <c r="B37" s="35">
        <f t="shared" si="0"/>
        <v>30</v>
      </c>
      <c r="C37" s="49"/>
      <c r="D37" s="49"/>
      <c r="E37" s="50"/>
      <c r="F37" s="45"/>
      <c r="G37" s="491"/>
      <c r="H37" s="537"/>
      <c r="I37" s="537"/>
      <c r="J37" s="596"/>
    </row>
    <row r="38" spans="2:10" ht="12.75">
      <c r="B38" s="35">
        <f t="shared" si="0"/>
        <v>31</v>
      </c>
      <c r="C38" s="6" t="s">
        <v>46</v>
      </c>
      <c r="D38" s="49"/>
      <c r="E38" s="50"/>
      <c r="F38" s="40" t="s">
        <v>47</v>
      </c>
      <c r="G38" s="491"/>
      <c r="H38" s="544">
        <f>H39+H42+H43+H46</f>
        <v>501800</v>
      </c>
      <c r="I38" s="544">
        <f>I39+I42+I43+I46</f>
        <v>221976</v>
      </c>
      <c r="J38" s="596">
        <f t="shared" si="1"/>
        <v>44.23595057791949</v>
      </c>
    </row>
    <row r="39" spans="2:10" ht="12.75">
      <c r="B39" s="35">
        <f t="shared" si="0"/>
        <v>32</v>
      </c>
      <c r="C39" s="49"/>
      <c r="D39" s="38" t="s">
        <v>48</v>
      </c>
      <c r="E39" s="9"/>
      <c r="F39" s="45" t="s">
        <v>491</v>
      </c>
      <c r="G39" s="491"/>
      <c r="H39" s="537">
        <f>SUM(H40:H41)</f>
        <v>310000</v>
      </c>
      <c r="I39" s="537">
        <f>SUM(I40:I41)</f>
        <v>105310</v>
      </c>
      <c r="J39" s="596">
        <f t="shared" si="1"/>
        <v>33.97096774193548</v>
      </c>
    </row>
    <row r="40" spans="2:10" ht="12.75">
      <c r="B40" s="35">
        <f t="shared" si="0"/>
        <v>33</v>
      </c>
      <c r="C40" s="49"/>
      <c r="D40" s="49"/>
      <c r="E40" s="39" t="s">
        <v>56</v>
      </c>
      <c r="F40" s="33"/>
      <c r="G40" s="491" t="s">
        <v>91</v>
      </c>
      <c r="H40" s="537">
        <v>150000</v>
      </c>
      <c r="I40" s="537">
        <v>10700</v>
      </c>
      <c r="J40" s="596">
        <f t="shared" si="1"/>
        <v>7.133333333333333</v>
      </c>
    </row>
    <row r="41" spans="2:10" ht="12.75">
      <c r="B41" s="35">
        <f t="shared" si="0"/>
        <v>34</v>
      </c>
      <c r="C41" s="49"/>
      <c r="D41" s="49"/>
      <c r="E41" s="39" t="s">
        <v>49</v>
      </c>
      <c r="F41" s="33"/>
      <c r="G41" s="491" t="s">
        <v>50</v>
      </c>
      <c r="H41" s="553">
        <v>160000</v>
      </c>
      <c r="I41" s="553">
        <f>19503+10743+4083+3267+9+1760+10379+90+4554+1085+1690+15240+1345+3320+7825+29+28+13+2420+5490+285+135+17+1300</f>
        <v>94610</v>
      </c>
      <c r="J41" s="596">
        <f t="shared" si="1"/>
        <v>59.13125</v>
      </c>
    </row>
    <row r="42" spans="2:10" ht="12.75">
      <c r="B42" s="35">
        <f t="shared" si="0"/>
        <v>35</v>
      </c>
      <c r="C42" s="49"/>
      <c r="D42" s="7" t="s">
        <v>51</v>
      </c>
      <c r="E42" s="39" t="s">
        <v>20</v>
      </c>
      <c r="F42" s="51" t="s">
        <v>52</v>
      </c>
      <c r="G42" s="491"/>
      <c r="H42" s="537">
        <v>90000</v>
      </c>
      <c r="I42" s="537">
        <v>35736</v>
      </c>
      <c r="J42" s="596">
        <f t="shared" si="1"/>
        <v>39.70666666666667</v>
      </c>
    </row>
    <row r="43" spans="2:10" ht="12.75">
      <c r="B43" s="35">
        <f t="shared" si="0"/>
        <v>36</v>
      </c>
      <c r="C43" s="49"/>
      <c r="D43" s="38" t="s">
        <v>53</v>
      </c>
      <c r="E43" s="9" t="s">
        <v>26</v>
      </c>
      <c r="F43" s="45" t="s">
        <v>54</v>
      </c>
      <c r="G43" s="491"/>
      <c r="H43" s="537">
        <f>H44+H45</f>
        <v>100000</v>
      </c>
      <c r="I43" s="537">
        <f>I44+I45-12465</f>
        <v>79099</v>
      </c>
      <c r="J43" s="596">
        <f t="shared" si="1"/>
        <v>79.099</v>
      </c>
    </row>
    <row r="44" spans="2:10" ht="12.75">
      <c r="B44" s="35">
        <f t="shared" si="0"/>
        <v>37</v>
      </c>
      <c r="C44" s="55"/>
      <c r="D44" s="55"/>
      <c r="E44" s="10"/>
      <c r="F44" s="74"/>
      <c r="G44" s="511" t="s">
        <v>123</v>
      </c>
      <c r="H44" s="543">
        <v>50000</v>
      </c>
      <c r="I44" s="543">
        <f>91564-I45</f>
        <v>39115</v>
      </c>
      <c r="J44" s="596">
        <f t="shared" si="1"/>
        <v>78.23</v>
      </c>
    </row>
    <row r="45" spans="2:10" ht="12.75">
      <c r="B45" s="35">
        <f t="shared" si="0"/>
        <v>38</v>
      </c>
      <c r="C45" s="49"/>
      <c r="D45" s="49"/>
      <c r="E45" s="9"/>
      <c r="F45" s="52"/>
      <c r="G45" s="512" t="s">
        <v>781</v>
      </c>
      <c r="H45" s="537">
        <v>50000</v>
      </c>
      <c r="I45" s="537">
        <v>52449</v>
      </c>
      <c r="J45" s="596">
        <f t="shared" si="1"/>
        <v>104.898</v>
      </c>
    </row>
    <row r="46" spans="2:10" ht="12.75">
      <c r="B46" s="35">
        <f t="shared" si="0"/>
        <v>39</v>
      </c>
      <c r="C46" s="75"/>
      <c r="D46" s="54" t="s">
        <v>55</v>
      </c>
      <c r="E46" s="31" t="s">
        <v>56</v>
      </c>
      <c r="F46" s="32" t="s">
        <v>92</v>
      </c>
      <c r="G46" s="497"/>
      <c r="H46" s="537">
        <v>1800</v>
      </c>
      <c r="I46" s="537">
        <v>1831</v>
      </c>
      <c r="J46" s="596">
        <f t="shared" si="1"/>
        <v>101.72222222222223</v>
      </c>
    </row>
    <row r="47" spans="2:10" ht="12.75">
      <c r="B47" s="35">
        <f t="shared" si="0"/>
        <v>40</v>
      </c>
      <c r="C47" s="55"/>
      <c r="D47" s="56"/>
      <c r="E47" s="10"/>
      <c r="F47" s="53"/>
      <c r="G47" s="496"/>
      <c r="H47" s="543"/>
      <c r="I47" s="543"/>
      <c r="J47" s="596"/>
    </row>
    <row r="48" spans="2:10" ht="12.75">
      <c r="B48" s="35">
        <f t="shared" si="0"/>
        <v>41</v>
      </c>
      <c r="C48" s="57" t="s">
        <v>57</v>
      </c>
      <c r="D48" s="56"/>
      <c r="E48" s="58"/>
      <c r="F48" s="59" t="s">
        <v>58</v>
      </c>
      <c r="G48" s="496"/>
      <c r="H48" s="544">
        <v>4000</v>
      </c>
      <c r="I48" s="544">
        <f>1109-1</f>
        <v>1108</v>
      </c>
      <c r="J48" s="596">
        <f t="shared" si="1"/>
        <v>27.700000000000003</v>
      </c>
    </row>
    <row r="49" spans="2:10" ht="12.75">
      <c r="B49" s="35">
        <f t="shared" si="0"/>
        <v>42</v>
      </c>
      <c r="C49" s="57"/>
      <c r="D49" s="10"/>
      <c r="E49" s="58"/>
      <c r="F49" s="60"/>
      <c r="G49" s="496"/>
      <c r="H49" s="543"/>
      <c r="I49" s="543"/>
      <c r="J49" s="596"/>
    </row>
    <row r="50" spans="2:10" ht="12.75">
      <c r="B50" s="35">
        <f t="shared" si="0"/>
        <v>43</v>
      </c>
      <c r="C50" s="57" t="s">
        <v>59</v>
      </c>
      <c r="D50" s="56"/>
      <c r="E50" s="58"/>
      <c r="F50" s="59" t="s">
        <v>60</v>
      </c>
      <c r="G50" s="496"/>
      <c r="H50" s="544">
        <f>SUM(H51:H53)</f>
        <v>377396</v>
      </c>
      <c r="I50" s="544">
        <f>SUM(I51:I53)</f>
        <v>217099</v>
      </c>
      <c r="J50" s="596">
        <f t="shared" si="1"/>
        <v>57.52551696361382</v>
      </c>
    </row>
    <row r="51" spans="2:10" ht="12.75" customHeight="1">
      <c r="B51" s="35">
        <f t="shared" si="0"/>
        <v>44</v>
      </c>
      <c r="C51" s="6"/>
      <c r="D51" s="39" t="s">
        <v>61</v>
      </c>
      <c r="E51" s="9" t="s">
        <v>62</v>
      </c>
      <c r="F51" s="45" t="s">
        <v>63</v>
      </c>
      <c r="G51" s="491"/>
      <c r="H51" s="537">
        <v>275000</v>
      </c>
      <c r="I51" s="537">
        <v>143462</v>
      </c>
      <c r="J51" s="596">
        <f t="shared" si="1"/>
        <v>52.168000000000006</v>
      </c>
    </row>
    <row r="52" spans="2:10" ht="12.75">
      <c r="B52" s="35">
        <f t="shared" si="0"/>
        <v>45</v>
      </c>
      <c r="C52" s="6"/>
      <c r="D52" s="39"/>
      <c r="E52" s="9" t="s">
        <v>189</v>
      </c>
      <c r="F52" s="45" t="s">
        <v>190</v>
      </c>
      <c r="G52" s="491"/>
      <c r="H52" s="553">
        <v>1000</v>
      </c>
      <c r="I52" s="553">
        <v>0</v>
      </c>
      <c r="J52" s="596">
        <f t="shared" si="1"/>
        <v>0</v>
      </c>
    </row>
    <row r="53" spans="2:10" ht="13.5" thickBot="1">
      <c r="B53" s="698">
        <f t="shared" si="0"/>
        <v>46</v>
      </c>
      <c r="C53" s="445"/>
      <c r="D53" s="699"/>
      <c r="E53" s="700"/>
      <c r="F53" s="448" t="s">
        <v>64</v>
      </c>
      <c r="G53" s="498"/>
      <c r="H53" s="701">
        <f>100000+1396</f>
        <v>101396</v>
      </c>
      <c r="I53" s="701">
        <f>38170+33776+13407-11716</f>
        <v>73637</v>
      </c>
      <c r="J53" s="677">
        <f t="shared" si="1"/>
        <v>72.62318040159376</v>
      </c>
    </row>
    <row r="54" spans="2:10" ht="12.75">
      <c r="B54" s="702"/>
      <c r="C54" s="703"/>
      <c r="D54" s="704"/>
      <c r="E54" s="705"/>
      <c r="F54" s="706"/>
      <c r="G54" s="707"/>
      <c r="H54" s="708"/>
      <c r="I54" s="708"/>
      <c r="J54" s="709"/>
    </row>
    <row r="55" spans="2:10" ht="12.75">
      <c r="B55" s="664"/>
      <c r="C55" s="253"/>
      <c r="D55" s="255"/>
      <c r="E55" s="710"/>
      <c r="F55" s="32"/>
      <c r="G55" s="257"/>
      <c r="H55" s="252"/>
      <c r="I55" s="252"/>
      <c r="J55" s="668"/>
    </row>
    <row r="56" spans="2:10" ht="12.75">
      <c r="B56" s="664"/>
      <c r="C56" s="253"/>
      <c r="D56" s="255"/>
      <c r="E56" s="710"/>
      <c r="F56" s="32"/>
      <c r="G56" s="257"/>
      <c r="H56" s="252"/>
      <c r="I56" s="252"/>
      <c r="J56" s="668"/>
    </row>
    <row r="57" spans="2:10" ht="12.75">
      <c r="B57" s="664"/>
      <c r="C57" s="253"/>
      <c r="D57" s="255"/>
      <c r="E57" s="710"/>
      <c r="F57" s="32"/>
      <c r="G57" s="257"/>
      <c r="H57" s="252"/>
      <c r="I57" s="252"/>
      <c r="J57" s="668"/>
    </row>
    <row r="58" spans="2:10" ht="12.75">
      <c r="B58" s="664"/>
      <c r="C58" s="253"/>
      <c r="D58" s="255"/>
      <c r="E58" s="710"/>
      <c r="F58" s="32"/>
      <c r="G58" s="257"/>
      <c r="H58" s="252"/>
      <c r="I58" s="252"/>
      <c r="J58" s="668"/>
    </row>
    <row r="59" spans="2:10" ht="12.75">
      <c r="B59" s="664"/>
      <c r="C59" s="253"/>
      <c r="D59" s="255"/>
      <c r="E59" s="710"/>
      <c r="F59" s="32"/>
      <c r="G59" s="257"/>
      <c r="H59" s="252"/>
      <c r="I59" s="252"/>
      <c r="J59" s="668"/>
    </row>
    <row r="60" spans="2:10" ht="12.75">
      <c r="B60" s="664"/>
      <c r="C60" s="253"/>
      <c r="D60" s="255"/>
      <c r="E60" s="710"/>
      <c r="F60" s="32"/>
      <c r="G60" s="257"/>
      <c r="H60" s="252"/>
      <c r="I60" s="252"/>
      <c r="J60" s="668"/>
    </row>
    <row r="61" spans="2:10" ht="12.75">
      <c r="B61" s="664"/>
      <c r="C61" s="253"/>
      <c r="D61" s="255"/>
      <c r="E61" s="710"/>
      <c r="F61" s="32"/>
      <c r="G61" s="257"/>
      <c r="H61" s="252"/>
      <c r="I61" s="252"/>
      <c r="J61" s="668"/>
    </row>
    <row r="62" spans="2:10" ht="12.75">
      <c r="B62" s="664"/>
      <c r="C62" s="253"/>
      <c r="D62" s="255"/>
      <c r="E62" s="710"/>
      <c r="F62" s="32"/>
      <c r="G62" s="257"/>
      <c r="H62" s="252"/>
      <c r="I62" s="252"/>
      <c r="J62" s="668"/>
    </row>
    <row r="63" spans="2:10" ht="12.75">
      <c r="B63" s="664"/>
      <c r="C63" s="253"/>
      <c r="D63" s="255"/>
      <c r="E63" s="710"/>
      <c r="F63" s="32"/>
      <c r="G63" s="257"/>
      <c r="H63" s="252"/>
      <c r="I63" s="252"/>
      <c r="J63" s="668"/>
    </row>
    <row r="64" spans="2:10" ht="12.75">
      <c r="B64" s="664"/>
      <c r="C64" s="253"/>
      <c r="D64" s="255"/>
      <c r="E64" s="710"/>
      <c r="F64" s="32"/>
      <c r="G64" s="257"/>
      <c r="H64" s="252"/>
      <c r="I64" s="252"/>
      <c r="J64" s="668"/>
    </row>
    <row r="65" spans="2:10" ht="12.75">
      <c r="B65" s="664"/>
      <c r="C65" s="253"/>
      <c r="D65" s="255"/>
      <c r="E65" s="710"/>
      <c r="F65" s="32"/>
      <c r="G65" s="257"/>
      <c r="H65" s="252"/>
      <c r="I65" s="252"/>
      <c r="J65" s="668"/>
    </row>
    <row r="66" spans="2:10" ht="13.5" thickBot="1">
      <c r="B66" s="711"/>
      <c r="C66" s="712"/>
      <c r="D66" s="713"/>
      <c r="E66" s="714"/>
      <c r="F66" s="715"/>
      <c r="G66" s="716"/>
      <c r="H66" s="717"/>
      <c r="I66" s="717"/>
      <c r="J66" s="718"/>
    </row>
    <row r="67" spans="2:10" ht="12.75">
      <c r="B67" s="1053" t="s">
        <v>9</v>
      </c>
      <c r="C67" s="1062"/>
      <c r="D67" s="1062"/>
      <c r="E67" s="1062"/>
      <c r="F67" s="1062"/>
      <c r="G67" s="1063"/>
      <c r="H67" s="1049" t="s">
        <v>805</v>
      </c>
      <c r="I67" s="1049" t="s">
        <v>836</v>
      </c>
      <c r="J67" s="1046" t="s">
        <v>835</v>
      </c>
    </row>
    <row r="68" spans="2:10" ht="12.75">
      <c r="B68" s="1064"/>
      <c r="C68" s="1065"/>
      <c r="D68" s="1065"/>
      <c r="E68" s="1065"/>
      <c r="F68" s="1065"/>
      <c r="G68" s="1066"/>
      <c r="H68" s="1050"/>
      <c r="I68" s="1050"/>
      <c r="J68" s="1047"/>
    </row>
    <row r="69" spans="2:10" ht="12.75">
      <c r="B69" s="81"/>
      <c r="C69" s="1067" t="s">
        <v>10</v>
      </c>
      <c r="D69" s="82" t="s">
        <v>11</v>
      </c>
      <c r="E69" s="82" t="s">
        <v>12</v>
      </c>
      <c r="F69" s="83"/>
      <c r="G69" s="487"/>
      <c r="H69" s="1050"/>
      <c r="I69" s="1050"/>
      <c r="J69" s="1047"/>
    </row>
    <row r="70" spans="2:10" ht="13.5" thickBot="1">
      <c r="B70" s="85"/>
      <c r="C70" s="1061"/>
      <c r="D70" s="87"/>
      <c r="E70" s="86" t="s">
        <v>13</v>
      </c>
      <c r="F70" s="88" t="s">
        <v>14</v>
      </c>
      <c r="G70" s="488"/>
      <c r="H70" s="1051"/>
      <c r="I70" s="1051"/>
      <c r="J70" s="1048"/>
    </row>
    <row r="71" spans="2:10" ht="13.5" thickTop="1">
      <c r="B71" s="35">
        <f>B53+1</f>
        <v>47</v>
      </c>
      <c r="C71" s="62"/>
      <c r="D71" s="63"/>
      <c r="E71" s="62"/>
      <c r="F71" s="119" t="s">
        <v>610</v>
      </c>
      <c r="G71" s="513"/>
      <c r="H71" s="554">
        <f>H73+H75</f>
        <v>460000</v>
      </c>
      <c r="I71" s="554">
        <f>I73+I75+I87+I88+I76</f>
        <v>246564</v>
      </c>
      <c r="J71" s="596">
        <f t="shared" si="1"/>
        <v>53.600869565217394</v>
      </c>
    </row>
    <row r="72" spans="2:10" ht="12.75">
      <c r="B72" s="35">
        <f t="shared" si="0"/>
        <v>48</v>
      </c>
      <c r="C72" s="64"/>
      <c r="D72" s="65"/>
      <c r="E72" s="62"/>
      <c r="F72" s="66"/>
      <c r="G72" s="514"/>
      <c r="H72" s="545"/>
      <c r="I72" s="545"/>
      <c r="J72" s="596"/>
    </row>
    <row r="73" spans="2:10" ht="12.75">
      <c r="B73" s="35">
        <f t="shared" si="0"/>
        <v>49</v>
      </c>
      <c r="C73" s="6" t="s">
        <v>39</v>
      </c>
      <c r="D73" s="65"/>
      <c r="E73" s="62"/>
      <c r="F73" s="40" t="s">
        <v>40</v>
      </c>
      <c r="G73" s="514"/>
      <c r="H73" s="539">
        <f>SUM(H74:H74)</f>
        <v>92000</v>
      </c>
      <c r="I73" s="539">
        <f>SUM(I74:I74)</f>
        <v>49315</v>
      </c>
      <c r="J73" s="596">
        <f t="shared" si="1"/>
        <v>53.60326086956522</v>
      </c>
    </row>
    <row r="74" spans="2:10" ht="12.75">
      <c r="B74" s="674">
        <f t="shared" si="0"/>
        <v>50</v>
      </c>
      <c r="C74" s="719"/>
      <c r="D74" s="720" t="s">
        <v>41</v>
      </c>
      <c r="E74" s="721" t="s">
        <v>20</v>
      </c>
      <c r="F74" s="722" t="s">
        <v>43</v>
      </c>
      <c r="G74" s="723"/>
      <c r="H74" s="551">
        <v>92000</v>
      </c>
      <c r="I74" s="551">
        <v>49315</v>
      </c>
      <c r="J74" s="724">
        <f t="shared" si="1"/>
        <v>53.60326086956522</v>
      </c>
    </row>
    <row r="75" spans="2:10" ht="14.25" customHeight="1">
      <c r="B75" s="61">
        <f>B74+1</f>
        <v>51</v>
      </c>
      <c r="C75" s="57" t="s">
        <v>46</v>
      </c>
      <c r="D75" s="65"/>
      <c r="E75" s="62"/>
      <c r="F75" s="59" t="s">
        <v>47</v>
      </c>
      <c r="G75" s="502"/>
      <c r="H75" s="725">
        <f>H77</f>
        <v>368000</v>
      </c>
      <c r="I75" s="725">
        <f>I77</f>
        <v>186918</v>
      </c>
      <c r="J75" s="726">
        <f>I75/H75*100</f>
        <v>50.792934782608704</v>
      </c>
    </row>
    <row r="76" spans="2:10" ht="14.25" customHeight="1">
      <c r="B76" s="35">
        <v>54</v>
      </c>
      <c r="C76" s="12"/>
      <c r="D76" s="11" t="s">
        <v>51</v>
      </c>
      <c r="E76" s="2"/>
      <c r="F76" s="45" t="s">
        <v>847</v>
      </c>
      <c r="G76" s="502"/>
      <c r="H76" s="544"/>
      <c r="I76" s="549">
        <v>989</v>
      </c>
      <c r="J76" s="595"/>
    </row>
    <row r="77" spans="2:10" ht="12.75">
      <c r="B77" s="35">
        <v>55</v>
      </c>
      <c r="C77" s="64"/>
      <c r="D77" s="11" t="s">
        <v>53</v>
      </c>
      <c r="E77" s="2" t="s">
        <v>26</v>
      </c>
      <c r="F77" s="45" t="s">
        <v>65</v>
      </c>
      <c r="G77" s="502"/>
      <c r="H77" s="537">
        <f>SUM(H78:H86)</f>
        <v>368000</v>
      </c>
      <c r="I77" s="537">
        <f>SUM(I78:I86)</f>
        <v>186918</v>
      </c>
      <c r="J77" s="596"/>
    </row>
    <row r="78" spans="2:10" ht="12.75">
      <c r="B78" s="35">
        <v>56</v>
      </c>
      <c r="C78" s="67"/>
      <c r="D78" s="2"/>
      <c r="E78" s="2"/>
      <c r="F78" s="45"/>
      <c r="G78" s="501" t="s">
        <v>93</v>
      </c>
      <c r="H78" s="537">
        <v>25000</v>
      </c>
      <c r="I78" s="537">
        <v>18099</v>
      </c>
      <c r="J78" s="597">
        <f aca="true" t="shared" si="2" ref="J78:J165">I78/H78*100</f>
        <v>72.396</v>
      </c>
    </row>
    <row r="79" spans="2:10" ht="12.75">
      <c r="B79" s="35">
        <f aca="true" t="shared" si="3" ref="B79:B165">B78+1</f>
        <v>57</v>
      </c>
      <c r="C79" s="67"/>
      <c r="D79" s="2"/>
      <c r="E79" s="2"/>
      <c r="F79" s="45"/>
      <c r="G79" s="501" t="s">
        <v>443</v>
      </c>
      <c r="H79" s="537">
        <v>14000</v>
      </c>
      <c r="I79" s="537">
        <v>7190</v>
      </c>
      <c r="J79" s="596">
        <f t="shared" si="2"/>
        <v>51.357142857142854</v>
      </c>
    </row>
    <row r="80" spans="2:10" ht="12.75">
      <c r="B80" s="35">
        <f t="shared" si="3"/>
        <v>58</v>
      </c>
      <c r="C80" s="64"/>
      <c r="D80" s="131"/>
      <c r="E80" s="131"/>
      <c r="F80" s="53"/>
      <c r="G80" s="502" t="s">
        <v>581</v>
      </c>
      <c r="H80" s="543">
        <v>77000</v>
      </c>
      <c r="I80" s="543">
        <v>46544</v>
      </c>
      <c r="J80" s="596"/>
    </row>
    <row r="81" spans="2:10" ht="12.75">
      <c r="B81" s="35">
        <f t="shared" si="3"/>
        <v>59</v>
      </c>
      <c r="C81" s="67"/>
      <c r="D81" s="2"/>
      <c r="E81" s="2"/>
      <c r="F81" s="45"/>
      <c r="G81" s="501" t="s">
        <v>94</v>
      </c>
      <c r="H81" s="537">
        <v>77000</v>
      </c>
      <c r="I81" s="537">
        <v>28535</v>
      </c>
      <c r="J81" s="596">
        <f t="shared" si="2"/>
        <v>37.05844155844156</v>
      </c>
    </row>
    <row r="82" spans="2:10" ht="12.75">
      <c r="B82" s="35">
        <f t="shared" si="3"/>
        <v>60</v>
      </c>
      <c r="C82" s="67"/>
      <c r="D82" s="2"/>
      <c r="E82" s="2"/>
      <c r="F82" s="45"/>
      <c r="G82" s="501" t="s">
        <v>269</v>
      </c>
      <c r="H82" s="537">
        <v>149000</v>
      </c>
      <c r="I82" s="537">
        <v>74848</v>
      </c>
      <c r="J82" s="596">
        <f t="shared" si="2"/>
        <v>50.23355704697987</v>
      </c>
    </row>
    <row r="83" spans="2:10" ht="12.75" customHeight="1">
      <c r="B83" s="35">
        <f t="shared" si="3"/>
        <v>61</v>
      </c>
      <c r="C83" s="67"/>
      <c r="D83" s="2"/>
      <c r="E83" s="2"/>
      <c r="F83" s="45"/>
      <c r="G83" s="501" t="s">
        <v>270</v>
      </c>
      <c r="H83" s="537"/>
      <c r="I83" s="537">
        <v>0</v>
      </c>
      <c r="J83" s="596"/>
    </row>
    <row r="84" spans="2:10" ht="12.75" customHeight="1">
      <c r="B84" s="35">
        <f t="shared" si="3"/>
        <v>62</v>
      </c>
      <c r="C84" s="67"/>
      <c r="D84" s="2"/>
      <c r="E84" s="2"/>
      <c r="F84" s="45"/>
      <c r="G84" s="501" t="s">
        <v>673</v>
      </c>
      <c r="H84" s="537">
        <v>12000</v>
      </c>
      <c r="I84" s="537">
        <v>1107</v>
      </c>
      <c r="J84" s="596">
        <f t="shared" si="2"/>
        <v>9.225</v>
      </c>
    </row>
    <row r="85" spans="2:10" ht="12.75" customHeight="1">
      <c r="B85" s="35">
        <f t="shared" si="3"/>
        <v>63</v>
      </c>
      <c r="C85" s="64"/>
      <c r="D85" s="131"/>
      <c r="E85" s="131"/>
      <c r="F85" s="53"/>
      <c r="G85" s="502" t="s">
        <v>310</v>
      </c>
      <c r="H85" s="543">
        <v>12000</v>
      </c>
      <c r="I85" s="543">
        <v>6051</v>
      </c>
      <c r="J85" s="596">
        <f t="shared" si="2"/>
        <v>50.425</v>
      </c>
    </row>
    <row r="86" spans="2:10" ht="13.5" customHeight="1">
      <c r="B86" s="35">
        <f t="shared" si="3"/>
        <v>64</v>
      </c>
      <c r="C86" s="64"/>
      <c r="D86" s="131"/>
      <c r="E86" s="131"/>
      <c r="F86" s="53"/>
      <c r="G86" s="502" t="s">
        <v>66</v>
      </c>
      <c r="H86" s="543">
        <v>2000</v>
      </c>
      <c r="I86" s="543">
        <v>4544</v>
      </c>
      <c r="J86" s="596">
        <f t="shared" si="2"/>
        <v>227.2</v>
      </c>
    </row>
    <row r="87" spans="2:10" ht="13.5" customHeight="1">
      <c r="B87" s="35">
        <f t="shared" si="3"/>
        <v>65</v>
      </c>
      <c r="C87" s="527">
        <v>242</v>
      </c>
      <c r="D87" s="2"/>
      <c r="E87" s="2"/>
      <c r="F87" s="45" t="s">
        <v>846</v>
      </c>
      <c r="G87" s="501"/>
      <c r="H87" s="537"/>
      <c r="I87" s="537">
        <v>6</v>
      </c>
      <c r="J87" s="596"/>
    </row>
    <row r="88" spans="2:10" ht="12.75">
      <c r="B88" s="35">
        <f t="shared" si="3"/>
        <v>66</v>
      </c>
      <c r="C88" s="527">
        <v>290</v>
      </c>
      <c r="D88" s="528">
        <v>292</v>
      </c>
      <c r="E88" s="189"/>
      <c r="F88" s="68" t="s">
        <v>707</v>
      </c>
      <c r="G88" s="503"/>
      <c r="H88" s="540"/>
      <c r="I88" s="540">
        <v>9336</v>
      </c>
      <c r="J88" s="596"/>
    </row>
    <row r="89" spans="2:10" ht="13.5" customHeight="1">
      <c r="B89" s="35">
        <f t="shared" si="3"/>
        <v>67</v>
      </c>
      <c r="C89" s="6"/>
      <c r="D89" s="6"/>
      <c r="E89" s="8"/>
      <c r="F89" s="120" t="s">
        <v>67</v>
      </c>
      <c r="G89" s="490"/>
      <c r="H89" s="546">
        <f>H91+H97+H102+H103+H105+H111</f>
        <v>689600</v>
      </c>
      <c r="I89" s="546">
        <f>I91+I97+I102+I103+I105+I111+I115+I116</f>
        <v>342034</v>
      </c>
      <c r="J89" s="596">
        <f t="shared" si="2"/>
        <v>49.59889791183294</v>
      </c>
    </row>
    <row r="90" spans="1:10" s="140" customFormat="1" ht="1.5" customHeight="1">
      <c r="A90" s="178"/>
      <c r="B90" s="35">
        <f t="shared" si="3"/>
        <v>68</v>
      </c>
      <c r="C90" s="191"/>
      <c r="D90" s="191"/>
      <c r="E90" s="192"/>
      <c r="F90" s="193"/>
      <c r="G90" s="504"/>
      <c r="H90" s="547"/>
      <c r="I90" s="547"/>
      <c r="J90" s="596" t="e">
        <f t="shared" si="2"/>
        <v>#DIV/0!</v>
      </c>
    </row>
    <row r="91" spans="2:10" ht="12.75" customHeight="1">
      <c r="B91" s="35">
        <f t="shared" si="3"/>
        <v>69</v>
      </c>
      <c r="C91" s="38"/>
      <c r="D91" s="38"/>
      <c r="E91" s="2"/>
      <c r="F91" s="69" t="s">
        <v>68</v>
      </c>
      <c r="G91" s="505"/>
      <c r="H91" s="535">
        <f>SUM(H92:H95)</f>
        <v>125200</v>
      </c>
      <c r="I91" s="535">
        <f>SUM(I92:I95)</f>
        <v>57848</v>
      </c>
      <c r="J91" s="596">
        <f t="shared" si="2"/>
        <v>46.204472843450475</v>
      </c>
    </row>
    <row r="92" spans="2:13" ht="12.75" customHeight="1">
      <c r="B92" s="35">
        <f t="shared" si="3"/>
        <v>70</v>
      </c>
      <c r="C92" s="11"/>
      <c r="D92" s="11" t="s">
        <v>53</v>
      </c>
      <c r="E92" s="2" t="s">
        <v>28</v>
      </c>
      <c r="F92" s="51" t="s">
        <v>148</v>
      </c>
      <c r="G92" s="505"/>
      <c r="H92" s="540">
        <v>109000</v>
      </c>
      <c r="I92" s="540">
        <v>49993</v>
      </c>
      <c r="J92" s="596">
        <f t="shared" si="2"/>
        <v>45.8651376146789</v>
      </c>
      <c r="L92" s="15"/>
      <c r="M92" s="15"/>
    </row>
    <row r="93" spans="2:13" ht="13.5" customHeight="1">
      <c r="B93" s="35">
        <f t="shared" si="3"/>
        <v>71</v>
      </c>
      <c r="C93" s="38"/>
      <c r="D93" s="38" t="s">
        <v>53</v>
      </c>
      <c r="E93" s="39" t="s">
        <v>20</v>
      </c>
      <c r="F93" s="33" t="s">
        <v>149</v>
      </c>
      <c r="G93" s="506"/>
      <c r="H93" s="537">
        <v>9000</v>
      </c>
      <c r="I93" s="537">
        <v>4079</v>
      </c>
      <c r="J93" s="596">
        <f t="shared" si="2"/>
        <v>45.32222222222222</v>
      </c>
      <c r="L93" s="15"/>
      <c r="M93" s="15"/>
    </row>
    <row r="94" spans="2:10" ht="12.75">
      <c r="B94" s="35">
        <f t="shared" si="3"/>
        <v>72</v>
      </c>
      <c r="C94" s="38"/>
      <c r="D94" s="38" t="s">
        <v>53</v>
      </c>
      <c r="E94" s="39" t="s">
        <v>20</v>
      </c>
      <c r="F94" s="33" t="s">
        <v>150</v>
      </c>
      <c r="G94" s="506"/>
      <c r="H94" s="537">
        <v>6200</v>
      </c>
      <c r="I94" s="537">
        <v>3360</v>
      </c>
      <c r="J94" s="596">
        <f t="shared" si="2"/>
        <v>54.19354838709678</v>
      </c>
    </row>
    <row r="95" spans="2:10" ht="12.75">
      <c r="B95" s="35">
        <f t="shared" si="3"/>
        <v>73</v>
      </c>
      <c r="C95" s="38"/>
      <c r="D95" s="38" t="s">
        <v>53</v>
      </c>
      <c r="E95" s="39" t="s">
        <v>20</v>
      </c>
      <c r="F95" s="33" t="s">
        <v>561</v>
      </c>
      <c r="G95" s="506"/>
      <c r="H95" s="537">
        <v>1000</v>
      </c>
      <c r="I95" s="537">
        <v>416</v>
      </c>
      <c r="J95" s="596">
        <f t="shared" si="2"/>
        <v>41.6</v>
      </c>
    </row>
    <row r="96" spans="2:10" ht="12.75">
      <c r="B96" s="35">
        <f t="shared" si="3"/>
        <v>74</v>
      </c>
      <c r="C96" s="38"/>
      <c r="D96" s="38"/>
      <c r="E96" s="39"/>
      <c r="F96" s="33"/>
      <c r="G96" s="506"/>
      <c r="H96" s="537"/>
      <c r="I96" s="537"/>
      <c r="J96" s="596"/>
    </row>
    <row r="97" spans="2:10" ht="12.75">
      <c r="B97" s="35">
        <f t="shared" si="3"/>
        <v>75</v>
      </c>
      <c r="C97" s="38"/>
      <c r="D97" s="38"/>
      <c r="E97" s="39"/>
      <c r="F97" s="70" t="s">
        <v>70</v>
      </c>
      <c r="G97" s="506"/>
      <c r="H97" s="544">
        <f>SUM(H98:H100)</f>
        <v>108000</v>
      </c>
      <c r="I97" s="544">
        <f>SUM(I98:I100)</f>
        <v>47879</v>
      </c>
      <c r="J97" s="596">
        <f t="shared" si="2"/>
        <v>44.33240740740741</v>
      </c>
    </row>
    <row r="98" spans="2:13" ht="12.75">
      <c r="B98" s="35">
        <f t="shared" si="3"/>
        <v>76</v>
      </c>
      <c r="C98" s="38"/>
      <c r="D98" s="38" t="s">
        <v>53</v>
      </c>
      <c r="E98" s="39" t="s">
        <v>26</v>
      </c>
      <c r="F98" s="33" t="s">
        <v>316</v>
      </c>
      <c r="G98" s="506"/>
      <c r="H98" s="537">
        <v>95200</v>
      </c>
      <c r="I98" s="537">
        <v>41518</v>
      </c>
      <c r="J98" s="596">
        <f t="shared" si="2"/>
        <v>43.61134453781513</v>
      </c>
      <c r="L98" s="15"/>
      <c r="M98" s="15"/>
    </row>
    <row r="99" spans="2:13" ht="12.75">
      <c r="B99" s="35">
        <f t="shared" si="3"/>
        <v>77</v>
      </c>
      <c r="C99" s="38"/>
      <c r="D99" s="38" t="s">
        <v>53</v>
      </c>
      <c r="E99" s="39" t="s">
        <v>26</v>
      </c>
      <c r="F99" s="33" t="s">
        <v>154</v>
      </c>
      <c r="G99" s="506"/>
      <c r="H99" s="537">
        <v>5500</v>
      </c>
      <c r="I99" s="537">
        <v>2434</v>
      </c>
      <c r="J99" s="596">
        <f t="shared" si="2"/>
        <v>44.25454545454545</v>
      </c>
      <c r="L99" s="15"/>
      <c r="M99" s="15"/>
    </row>
    <row r="100" spans="2:10" ht="12.75" customHeight="1">
      <c r="B100" s="35">
        <f t="shared" si="3"/>
        <v>78</v>
      </c>
      <c r="C100" s="38"/>
      <c r="D100" s="38" t="s">
        <v>53</v>
      </c>
      <c r="E100" s="39" t="s">
        <v>26</v>
      </c>
      <c r="F100" s="33" t="s">
        <v>71</v>
      </c>
      <c r="G100" s="506"/>
      <c r="H100" s="537">
        <v>7300</v>
      </c>
      <c r="I100" s="537">
        <v>3927</v>
      </c>
      <c r="J100" s="596">
        <f t="shared" si="2"/>
        <v>53.794520547945204</v>
      </c>
    </row>
    <row r="101" spans="2:10" ht="12.75" customHeight="1">
      <c r="B101" s="35">
        <f t="shared" si="3"/>
        <v>79</v>
      </c>
      <c r="C101" s="38"/>
      <c r="D101" s="38"/>
      <c r="E101" s="39"/>
      <c r="F101" s="33"/>
      <c r="G101" s="506"/>
      <c r="H101" s="537"/>
      <c r="I101" s="537"/>
      <c r="J101" s="596"/>
    </row>
    <row r="102" spans="2:13" ht="12.75" customHeight="1">
      <c r="B102" s="35">
        <f t="shared" si="3"/>
        <v>80</v>
      </c>
      <c r="C102" s="38"/>
      <c r="D102" s="38"/>
      <c r="E102" s="39"/>
      <c r="F102" s="70" t="s">
        <v>125</v>
      </c>
      <c r="G102" s="506"/>
      <c r="H102" s="544">
        <v>2000</v>
      </c>
      <c r="I102" s="544">
        <v>748</v>
      </c>
      <c r="J102" s="596">
        <f t="shared" si="2"/>
        <v>37.4</v>
      </c>
      <c r="L102" s="15"/>
      <c r="M102" s="15"/>
    </row>
    <row r="103" spans="2:13" ht="12.75" customHeight="1">
      <c r="B103" s="35">
        <f t="shared" si="3"/>
        <v>81</v>
      </c>
      <c r="C103" s="38"/>
      <c r="D103" s="38"/>
      <c r="E103" s="39"/>
      <c r="F103" s="70" t="s">
        <v>642</v>
      </c>
      <c r="G103" s="506"/>
      <c r="H103" s="544">
        <v>5800</v>
      </c>
      <c r="I103" s="544">
        <v>3104</v>
      </c>
      <c r="J103" s="596">
        <f t="shared" si="2"/>
        <v>53.51724137931034</v>
      </c>
      <c r="L103" s="15"/>
      <c r="M103" s="15"/>
    </row>
    <row r="104" spans="2:10" ht="12.75" customHeight="1">
      <c r="B104" s="35">
        <f t="shared" si="3"/>
        <v>82</v>
      </c>
      <c r="C104" s="38"/>
      <c r="D104" s="38"/>
      <c r="E104" s="39"/>
      <c r="F104" s="70"/>
      <c r="G104" s="506"/>
      <c r="H104" s="544"/>
      <c r="I104" s="544"/>
      <c r="J104" s="596"/>
    </row>
    <row r="105" spans="2:10" ht="12.75" customHeight="1">
      <c r="B105" s="35">
        <f t="shared" si="3"/>
        <v>83</v>
      </c>
      <c r="C105" s="38"/>
      <c r="D105" s="38"/>
      <c r="E105" s="39"/>
      <c r="F105" s="70" t="s">
        <v>69</v>
      </c>
      <c r="G105" s="506"/>
      <c r="H105" s="544">
        <f>SUM(H106:H109)</f>
        <v>320600</v>
      </c>
      <c r="I105" s="544">
        <f>SUM(I106:I109)</f>
        <v>166586</v>
      </c>
      <c r="J105" s="596">
        <f t="shared" si="2"/>
        <v>51.96069868995633</v>
      </c>
    </row>
    <row r="106" spans="2:10" ht="13.5" customHeight="1">
      <c r="B106" s="35">
        <f t="shared" si="3"/>
        <v>84</v>
      </c>
      <c r="C106" s="38"/>
      <c r="D106" s="38" t="s">
        <v>53</v>
      </c>
      <c r="E106" s="39" t="s">
        <v>26</v>
      </c>
      <c r="F106" s="33" t="s">
        <v>153</v>
      </c>
      <c r="G106" s="506"/>
      <c r="H106" s="537">
        <v>9600</v>
      </c>
      <c r="I106" s="537">
        <v>4441</v>
      </c>
      <c r="J106" s="596">
        <f t="shared" si="2"/>
        <v>46.260416666666664</v>
      </c>
    </row>
    <row r="107" spans="2:10" ht="12.75">
      <c r="B107" s="35">
        <f t="shared" si="3"/>
        <v>85</v>
      </c>
      <c r="C107" s="38"/>
      <c r="D107" s="38" t="s">
        <v>53</v>
      </c>
      <c r="E107" s="39" t="s">
        <v>26</v>
      </c>
      <c r="F107" s="33" t="s">
        <v>152</v>
      </c>
      <c r="G107" s="506"/>
      <c r="H107" s="537">
        <v>130000</v>
      </c>
      <c r="I107" s="537">
        <v>67576</v>
      </c>
      <c r="J107" s="596">
        <f t="shared" si="2"/>
        <v>51.981538461538456</v>
      </c>
    </row>
    <row r="108" spans="2:10" ht="12.75">
      <c r="B108" s="35">
        <f t="shared" si="3"/>
        <v>86</v>
      </c>
      <c r="C108" s="38"/>
      <c r="D108" s="38" t="s">
        <v>53</v>
      </c>
      <c r="E108" s="39" t="s">
        <v>26</v>
      </c>
      <c r="F108" s="33" t="s">
        <v>178</v>
      </c>
      <c r="G108" s="506"/>
      <c r="H108" s="537">
        <v>180000</v>
      </c>
      <c r="I108" s="537">
        <v>94001</v>
      </c>
      <c r="J108" s="596">
        <f t="shared" si="2"/>
        <v>52.22277777777777</v>
      </c>
    </row>
    <row r="109" spans="2:13" ht="12.75">
      <c r="B109" s="35">
        <f t="shared" si="3"/>
        <v>87</v>
      </c>
      <c r="C109" s="38"/>
      <c r="D109" s="38" t="s">
        <v>41</v>
      </c>
      <c r="E109" s="39" t="s">
        <v>20</v>
      </c>
      <c r="F109" s="51" t="s">
        <v>72</v>
      </c>
      <c r="G109" s="506"/>
      <c r="H109" s="537">
        <v>1000</v>
      </c>
      <c r="I109" s="537">
        <v>568</v>
      </c>
      <c r="J109" s="596">
        <f t="shared" si="2"/>
        <v>56.8</v>
      </c>
      <c r="L109" s="15"/>
      <c r="M109" s="15"/>
    </row>
    <row r="110" spans="2:10" ht="12.75">
      <c r="B110" s="35">
        <f t="shared" si="3"/>
        <v>88</v>
      </c>
      <c r="C110" s="38"/>
      <c r="D110" s="38"/>
      <c r="E110" s="39"/>
      <c r="F110" s="51"/>
      <c r="G110" s="506"/>
      <c r="H110" s="537"/>
      <c r="I110" s="537"/>
      <c r="J110" s="596"/>
    </row>
    <row r="111" spans="2:10" ht="12.75">
      <c r="B111" s="35">
        <f t="shared" si="3"/>
        <v>89</v>
      </c>
      <c r="C111" s="38"/>
      <c r="D111" s="39"/>
      <c r="E111" s="39"/>
      <c r="F111" s="70" t="s">
        <v>191</v>
      </c>
      <c r="G111" s="506"/>
      <c r="H111" s="544">
        <f>H112+H113</f>
        <v>128000</v>
      </c>
      <c r="I111" s="544">
        <f>I112+I113</f>
        <v>65089</v>
      </c>
      <c r="J111" s="596">
        <f t="shared" si="2"/>
        <v>50.85078125</v>
      </c>
    </row>
    <row r="112" spans="2:10" ht="12.75" customHeight="1">
      <c r="B112" s="35">
        <f t="shared" si="3"/>
        <v>90</v>
      </c>
      <c r="C112" s="38"/>
      <c r="D112" s="2" t="s">
        <v>53</v>
      </c>
      <c r="E112" s="2" t="s">
        <v>26</v>
      </c>
      <c r="F112" s="33" t="s">
        <v>333</v>
      </c>
      <c r="G112" s="505"/>
      <c r="H112" s="537">
        <v>108000</v>
      </c>
      <c r="I112" s="537">
        <v>54299</v>
      </c>
      <c r="J112" s="596">
        <f t="shared" si="2"/>
        <v>50.27685185185186</v>
      </c>
    </row>
    <row r="113" spans="2:10" ht="13.5" customHeight="1">
      <c r="B113" s="35">
        <f t="shared" si="3"/>
        <v>91</v>
      </c>
      <c r="C113" s="38"/>
      <c r="D113" s="2" t="s">
        <v>53</v>
      </c>
      <c r="E113" s="2" t="s">
        <v>26</v>
      </c>
      <c r="F113" s="33" t="s">
        <v>334</v>
      </c>
      <c r="G113" s="505"/>
      <c r="H113" s="537">
        <v>20000</v>
      </c>
      <c r="I113" s="537">
        <v>10790</v>
      </c>
      <c r="J113" s="596">
        <f t="shared" si="2"/>
        <v>53.949999999999996</v>
      </c>
    </row>
    <row r="114" spans="2:10" ht="13.5" customHeight="1">
      <c r="B114" s="35">
        <f t="shared" si="3"/>
        <v>92</v>
      </c>
      <c r="C114" s="38"/>
      <c r="D114" s="2"/>
      <c r="E114" s="2"/>
      <c r="F114" s="33"/>
      <c r="G114" s="505"/>
      <c r="H114" s="537"/>
      <c r="I114" s="537"/>
      <c r="J114" s="596"/>
    </row>
    <row r="115" spans="2:13" ht="13.5" customHeight="1">
      <c r="B115" s="35">
        <f t="shared" si="3"/>
        <v>93</v>
      </c>
      <c r="C115" s="38"/>
      <c r="D115" s="2" t="s">
        <v>539</v>
      </c>
      <c r="E115" s="2"/>
      <c r="F115" s="33" t="s">
        <v>848</v>
      </c>
      <c r="G115" s="505"/>
      <c r="H115" s="537"/>
      <c r="I115" s="537">
        <v>5</v>
      </c>
      <c r="J115" s="596"/>
      <c r="L115" s="15"/>
      <c r="M115" s="15"/>
    </row>
    <row r="116" spans="2:13" ht="13.5" thickBot="1">
      <c r="B116" s="698">
        <f t="shared" si="3"/>
        <v>94</v>
      </c>
      <c r="C116" s="54"/>
      <c r="D116" s="727" t="s">
        <v>61</v>
      </c>
      <c r="E116" s="727"/>
      <c r="F116" s="256" t="s">
        <v>849</v>
      </c>
      <c r="G116" s="728"/>
      <c r="H116" s="675"/>
      <c r="I116" s="675">
        <v>775</v>
      </c>
      <c r="J116" s="677"/>
      <c r="L116" s="15"/>
      <c r="M116" s="15"/>
    </row>
    <row r="117" spans="2:13" ht="12.75">
      <c r="B117" s="702"/>
      <c r="C117" s="729"/>
      <c r="D117" s="730"/>
      <c r="E117" s="730"/>
      <c r="F117" s="731"/>
      <c r="G117" s="732"/>
      <c r="H117" s="708"/>
      <c r="I117" s="708"/>
      <c r="J117" s="709"/>
      <c r="L117" s="15"/>
      <c r="M117" s="15"/>
    </row>
    <row r="118" spans="2:13" ht="12.75">
      <c r="B118" s="664"/>
      <c r="C118" s="665"/>
      <c r="D118" s="733"/>
      <c r="E118" s="733"/>
      <c r="F118" s="256"/>
      <c r="G118" s="734"/>
      <c r="H118" s="252"/>
      <c r="I118" s="252"/>
      <c r="J118" s="668"/>
      <c r="L118" s="15"/>
      <c r="M118" s="15"/>
    </row>
    <row r="119" spans="2:13" ht="12.75">
      <c r="B119" s="664"/>
      <c r="C119" s="665"/>
      <c r="D119" s="733"/>
      <c r="E119" s="733"/>
      <c r="F119" s="256"/>
      <c r="G119" s="734"/>
      <c r="H119" s="252"/>
      <c r="I119" s="252"/>
      <c r="J119" s="668"/>
      <c r="L119" s="15"/>
      <c r="M119" s="15"/>
    </row>
    <row r="120" spans="2:13" ht="12.75">
      <c r="B120" s="664"/>
      <c r="C120" s="665"/>
      <c r="D120" s="733"/>
      <c r="E120" s="733"/>
      <c r="F120" s="256"/>
      <c r="G120" s="734"/>
      <c r="H120" s="252"/>
      <c r="I120" s="252"/>
      <c r="J120" s="668"/>
      <c r="L120" s="15"/>
      <c r="M120" s="15"/>
    </row>
    <row r="121" spans="2:13" ht="12.75">
      <c r="B121" s="664"/>
      <c r="C121" s="665"/>
      <c r="D121" s="733"/>
      <c r="E121" s="733"/>
      <c r="F121" s="256"/>
      <c r="G121" s="734"/>
      <c r="H121" s="252"/>
      <c r="I121" s="252"/>
      <c r="J121" s="668"/>
      <c r="L121" s="15"/>
      <c r="M121" s="15"/>
    </row>
    <row r="122" spans="2:13" ht="12.75">
      <c r="B122" s="664"/>
      <c r="C122" s="665"/>
      <c r="D122" s="733"/>
      <c r="E122" s="733"/>
      <c r="F122" s="256"/>
      <c r="G122" s="734"/>
      <c r="H122" s="252"/>
      <c r="I122" s="252"/>
      <c r="J122" s="668"/>
      <c r="L122" s="15"/>
      <c r="M122" s="15"/>
    </row>
    <row r="123" spans="2:13" ht="12.75">
      <c r="B123" s="664"/>
      <c r="C123" s="665"/>
      <c r="D123" s="733"/>
      <c r="E123" s="733"/>
      <c r="F123" s="256"/>
      <c r="G123" s="734"/>
      <c r="H123" s="252"/>
      <c r="I123" s="252"/>
      <c r="J123" s="668"/>
      <c r="L123" s="15"/>
      <c r="M123" s="15"/>
    </row>
    <row r="124" spans="2:13" ht="12.75">
      <c r="B124" s="664"/>
      <c r="C124" s="665"/>
      <c r="D124" s="733"/>
      <c r="E124" s="733"/>
      <c r="F124" s="256"/>
      <c r="G124" s="734"/>
      <c r="H124" s="252"/>
      <c r="I124" s="252"/>
      <c r="J124" s="668"/>
      <c r="L124" s="15"/>
      <c r="M124" s="15"/>
    </row>
    <row r="125" spans="2:13" ht="12.75">
      <c r="B125" s="664"/>
      <c r="C125" s="665"/>
      <c r="D125" s="733"/>
      <c r="E125" s="733"/>
      <c r="F125" s="256"/>
      <c r="G125" s="734"/>
      <c r="H125" s="252"/>
      <c r="I125" s="252"/>
      <c r="J125" s="668"/>
      <c r="L125" s="15"/>
      <c r="M125" s="15"/>
    </row>
    <row r="126" spans="2:13" ht="12.75">
      <c r="B126" s="664"/>
      <c r="C126" s="665"/>
      <c r="D126" s="733"/>
      <c r="E126" s="733"/>
      <c r="F126" s="256"/>
      <c r="G126" s="734"/>
      <c r="H126" s="252"/>
      <c r="I126" s="252"/>
      <c r="J126" s="668"/>
      <c r="L126" s="15"/>
      <c r="M126" s="15"/>
    </row>
    <row r="127" spans="2:13" ht="12.75">
      <c r="B127" s="664"/>
      <c r="C127" s="665"/>
      <c r="D127" s="733"/>
      <c r="E127" s="733"/>
      <c r="F127" s="256"/>
      <c r="G127" s="734"/>
      <c r="H127" s="252"/>
      <c r="I127" s="252"/>
      <c r="J127" s="668"/>
      <c r="L127" s="15"/>
      <c r="M127" s="15"/>
    </row>
    <row r="128" spans="2:13" ht="12.75">
      <c r="B128" s="664"/>
      <c r="C128" s="665"/>
      <c r="D128" s="733"/>
      <c r="E128" s="733"/>
      <c r="F128" s="256"/>
      <c r="G128" s="734"/>
      <c r="H128" s="252"/>
      <c r="I128" s="252"/>
      <c r="J128" s="668"/>
      <c r="L128" s="15"/>
      <c r="M128" s="15"/>
    </row>
    <row r="129" spans="2:13" ht="12.75">
      <c r="B129" s="664"/>
      <c r="C129" s="665"/>
      <c r="D129" s="733"/>
      <c r="E129" s="733"/>
      <c r="F129" s="256"/>
      <c r="G129" s="734"/>
      <c r="H129" s="252"/>
      <c r="I129" s="252"/>
      <c r="J129" s="668"/>
      <c r="L129" s="15"/>
      <c r="M129" s="15"/>
    </row>
    <row r="130" spans="2:13" ht="12.75">
      <c r="B130" s="664"/>
      <c r="C130" s="665"/>
      <c r="D130" s="733"/>
      <c r="E130" s="733"/>
      <c r="F130" s="256"/>
      <c r="G130" s="734"/>
      <c r="H130" s="252"/>
      <c r="I130" s="252"/>
      <c r="J130" s="668"/>
      <c r="L130" s="15"/>
      <c r="M130" s="15"/>
    </row>
    <row r="131" spans="2:13" ht="12.75">
      <c r="B131" s="664"/>
      <c r="C131" s="665"/>
      <c r="D131" s="733"/>
      <c r="E131" s="733"/>
      <c r="F131" s="256"/>
      <c r="G131" s="734"/>
      <c r="H131" s="252"/>
      <c r="I131" s="252"/>
      <c r="J131" s="668"/>
      <c r="L131" s="15"/>
      <c r="M131" s="15"/>
    </row>
    <row r="132" spans="2:13" ht="12.75">
      <c r="B132" s="664"/>
      <c r="C132" s="665"/>
      <c r="D132" s="733"/>
      <c r="E132" s="733"/>
      <c r="F132" s="256"/>
      <c r="G132" s="734"/>
      <c r="H132" s="252"/>
      <c r="I132" s="252"/>
      <c r="J132" s="668"/>
      <c r="L132" s="15"/>
      <c r="M132" s="15"/>
    </row>
    <row r="133" spans="2:13" ht="12.75">
      <c r="B133" s="664"/>
      <c r="C133" s="665"/>
      <c r="D133" s="733"/>
      <c r="E133" s="733"/>
      <c r="F133" s="256"/>
      <c r="G133" s="734"/>
      <c r="H133" s="252"/>
      <c r="I133" s="252"/>
      <c r="J133" s="668"/>
      <c r="L133" s="15"/>
      <c r="M133" s="15"/>
    </row>
    <row r="134" spans="2:13" ht="12.75">
      <c r="B134" s="664"/>
      <c r="C134" s="665"/>
      <c r="D134" s="733"/>
      <c r="E134" s="733"/>
      <c r="F134" s="256"/>
      <c r="G134" s="734"/>
      <c r="H134" s="252"/>
      <c r="I134" s="252"/>
      <c r="J134" s="668"/>
      <c r="L134" s="15"/>
      <c r="M134" s="15"/>
    </row>
    <row r="135" spans="2:13" ht="12.75">
      <c r="B135" s="664"/>
      <c r="C135" s="665"/>
      <c r="D135" s="733"/>
      <c r="E135" s="733"/>
      <c r="F135" s="256"/>
      <c r="G135" s="734"/>
      <c r="H135" s="252"/>
      <c r="I135" s="252"/>
      <c r="J135" s="668"/>
      <c r="L135" s="15"/>
      <c r="M135" s="15"/>
    </row>
    <row r="136" spans="2:13" ht="13.5" thickBot="1">
      <c r="B136" s="711"/>
      <c r="C136" s="735"/>
      <c r="D136" s="736"/>
      <c r="E136" s="736"/>
      <c r="F136" s="737"/>
      <c r="G136" s="738"/>
      <c r="H136" s="717"/>
      <c r="I136" s="717"/>
      <c r="J136" s="718"/>
      <c r="L136" s="15"/>
      <c r="M136" s="15"/>
    </row>
    <row r="137" spans="2:13" ht="12.75">
      <c r="B137" s="1053" t="s">
        <v>9</v>
      </c>
      <c r="C137" s="1062"/>
      <c r="D137" s="1062"/>
      <c r="E137" s="1062"/>
      <c r="F137" s="1062"/>
      <c r="G137" s="1063"/>
      <c r="H137" s="1049" t="s">
        <v>805</v>
      </c>
      <c r="I137" s="1049" t="s">
        <v>836</v>
      </c>
      <c r="J137" s="1046" t="s">
        <v>835</v>
      </c>
      <c r="L137" s="15"/>
      <c r="M137" s="15"/>
    </row>
    <row r="138" spans="2:13" ht="12.75">
      <c r="B138" s="1064"/>
      <c r="C138" s="1065"/>
      <c r="D138" s="1065"/>
      <c r="E138" s="1065"/>
      <c r="F138" s="1065"/>
      <c r="G138" s="1066"/>
      <c r="H138" s="1050"/>
      <c r="I138" s="1050"/>
      <c r="J138" s="1047"/>
      <c r="L138" s="15"/>
      <c r="M138" s="15"/>
    </row>
    <row r="139" spans="2:13" ht="12.75">
      <c r="B139" s="81"/>
      <c r="C139" s="1067" t="s">
        <v>10</v>
      </c>
      <c r="D139" s="82" t="s">
        <v>11</v>
      </c>
      <c r="E139" s="82" t="s">
        <v>12</v>
      </c>
      <c r="F139" s="83"/>
      <c r="G139" s="487"/>
      <c r="H139" s="1050"/>
      <c r="I139" s="1050"/>
      <c r="J139" s="1047"/>
      <c r="L139" s="15"/>
      <c r="M139" s="15"/>
    </row>
    <row r="140" spans="2:13" ht="13.5" thickBot="1">
      <c r="B140" s="85"/>
      <c r="C140" s="1061"/>
      <c r="D140" s="87"/>
      <c r="E140" s="86" t="s">
        <v>13</v>
      </c>
      <c r="F140" s="88" t="s">
        <v>14</v>
      </c>
      <c r="G140" s="488"/>
      <c r="H140" s="1051"/>
      <c r="I140" s="1051"/>
      <c r="J140" s="1048"/>
      <c r="L140" s="15"/>
      <c r="M140" s="15"/>
    </row>
    <row r="141" spans="2:10" ht="13.5" thickTop="1">
      <c r="B141" s="35">
        <f>B116+1</f>
        <v>95</v>
      </c>
      <c r="C141" s="6"/>
      <c r="D141" s="57"/>
      <c r="E141" s="71"/>
      <c r="F141" s="120" t="s">
        <v>73</v>
      </c>
      <c r="G141" s="490"/>
      <c r="H141" s="555">
        <f>H142+H144+H147+H165</f>
        <v>138520</v>
      </c>
      <c r="I141" s="555">
        <f>I142+I144+I147+I165+I166+I170</f>
        <v>86447</v>
      </c>
      <c r="J141" s="596">
        <f t="shared" si="2"/>
        <v>62.40759457118106</v>
      </c>
    </row>
    <row r="142" spans="1:10" s="162" customFormat="1" ht="12.75">
      <c r="A142" s="243"/>
      <c r="B142" s="35">
        <f>B141+1</f>
        <v>96</v>
      </c>
      <c r="C142" s="154"/>
      <c r="D142" s="154"/>
      <c r="E142" s="50"/>
      <c r="F142" s="194" t="s">
        <v>467</v>
      </c>
      <c r="G142" s="507"/>
      <c r="H142" s="544">
        <f>H143</f>
        <v>600</v>
      </c>
      <c r="I142" s="544">
        <f>I143</f>
        <v>407</v>
      </c>
      <c r="J142" s="596">
        <f t="shared" si="2"/>
        <v>67.83333333333333</v>
      </c>
    </row>
    <row r="143" spans="2:10" ht="12.75">
      <c r="B143" s="35">
        <f t="shared" si="3"/>
        <v>97</v>
      </c>
      <c r="C143" s="38" t="s">
        <v>46</v>
      </c>
      <c r="D143" s="38" t="s">
        <v>53</v>
      </c>
      <c r="E143" s="39" t="s">
        <v>28</v>
      </c>
      <c r="F143" s="51" t="s">
        <v>256</v>
      </c>
      <c r="G143" s="506"/>
      <c r="H143" s="553">
        <v>600</v>
      </c>
      <c r="I143" s="553">
        <v>407</v>
      </c>
      <c r="J143" s="596">
        <f t="shared" si="2"/>
        <v>67.83333333333333</v>
      </c>
    </row>
    <row r="144" spans="2:10" ht="12.75">
      <c r="B144" s="35">
        <f t="shared" si="3"/>
        <v>98</v>
      </c>
      <c r="C144" s="6" t="s">
        <v>39</v>
      </c>
      <c r="D144" s="6"/>
      <c r="E144" s="8"/>
      <c r="F144" s="40" t="s">
        <v>40</v>
      </c>
      <c r="G144" s="491"/>
      <c r="H144" s="536">
        <f>H145</f>
        <v>8065</v>
      </c>
      <c r="I144" s="536">
        <f>I145</f>
        <v>3153</v>
      </c>
      <c r="J144" s="596">
        <f t="shared" si="2"/>
        <v>39.094854308741475</v>
      </c>
    </row>
    <row r="145" spans="2:10" ht="14.25" customHeight="1">
      <c r="B145" s="35">
        <f t="shared" si="3"/>
        <v>99</v>
      </c>
      <c r="C145" s="49"/>
      <c r="D145" s="38" t="s">
        <v>41</v>
      </c>
      <c r="E145" s="9" t="s">
        <v>20</v>
      </c>
      <c r="F145" s="45" t="s">
        <v>76</v>
      </c>
      <c r="G145" s="491"/>
      <c r="H145" s="537">
        <f>8500-435</f>
        <v>8065</v>
      </c>
      <c r="I145" s="537">
        <v>3153</v>
      </c>
      <c r="J145" s="596">
        <f t="shared" si="2"/>
        <v>39.094854308741475</v>
      </c>
    </row>
    <row r="146" spans="2:10" ht="12.75" customHeight="1">
      <c r="B146" s="35">
        <f t="shared" si="3"/>
        <v>100</v>
      </c>
      <c r="C146" s="49"/>
      <c r="D146" s="38"/>
      <c r="E146" s="9"/>
      <c r="F146" s="45"/>
      <c r="G146" s="491"/>
      <c r="H146" s="537"/>
      <c r="I146" s="537"/>
      <c r="J146" s="596"/>
    </row>
    <row r="147" spans="2:10" ht="12.75">
      <c r="B147" s="35">
        <f t="shared" si="3"/>
        <v>101</v>
      </c>
      <c r="C147" s="6" t="s">
        <v>46</v>
      </c>
      <c r="D147" s="49"/>
      <c r="E147" s="50"/>
      <c r="F147" s="40" t="s">
        <v>47</v>
      </c>
      <c r="G147" s="491"/>
      <c r="H147" s="536">
        <f>H148+H164</f>
        <v>129840</v>
      </c>
      <c r="I147" s="536">
        <f>I148+I164</f>
        <v>71557</v>
      </c>
      <c r="J147" s="596">
        <f t="shared" si="2"/>
        <v>55.111675908810845</v>
      </c>
    </row>
    <row r="148" spans="2:10" ht="14.25" customHeight="1">
      <c r="B148" s="35">
        <f t="shared" si="3"/>
        <v>102</v>
      </c>
      <c r="C148" s="49"/>
      <c r="D148" s="39" t="s">
        <v>53</v>
      </c>
      <c r="E148" s="39" t="s">
        <v>28</v>
      </c>
      <c r="F148" s="45" t="s">
        <v>77</v>
      </c>
      <c r="G148" s="491"/>
      <c r="H148" s="537">
        <f>SUM(H149:H163)</f>
        <v>129440</v>
      </c>
      <c r="I148" s="537">
        <f>SUM(I149:I163)</f>
        <v>71265</v>
      </c>
      <c r="J148" s="596">
        <f t="shared" si="2"/>
        <v>55.056396786155744</v>
      </c>
    </row>
    <row r="149" spans="2:10" ht="14.25" customHeight="1">
      <c r="B149" s="35">
        <f t="shared" si="3"/>
        <v>103</v>
      </c>
      <c r="C149" s="49"/>
      <c r="D149" s="39"/>
      <c r="E149" s="39"/>
      <c r="F149" s="45"/>
      <c r="G149" s="492" t="s">
        <v>344</v>
      </c>
      <c r="H149" s="537">
        <v>7400</v>
      </c>
      <c r="I149" s="537">
        <v>4494</v>
      </c>
      <c r="J149" s="596">
        <f t="shared" si="2"/>
        <v>60.72972972972973</v>
      </c>
    </row>
    <row r="150" spans="2:10" ht="14.25" customHeight="1">
      <c r="B150" s="35">
        <f t="shared" si="3"/>
        <v>104</v>
      </c>
      <c r="C150" s="49"/>
      <c r="D150" s="39"/>
      <c r="E150" s="39"/>
      <c r="F150" s="45"/>
      <c r="G150" s="492" t="s">
        <v>345</v>
      </c>
      <c r="H150" s="537">
        <v>8830</v>
      </c>
      <c r="I150" s="537">
        <v>4708</v>
      </c>
      <c r="J150" s="596">
        <f t="shared" si="2"/>
        <v>53.31823329558324</v>
      </c>
    </row>
    <row r="151" spans="2:10" ht="14.25" customHeight="1">
      <c r="B151" s="35">
        <f t="shared" si="3"/>
        <v>105</v>
      </c>
      <c r="C151" s="49"/>
      <c r="D151" s="39"/>
      <c r="E151" s="39"/>
      <c r="F151" s="45"/>
      <c r="G151" s="492" t="s">
        <v>346</v>
      </c>
      <c r="H151" s="537">
        <v>6690</v>
      </c>
      <c r="I151" s="537">
        <v>4189</v>
      </c>
      <c r="J151" s="596">
        <f t="shared" si="2"/>
        <v>62.615844544095665</v>
      </c>
    </row>
    <row r="152" spans="2:10" ht="14.25" customHeight="1">
      <c r="B152" s="35">
        <f t="shared" si="3"/>
        <v>106</v>
      </c>
      <c r="C152" s="49"/>
      <c r="D152" s="39"/>
      <c r="E152" s="39"/>
      <c r="F152" s="45"/>
      <c r="G152" s="492" t="s">
        <v>347</v>
      </c>
      <c r="H152" s="537">
        <v>9970</v>
      </c>
      <c r="I152" s="537">
        <v>5754</v>
      </c>
      <c r="J152" s="596">
        <f t="shared" si="2"/>
        <v>57.71313941825477</v>
      </c>
    </row>
    <row r="153" spans="2:10" ht="14.25" customHeight="1">
      <c r="B153" s="35">
        <f t="shared" si="3"/>
        <v>107</v>
      </c>
      <c r="C153" s="49"/>
      <c r="D153" s="39"/>
      <c r="E153" s="39"/>
      <c r="F153" s="45"/>
      <c r="G153" s="492" t="s">
        <v>348</v>
      </c>
      <c r="H153" s="537">
        <v>8400</v>
      </c>
      <c r="I153" s="537">
        <v>4709</v>
      </c>
      <c r="J153" s="596">
        <f t="shared" si="2"/>
        <v>56.05952380952382</v>
      </c>
    </row>
    <row r="154" spans="2:10" ht="14.25" customHeight="1">
      <c r="B154" s="35">
        <f t="shared" si="3"/>
        <v>108</v>
      </c>
      <c r="C154" s="49"/>
      <c r="D154" s="39"/>
      <c r="E154" s="39"/>
      <c r="F154" s="45"/>
      <c r="G154" s="492" t="s">
        <v>349</v>
      </c>
      <c r="H154" s="537">
        <v>14100</v>
      </c>
      <c r="I154" s="537">
        <v>8421</v>
      </c>
      <c r="J154" s="596">
        <f t="shared" si="2"/>
        <v>59.723404255319146</v>
      </c>
    </row>
    <row r="155" spans="2:10" ht="14.25" customHeight="1">
      <c r="B155" s="35">
        <f t="shared" si="3"/>
        <v>109</v>
      </c>
      <c r="C155" s="49"/>
      <c r="D155" s="39"/>
      <c r="E155" s="39"/>
      <c r="F155" s="45"/>
      <c r="G155" s="492" t="s">
        <v>350</v>
      </c>
      <c r="H155" s="537">
        <v>14240</v>
      </c>
      <c r="I155" s="537">
        <v>8017</v>
      </c>
      <c r="J155" s="596">
        <f t="shared" si="2"/>
        <v>56.299157303370784</v>
      </c>
    </row>
    <row r="156" spans="2:10" ht="14.25" customHeight="1">
      <c r="B156" s="35">
        <f t="shared" si="3"/>
        <v>110</v>
      </c>
      <c r="C156" s="49"/>
      <c r="D156" s="39"/>
      <c r="E156" s="39"/>
      <c r="F156" s="45"/>
      <c r="G156" s="492" t="s">
        <v>351</v>
      </c>
      <c r="H156" s="537">
        <v>5980</v>
      </c>
      <c r="I156" s="537">
        <v>3073</v>
      </c>
      <c r="J156" s="596">
        <f t="shared" si="2"/>
        <v>51.38795986622073</v>
      </c>
    </row>
    <row r="157" spans="2:10" ht="14.25" customHeight="1">
      <c r="B157" s="35">
        <f t="shared" si="3"/>
        <v>111</v>
      </c>
      <c r="C157" s="49"/>
      <c r="D157" s="39"/>
      <c r="E157" s="39"/>
      <c r="F157" s="45"/>
      <c r="G157" s="492" t="s">
        <v>352</v>
      </c>
      <c r="H157" s="537">
        <v>11250</v>
      </c>
      <c r="I157" s="537">
        <v>6808</v>
      </c>
      <c r="J157" s="596">
        <f t="shared" si="2"/>
        <v>60.51555555555556</v>
      </c>
    </row>
    <row r="158" spans="2:10" ht="14.25" customHeight="1">
      <c r="B158" s="35">
        <f t="shared" si="3"/>
        <v>112</v>
      </c>
      <c r="C158" s="49"/>
      <c r="D158" s="39"/>
      <c r="E158" s="39"/>
      <c r="F158" s="45"/>
      <c r="G158" s="492" t="s">
        <v>353</v>
      </c>
      <c r="H158" s="537">
        <f>10110+1000</f>
        <v>11110</v>
      </c>
      <c r="I158" s="537">
        <v>6084</v>
      </c>
      <c r="J158" s="596">
        <f t="shared" si="2"/>
        <v>54.761476147614765</v>
      </c>
    </row>
    <row r="159" spans="2:10" ht="14.25" customHeight="1">
      <c r="B159" s="35">
        <f t="shared" si="3"/>
        <v>113</v>
      </c>
      <c r="C159" s="49"/>
      <c r="D159" s="39"/>
      <c r="E159" s="39"/>
      <c r="F159" s="45"/>
      <c r="G159" s="492" t="s">
        <v>354</v>
      </c>
      <c r="H159" s="537">
        <v>8540</v>
      </c>
      <c r="I159" s="537">
        <v>3976</v>
      </c>
      <c r="J159" s="596">
        <f t="shared" si="2"/>
        <v>46.557377049180324</v>
      </c>
    </row>
    <row r="160" spans="2:10" ht="14.25" customHeight="1">
      <c r="B160" s="35">
        <f t="shared" si="3"/>
        <v>114</v>
      </c>
      <c r="C160" s="49"/>
      <c r="D160" s="39"/>
      <c r="E160" s="39"/>
      <c r="F160" s="45"/>
      <c r="G160" s="492" t="s">
        <v>355</v>
      </c>
      <c r="H160" s="537">
        <v>3700</v>
      </c>
      <c r="I160" s="537">
        <v>2180</v>
      </c>
      <c r="J160" s="596">
        <f t="shared" si="2"/>
        <v>58.91891891891892</v>
      </c>
    </row>
    <row r="161" spans="2:10" ht="14.25" customHeight="1">
      <c r="B161" s="35">
        <f t="shared" si="3"/>
        <v>115</v>
      </c>
      <c r="C161" s="49"/>
      <c r="D161" s="39"/>
      <c r="E161" s="39"/>
      <c r="F161" s="45"/>
      <c r="G161" s="492" t="s">
        <v>356</v>
      </c>
      <c r="H161" s="537">
        <v>4130</v>
      </c>
      <c r="I161" s="537">
        <v>2454</v>
      </c>
      <c r="J161" s="596">
        <f t="shared" si="2"/>
        <v>59.41888619854721</v>
      </c>
    </row>
    <row r="162" spans="2:10" ht="14.25" customHeight="1">
      <c r="B162" s="35">
        <f t="shared" si="3"/>
        <v>116</v>
      </c>
      <c r="C162" s="49"/>
      <c r="D162" s="39"/>
      <c r="E162" s="39"/>
      <c r="F162" s="45"/>
      <c r="G162" s="492" t="s">
        <v>357</v>
      </c>
      <c r="H162" s="537">
        <v>3420</v>
      </c>
      <c r="I162" s="537">
        <v>1947</v>
      </c>
      <c r="J162" s="596">
        <f t="shared" si="2"/>
        <v>56.92982456140351</v>
      </c>
    </row>
    <row r="163" spans="2:10" ht="14.25" customHeight="1">
      <c r="B163" s="35">
        <f t="shared" si="3"/>
        <v>117</v>
      </c>
      <c r="C163" s="49"/>
      <c r="D163" s="39"/>
      <c r="E163" s="39"/>
      <c r="F163" s="45"/>
      <c r="G163" s="492" t="s">
        <v>358</v>
      </c>
      <c r="H163" s="537">
        <f>9680+2000</f>
        <v>11680</v>
      </c>
      <c r="I163" s="537">
        <v>4451</v>
      </c>
      <c r="J163" s="596">
        <f t="shared" si="2"/>
        <v>38.10787671232877</v>
      </c>
    </row>
    <row r="164" spans="2:10" ht="15.75" customHeight="1">
      <c r="B164" s="35">
        <f t="shared" si="3"/>
        <v>118</v>
      </c>
      <c r="C164" s="49"/>
      <c r="D164" s="39" t="s">
        <v>53</v>
      </c>
      <c r="E164" s="39" t="s">
        <v>28</v>
      </c>
      <c r="F164" s="45" t="s">
        <v>122</v>
      </c>
      <c r="G164" s="491"/>
      <c r="H164" s="537">
        <v>400</v>
      </c>
      <c r="I164" s="537">
        <v>292</v>
      </c>
      <c r="J164" s="596">
        <f t="shared" si="2"/>
        <v>73</v>
      </c>
    </row>
    <row r="165" spans="2:10" ht="15.75" customHeight="1">
      <c r="B165" s="35">
        <f t="shared" si="3"/>
        <v>119</v>
      </c>
      <c r="C165" s="57" t="s">
        <v>57</v>
      </c>
      <c r="D165" s="333" t="s">
        <v>119</v>
      </c>
      <c r="E165" s="58"/>
      <c r="F165" s="59" t="s">
        <v>58</v>
      </c>
      <c r="G165" s="496"/>
      <c r="H165" s="669">
        <v>15</v>
      </c>
      <c r="I165" s="669">
        <v>5</v>
      </c>
      <c r="J165" s="670">
        <f t="shared" si="2"/>
        <v>33.33333333333333</v>
      </c>
    </row>
    <row r="166" spans="2:10" ht="15.75" customHeight="1">
      <c r="B166" s="35">
        <f>B165+1</f>
        <v>120</v>
      </c>
      <c r="C166" s="6" t="s">
        <v>59</v>
      </c>
      <c r="D166" s="39"/>
      <c r="E166" s="50"/>
      <c r="F166" s="59" t="s">
        <v>60</v>
      </c>
      <c r="G166" s="491"/>
      <c r="H166" s="536"/>
      <c r="I166" s="536">
        <f>I167+I168+I169</f>
        <v>10614</v>
      </c>
      <c r="J166" s="596"/>
    </row>
    <row r="167" spans="2:10" ht="15.75" customHeight="1">
      <c r="B167" s="35">
        <f>B166+1</f>
        <v>121</v>
      </c>
      <c r="C167" s="49"/>
      <c r="D167" s="38" t="s">
        <v>61</v>
      </c>
      <c r="E167" s="9" t="s">
        <v>860</v>
      </c>
      <c r="F167" s="45" t="s">
        <v>861</v>
      </c>
      <c r="G167" s="491"/>
      <c r="H167" s="537"/>
      <c r="I167" s="549">
        <v>113</v>
      </c>
      <c r="J167" s="596"/>
    </row>
    <row r="168" spans="2:10" ht="15.75" customHeight="1">
      <c r="B168" s="35">
        <f>B167+1</f>
        <v>122</v>
      </c>
      <c r="C168" s="49"/>
      <c r="D168" s="38" t="s">
        <v>61</v>
      </c>
      <c r="E168" s="9" t="s">
        <v>34</v>
      </c>
      <c r="F168" s="45" t="s">
        <v>862</v>
      </c>
      <c r="G168" s="491"/>
      <c r="H168" s="537"/>
      <c r="I168" s="549">
        <v>8579</v>
      </c>
      <c r="J168" s="596"/>
    </row>
    <row r="169" spans="2:10" ht="15.75" customHeight="1">
      <c r="B169" s="674">
        <f>B168+1</f>
        <v>123</v>
      </c>
      <c r="C169" s="75"/>
      <c r="D169" s="54" t="s">
        <v>61</v>
      </c>
      <c r="E169" s="31" t="s">
        <v>863</v>
      </c>
      <c r="F169" s="32" t="s">
        <v>864</v>
      </c>
      <c r="G169" s="497"/>
      <c r="H169" s="675"/>
      <c r="I169" s="676">
        <v>1922</v>
      </c>
      <c r="J169" s="677"/>
    </row>
    <row r="170" spans="2:10" ht="15.75" customHeight="1" thickBot="1">
      <c r="B170" s="190">
        <f>B169+1</f>
        <v>124</v>
      </c>
      <c r="C170" s="678" t="s">
        <v>669</v>
      </c>
      <c r="D170" s="456"/>
      <c r="E170" s="679"/>
      <c r="F170" s="680" t="s">
        <v>752</v>
      </c>
      <c r="G170" s="681"/>
      <c r="H170" s="569"/>
      <c r="I170" s="682">
        <v>711</v>
      </c>
      <c r="J170" s="683"/>
    </row>
    <row r="171" spans="2:10" ht="15.75" customHeight="1">
      <c r="B171" s="664"/>
      <c r="C171" s="253"/>
      <c r="D171" s="665"/>
      <c r="E171" s="255"/>
      <c r="F171" s="666"/>
      <c r="G171" s="257"/>
      <c r="H171" s="667"/>
      <c r="I171" s="667"/>
      <c r="J171" s="668"/>
    </row>
    <row r="172" spans="2:10" ht="15.75" customHeight="1">
      <c r="B172" s="664"/>
      <c r="C172" s="253"/>
      <c r="D172" s="665"/>
      <c r="E172" s="255"/>
      <c r="F172" s="666"/>
      <c r="G172" s="257"/>
      <c r="H172" s="667"/>
      <c r="I172" s="667"/>
      <c r="J172" s="668"/>
    </row>
    <row r="173" spans="2:10" ht="15.75" customHeight="1">
      <c r="B173" s="664"/>
      <c r="C173" s="253"/>
      <c r="D173" s="665"/>
      <c r="E173" s="255"/>
      <c r="F173" s="666"/>
      <c r="G173" s="257"/>
      <c r="H173" s="667"/>
      <c r="I173" s="667"/>
      <c r="J173" s="668"/>
    </row>
    <row r="174" spans="2:10" ht="15.75" customHeight="1">
      <c r="B174" s="664"/>
      <c r="C174" s="253"/>
      <c r="D174" s="665"/>
      <c r="E174" s="255"/>
      <c r="F174" s="666"/>
      <c r="G174" s="257"/>
      <c r="H174" s="667"/>
      <c r="I174" s="667"/>
      <c r="J174" s="668"/>
    </row>
    <row r="175" spans="2:10" ht="15.75" customHeight="1">
      <c r="B175" s="664"/>
      <c r="C175" s="253"/>
      <c r="D175" s="665"/>
      <c r="E175" s="255"/>
      <c r="F175" s="666"/>
      <c r="G175" s="257"/>
      <c r="H175" s="667"/>
      <c r="I175" s="667"/>
      <c r="J175" s="668"/>
    </row>
    <row r="176" spans="2:10" ht="15.75" customHeight="1">
      <c r="B176" s="664"/>
      <c r="C176" s="253"/>
      <c r="D176" s="665"/>
      <c r="E176" s="255"/>
      <c r="F176" s="666"/>
      <c r="G176" s="257"/>
      <c r="H176" s="667"/>
      <c r="I176" s="667"/>
      <c r="J176" s="668"/>
    </row>
    <row r="177" spans="2:10" ht="15.75" customHeight="1">
      <c r="B177" s="664"/>
      <c r="C177" s="253"/>
      <c r="D177" s="665"/>
      <c r="E177" s="255"/>
      <c r="F177" s="666"/>
      <c r="G177" s="257"/>
      <c r="H177" s="667"/>
      <c r="I177" s="667"/>
      <c r="J177" s="668"/>
    </row>
    <row r="178" spans="2:10" ht="15.75" customHeight="1">
      <c r="B178" s="664"/>
      <c r="C178" s="253"/>
      <c r="D178" s="665"/>
      <c r="E178" s="255"/>
      <c r="F178" s="666"/>
      <c r="G178" s="257"/>
      <c r="H178" s="667"/>
      <c r="I178" s="667"/>
      <c r="J178" s="668"/>
    </row>
    <row r="179" spans="2:10" ht="15.75" customHeight="1">
      <c r="B179" s="664"/>
      <c r="C179" s="253"/>
      <c r="D179" s="665"/>
      <c r="E179" s="255"/>
      <c r="F179" s="666"/>
      <c r="G179" s="257"/>
      <c r="H179" s="667"/>
      <c r="I179" s="667"/>
      <c r="J179" s="668"/>
    </row>
    <row r="180" spans="2:10" ht="15.75" customHeight="1">
      <c r="B180" s="664"/>
      <c r="C180" s="253"/>
      <c r="D180" s="665"/>
      <c r="E180" s="255"/>
      <c r="F180" s="666"/>
      <c r="G180" s="257"/>
      <c r="H180" s="667"/>
      <c r="I180" s="667"/>
      <c r="J180" s="668"/>
    </row>
    <row r="181" spans="2:10" ht="15.75" customHeight="1">
      <c r="B181" s="664"/>
      <c r="C181" s="253"/>
      <c r="D181" s="665"/>
      <c r="E181" s="255"/>
      <c r="F181" s="666"/>
      <c r="G181" s="257"/>
      <c r="H181" s="667"/>
      <c r="I181" s="667"/>
      <c r="J181" s="668"/>
    </row>
    <row r="182" spans="2:10" ht="15.75" customHeight="1">
      <c r="B182" s="664"/>
      <c r="C182" s="253"/>
      <c r="D182" s="665"/>
      <c r="E182" s="255"/>
      <c r="F182" s="666"/>
      <c r="G182" s="257"/>
      <c r="H182" s="667"/>
      <c r="I182" s="667"/>
      <c r="J182" s="668"/>
    </row>
    <row r="183" spans="2:10" ht="15.75" customHeight="1">
      <c r="B183" s="664"/>
      <c r="C183" s="253"/>
      <c r="D183" s="665"/>
      <c r="E183" s="255"/>
      <c r="F183" s="666"/>
      <c r="G183" s="257"/>
      <c r="H183" s="667"/>
      <c r="I183" s="667"/>
      <c r="J183" s="668"/>
    </row>
    <row r="184" spans="2:10" ht="15.75" customHeight="1">
      <c r="B184" s="664"/>
      <c r="C184" s="253"/>
      <c r="D184" s="665"/>
      <c r="E184" s="255"/>
      <c r="F184" s="666"/>
      <c r="G184" s="257"/>
      <c r="H184" s="667"/>
      <c r="I184" s="667"/>
      <c r="J184" s="668"/>
    </row>
    <row r="185" spans="2:10" ht="15.75" customHeight="1">
      <c r="B185" s="664"/>
      <c r="C185" s="253"/>
      <c r="D185" s="665"/>
      <c r="E185" s="255"/>
      <c r="F185" s="666"/>
      <c r="G185" s="257"/>
      <c r="H185" s="667"/>
      <c r="I185" s="667"/>
      <c r="J185" s="668"/>
    </row>
    <row r="186" spans="2:10" ht="15.75" customHeight="1">
      <c r="B186" s="664"/>
      <c r="C186" s="253"/>
      <c r="D186" s="665"/>
      <c r="E186" s="255"/>
      <c r="F186" s="666"/>
      <c r="G186" s="257"/>
      <c r="H186" s="667"/>
      <c r="I186" s="667"/>
      <c r="J186" s="668"/>
    </row>
    <row r="187" spans="2:10" ht="15.75" customHeight="1">
      <c r="B187" s="664"/>
      <c r="C187" s="253"/>
      <c r="D187" s="665"/>
      <c r="E187" s="255"/>
      <c r="F187" s="666"/>
      <c r="G187" s="257"/>
      <c r="H187" s="667"/>
      <c r="I187" s="667"/>
      <c r="J187" s="668"/>
    </row>
    <row r="188" spans="2:10" ht="15.75" customHeight="1">
      <c r="B188" s="664"/>
      <c r="C188" s="253"/>
      <c r="D188" s="665"/>
      <c r="E188" s="255"/>
      <c r="F188" s="666"/>
      <c r="G188" s="257"/>
      <c r="H188" s="667"/>
      <c r="I188" s="667"/>
      <c r="J188" s="668"/>
    </row>
    <row r="189" spans="2:10" ht="15.75" customHeight="1">
      <c r="B189" s="664"/>
      <c r="C189" s="253"/>
      <c r="D189" s="665"/>
      <c r="E189" s="255"/>
      <c r="F189" s="666"/>
      <c r="G189" s="257"/>
      <c r="H189" s="667"/>
      <c r="I189" s="667"/>
      <c r="J189" s="668"/>
    </row>
    <row r="190" spans="2:10" ht="15.75" customHeight="1">
      <c r="B190" s="664"/>
      <c r="C190" s="253"/>
      <c r="D190" s="665"/>
      <c r="E190" s="255"/>
      <c r="F190" s="666"/>
      <c r="G190" s="257"/>
      <c r="H190" s="667"/>
      <c r="I190" s="667"/>
      <c r="J190" s="668"/>
    </row>
    <row r="191" spans="2:10" ht="15.75" customHeight="1">
      <c r="B191" s="664"/>
      <c r="C191" s="253"/>
      <c r="D191" s="665"/>
      <c r="E191" s="255"/>
      <c r="F191" s="666"/>
      <c r="G191" s="257"/>
      <c r="H191" s="667"/>
      <c r="I191" s="667"/>
      <c r="J191" s="668"/>
    </row>
    <row r="192" spans="2:10" ht="15.75" customHeight="1">
      <c r="B192" s="664"/>
      <c r="C192" s="253"/>
      <c r="D192" s="665"/>
      <c r="E192" s="255"/>
      <c r="F192" s="666"/>
      <c r="G192" s="257"/>
      <c r="H192" s="667"/>
      <c r="I192" s="667"/>
      <c r="J192" s="668"/>
    </row>
    <row r="193" spans="2:10" ht="15.75" customHeight="1">
      <c r="B193" s="664"/>
      <c r="C193" s="253"/>
      <c r="D193" s="665"/>
      <c r="E193" s="255"/>
      <c r="F193" s="666"/>
      <c r="G193" s="257"/>
      <c r="H193" s="667"/>
      <c r="I193" s="667"/>
      <c r="J193" s="668"/>
    </row>
    <row r="194" spans="2:10" ht="15.75" customHeight="1">
      <c r="B194" s="664"/>
      <c r="C194" s="253"/>
      <c r="D194" s="665"/>
      <c r="E194" s="255"/>
      <c r="F194" s="666"/>
      <c r="G194" s="257"/>
      <c r="H194" s="667"/>
      <c r="I194" s="667"/>
      <c r="J194" s="668"/>
    </row>
    <row r="195" spans="1:9" s="19" customFormat="1" ht="12.75" customHeight="1">
      <c r="A195" s="244"/>
      <c r="B195" s="251"/>
      <c r="C195" s="253"/>
      <c r="D195" s="254"/>
      <c r="E195" s="255"/>
      <c r="F195" s="256"/>
      <c r="G195" s="257"/>
      <c r="H195" s="252"/>
      <c r="I195" s="252"/>
    </row>
    <row r="196" spans="1:9" s="19" customFormat="1" ht="12.75" customHeight="1" thickBot="1">
      <c r="A196" s="244"/>
      <c r="B196" s="251"/>
      <c r="C196" s="253"/>
      <c r="D196" s="254"/>
      <c r="E196" s="255"/>
      <c r="F196" s="256"/>
      <c r="G196" s="257"/>
      <c r="H196" s="252"/>
      <c r="I196" s="252"/>
    </row>
    <row r="197" spans="2:10" ht="12.75" customHeight="1">
      <c r="B197" s="1053" t="s">
        <v>9</v>
      </c>
      <c r="C197" s="1062"/>
      <c r="D197" s="1062"/>
      <c r="E197" s="1062"/>
      <c r="F197" s="1062"/>
      <c r="G197" s="1063"/>
      <c r="H197" s="1049" t="s">
        <v>805</v>
      </c>
      <c r="I197" s="1049" t="s">
        <v>836</v>
      </c>
      <c r="J197" s="1046" t="s">
        <v>835</v>
      </c>
    </row>
    <row r="198" spans="2:10" ht="12.75" customHeight="1">
      <c r="B198" s="1064"/>
      <c r="C198" s="1065"/>
      <c r="D198" s="1065"/>
      <c r="E198" s="1065"/>
      <c r="F198" s="1065"/>
      <c r="G198" s="1066"/>
      <c r="H198" s="1050"/>
      <c r="I198" s="1050"/>
      <c r="J198" s="1047"/>
    </row>
    <row r="199" spans="2:10" ht="16.5" customHeight="1">
      <c r="B199" s="81"/>
      <c r="C199" s="1067" t="s">
        <v>10</v>
      </c>
      <c r="D199" s="82" t="s">
        <v>11</v>
      </c>
      <c r="E199" s="82" t="s">
        <v>12</v>
      </c>
      <c r="F199" s="83"/>
      <c r="G199" s="487"/>
      <c r="H199" s="1050"/>
      <c r="I199" s="1050"/>
      <c r="J199" s="1047"/>
    </row>
    <row r="200" spans="2:10" ht="19.5" customHeight="1" thickBot="1">
      <c r="B200" s="85"/>
      <c r="C200" s="1061"/>
      <c r="D200" s="87"/>
      <c r="E200" s="86" t="s">
        <v>13</v>
      </c>
      <c r="F200" s="88" t="s">
        <v>14</v>
      </c>
      <c r="G200" s="488"/>
      <c r="H200" s="1051"/>
      <c r="I200" s="1051"/>
      <c r="J200" s="1048"/>
    </row>
    <row r="201" spans="2:10" ht="12.75" customHeight="1" thickTop="1">
      <c r="B201" s="61">
        <f>B165+1</f>
        <v>120</v>
      </c>
      <c r="C201" s="6"/>
      <c r="D201" s="12"/>
      <c r="E201" s="72"/>
      <c r="F201" s="195" t="s">
        <v>704</v>
      </c>
      <c r="G201" s="489"/>
      <c r="H201" s="548"/>
      <c r="I201" s="548"/>
      <c r="J201" s="595"/>
    </row>
    <row r="202" spans="2:13" ht="13.5" customHeight="1">
      <c r="B202" s="61">
        <f aca="true" t="shared" si="4" ref="B202:B299">B201+1</f>
        <v>121</v>
      </c>
      <c r="C202" s="6"/>
      <c r="D202" s="12"/>
      <c r="E202" s="72"/>
      <c r="F202" s="120" t="s">
        <v>121</v>
      </c>
      <c r="G202" s="490"/>
      <c r="H202" s="546">
        <f>H203+H214+H225+H243</f>
        <v>232682</v>
      </c>
      <c r="I202" s="546">
        <f>I203+I214+I225+I243+I236</f>
        <v>186457</v>
      </c>
      <c r="J202" s="597">
        <f aca="true" t="shared" si="5" ref="J202:J287">I202/H202*100</f>
        <v>80.13383072175759</v>
      </c>
      <c r="M202" s="126"/>
    </row>
    <row r="203" spans="2:10" ht="12.75">
      <c r="B203" s="61">
        <f t="shared" si="4"/>
        <v>122</v>
      </c>
      <c r="C203" s="6" t="s">
        <v>39</v>
      </c>
      <c r="D203" s="6"/>
      <c r="E203" s="8"/>
      <c r="F203" s="40" t="s">
        <v>40</v>
      </c>
      <c r="G203" s="491"/>
      <c r="H203" s="536">
        <f>H204</f>
        <v>85906</v>
      </c>
      <c r="I203" s="536">
        <f>I204</f>
        <v>46952</v>
      </c>
      <c r="J203" s="597">
        <f t="shared" si="5"/>
        <v>54.65508811957256</v>
      </c>
    </row>
    <row r="204" spans="2:10" ht="12.75">
      <c r="B204" s="61">
        <f t="shared" si="4"/>
        <v>123</v>
      </c>
      <c r="C204" s="49"/>
      <c r="D204" s="38" t="s">
        <v>41</v>
      </c>
      <c r="E204" s="46" t="s">
        <v>20</v>
      </c>
      <c r="F204" s="45" t="s">
        <v>76</v>
      </c>
      <c r="G204" s="491"/>
      <c r="H204" s="537">
        <f>SUM(H205:H212)</f>
        <v>85906</v>
      </c>
      <c r="I204" s="537">
        <f>SUM(I205:I212)</f>
        <v>46952</v>
      </c>
      <c r="J204" s="596">
        <f t="shared" si="5"/>
        <v>54.65508811957256</v>
      </c>
    </row>
    <row r="205" spans="2:10" ht="12.75">
      <c r="B205" s="61">
        <f t="shared" si="4"/>
        <v>124</v>
      </c>
      <c r="C205" s="49"/>
      <c r="D205" s="38"/>
      <c r="E205" s="46"/>
      <c r="F205" s="45"/>
      <c r="G205" s="492" t="s">
        <v>492</v>
      </c>
      <c r="H205" s="537">
        <v>40000</v>
      </c>
      <c r="I205" s="537">
        <v>20731</v>
      </c>
      <c r="J205" s="596"/>
    </row>
    <row r="206" spans="2:10" ht="12.75">
      <c r="B206" s="61">
        <f t="shared" si="4"/>
        <v>125</v>
      </c>
      <c r="C206" s="49"/>
      <c r="D206" s="38"/>
      <c r="E206" s="46"/>
      <c r="F206" s="45"/>
      <c r="G206" s="492" t="s">
        <v>493</v>
      </c>
      <c r="H206" s="537">
        <v>2000</v>
      </c>
      <c r="I206" s="537">
        <v>561</v>
      </c>
      <c r="J206" s="596">
        <f t="shared" si="5"/>
        <v>28.050000000000004</v>
      </c>
    </row>
    <row r="207" spans="2:10" ht="12.75">
      <c r="B207" s="61">
        <f t="shared" si="4"/>
        <v>126</v>
      </c>
      <c r="C207" s="49"/>
      <c r="D207" s="38"/>
      <c r="E207" s="46"/>
      <c r="F207" s="45"/>
      <c r="G207" s="492" t="s">
        <v>494</v>
      </c>
      <c r="H207" s="537">
        <v>3000</v>
      </c>
      <c r="I207" s="537">
        <v>1424</v>
      </c>
      <c r="J207" s="596">
        <f t="shared" si="5"/>
        <v>47.46666666666667</v>
      </c>
    </row>
    <row r="208" spans="2:10" ht="12.75">
      <c r="B208" s="61">
        <f t="shared" si="4"/>
        <v>127</v>
      </c>
      <c r="C208" s="49"/>
      <c r="D208" s="38"/>
      <c r="E208" s="46"/>
      <c r="F208" s="45"/>
      <c r="G208" s="492" t="s">
        <v>495</v>
      </c>
      <c r="H208" s="537">
        <v>2376</v>
      </c>
      <c r="I208" s="537">
        <v>1636</v>
      </c>
      <c r="J208" s="596">
        <f t="shared" si="5"/>
        <v>68.85521885521885</v>
      </c>
    </row>
    <row r="209" spans="2:10" ht="12.75">
      <c r="B209" s="61">
        <f t="shared" si="4"/>
        <v>128</v>
      </c>
      <c r="C209" s="49"/>
      <c r="D209" s="38"/>
      <c r="E209" s="46"/>
      <c r="F209" s="45"/>
      <c r="G209" s="492" t="s">
        <v>496</v>
      </c>
      <c r="H209" s="537">
        <v>1498</v>
      </c>
      <c r="I209" s="537">
        <v>801</v>
      </c>
      <c r="J209" s="596">
        <f t="shared" si="5"/>
        <v>53.4712950600801</v>
      </c>
    </row>
    <row r="210" spans="2:14" ht="12.75">
      <c r="B210" s="61">
        <f t="shared" si="4"/>
        <v>129</v>
      </c>
      <c r="C210" s="49"/>
      <c r="D210" s="38"/>
      <c r="E210" s="46"/>
      <c r="F210" s="45"/>
      <c r="G210" s="492" t="s">
        <v>497</v>
      </c>
      <c r="H210" s="537">
        <v>6010</v>
      </c>
      <c r="I210" s="537">
        <v>2472</v>
      </c>
      <c r="J210" s="596">
        <f t="shared" si="5"/>
        <v>41.13144758735441</v>
      </c>
      <c r="N210" s="162"/>
    </row>
    <row r="211" spans="2:10" ht="12.75">
      <c r="B211" s="61">
        <f t="shared" si="4"/>
        <v>130</v>
      </c>
      <c r="C211" s="49"/>
      <c r="D211" s="38"/>
      <c r="E211" s="46"/>
      <c r="F211" s="45"/>
      <c r="G211" s="492" t="s">
        <v>498</v>
      </c>
      <c r="H211" s="537">
        <v>15000</v>
      </c>
      <c r="I211" s="537">
        <v>9150</v>
      </c>
      <c r="J211" s="596">
        <f t="shared" si="5"/>
        <v>61</v>
      </c>
    </row>
    <row r="212" spans="2:10" ht="12.75">
      <c r="B212" s="61">
        <f t="shared" si="4"/>
        <v>131</v>
      </c>
      <c r="C212" s="49"/>
      <c r="D212" s="38"/>
      <c r="E212" s="46"/>
      <c r="F212" s="45"/>
      <c r="G212" s="492" t="s">
        <v>499</v>
      </c>
      <c r="H212" s="537">
        <v>16022</v>
      </c>
      <c r="I212" s="537">
        <v>10177</v>
      </c>
      <c r="J212" s="596">
        <f t="shared" si="5"/>
        <v>63.51891149669204</v>
      </c>
    </row>
    <row r="213" spans="2:10" ht="12.75">
      <c r="B213" s="61">
        <f t="shared" si="4"/>
        <v>132</v>
      </c>
      <c r="C213" s="49"/>
      <c r="D213" s="38"/>
      <c r="E213" s="46"/>
      <c r="F213" s="45"/>
      <c r="G213" s="492"/>
      <c r="H213" s="537"/>
      <c r="I213" s="537"/>
      <c r="J213" s="596"/>
    </row>
    <row r="214" spans="2:10" ht="12.75">
      <c r="B214" s="61">
        <f t="shared" si="4"/>
        <v>133</v>
      </c>
      <c r="C214" s="6" t="s">
        <v>46</v>
      </c>
      <c r="D214" s="49"/>
      <c r="E214" s="50"/>
      <c r="F214" s="40" t="s">
        <v>47</v>
      </c>
      <c r="G214" s="491"/>
      <c r="H214" s="536">
        <f>H215</f>
        <v>77267</v>
      </c>
      <c r="I214" s="536">
        <f>I215</f>
        <v>43867</v>
      </c>
      <c r="J214" s="596">
        <f t="shared" si="5"/>
        <v>56.773266724474865</v>
      </c>
    </row>
    <row r="215" spans="2:10" ht="12.75">
      <c r="B215" s="61">
        <f t="shared" si="4"/>
        <v>134</v>
      </c>
      <c r="C215" s="49"/>
      <c r="D215" s="39" t="s">
        <v>53</v>
      </c>
      <c r="E215" s="39" t="s">
        <v>28</v>
      </c>
      <c r="F215" s="173" t="s">
        <v>78</v>
      </c>
      <c r="G215" s="491"/>
      <c r="H215" s="537">
        <f>SUM(H216:H223)</f>
        <v>77267</v>
      </c>
      <c r="I215" s="537">
        <f>SUM(I216:I223)</f>
        <v>43867</v>
      </c>
      <c r="J215" s="596">
        <f t="shared" si="5"/>
        <v>56.773266724474865</v>
      </c>
    </row>
    <row r="216" spans="2:10" ht="12.75">
      <c r="B216" s="61">
        <f t="shared" si="4"/>
        <v>135</v>
      </c>
      <c r="C216" s="49"/>
      <c r="D216" s="39"/>
      <c r="E216" s="39"/>
      <c r="F216" s="45"/>
      <c r="G216" s="492" t="s">
        <v>492</v>
      </c>
      <c r="H216" s="537">
        <v>10300</v>
      </c>
      <c r="I216" s="537">
        <v>6269</v>
      </c>
      <c r="J216" s="596">
        <f t="shared" si="5"/>
        <v>60.86407766990292</v>
      </c>
    </row>
    <row r="217" spans="2:10" ht="12.75">
      <c r="B217" s="61">
        <f t="shared" si="4"/>
        <v>136</v>
      </c>
      <c r="C217" s="49"/>
      <c r="D217" s="39"/>
      <c r="E217" s="39"/>
      <c r="F217" s="45"/>
      <c r="G217" s="492" t="s">
        <v>493</v>
      </c>
      <c r="H217" s="537">
        <v>11000</v>
      </c>
      <c r="I217" s="537">
        <v>8025</v>
      </c>
      <c r="J217" s="596">
        <f t="shared" si="5"/>
        <v>72.95454545454545</v>
      </c>
    </row>
    <row r="218" spans="2:10" ht="12.75">
      <c r="B218" s="61">
        <f t="shared" si="4"/>
        <v>137</v>
      </c>
      <c r="C218" s="49"/>
      <c r="D218" s="39"/>
      <c r="E218" s="39"/>
      <c r="F218" s="45"/>
      <c r="G218" s="493" t="s">
        <v>494</v>
      </c>
      <c r="H218" s="537">
        <v>8100</v>
      </c>
      <c r="I218" s="537">
        <v>3467</v>
      </c>
      <c r="J218" s="596">
        <f t="shared" si="5"/>
        <v>42.80246913580247</v>
      </c>
    </row>
    <row r="219" spans="2:10" ht="12.75" customHeight="1">
      <c r="B219" s="61">
        <f t="shared" si="4"/>
        <v>138</v>
      </c>
      <c r="C219" s="49"/>
      <c r="D219" s="39"/>
      <c r="E219" s="39"/>
      <c r="F219" s="45"/>
      <c r="G219" s="493" t="s">
        <v>495</v>
      </c>
      <c r="H219" s="537">
        <v>6500</v>
      </c>
      <c r="I219" s="537">
        <v>4410</v>
      </c>
      <c r="J219" s="596">
        <f t="shared" si="5"/>
        <v>67.84615384615384</v>
      </c>
    </row>
    <row r="220" spans="2:10" ht="12.75" customHeight="1">
      <c r="B220" s="61">
        <f t="shared" si="4"/>
        <v>139</v>
      </c>
      <c r="C220" s="49"/>
      <c r="D220" s="39"/>
      <c r="E220" s="39"/>
      <c r="F220" s="45"/>
      <c r="G220" s="493" t="s">
        <v>496</v>
      </c>
      <c r="H220" s="537">
        <v>12000</v>
      </c>
      <c r="I220" s="537">
        <v>5205</v>
      </c>
      <c r="J220" s="596">
        <f t="shared" si="5"/>
        <v>43.375</v>
      </c>
    </row>
    <row r="221" spans="2:10" ht="12.75" customHeight="1">
      <c r="B221" s="61">
        <f t="shared" si="4"/>
        <v>140</v>
      </c>
      <c r="C221" s="49"/>
      <c r="D221" s="39"/>
      <c r="E221" s="39"/>
      <c r="F221" s="45"/>
      <c r="G221" s="493" t="s">
        <v>497</v>
      </c>
      <c r="H221" s="537">
        <v>4430</v>
      </c>
      <c r="I221" s="537">
        <v>2694</v>
      </c>
      <c r="J221" s="596">
        <f t="shared" si="5"/>
        <v>60.81264108352145</v>
      </c>
    </row>
    <row r="222" spans="2:10" ht="12.75" customHeight="1">
      <c r="B222" s="61">
        <f t="shared" si="4"/>
        <v>141</v>
      </c>
      <c r="C222" s="49"/>
      <c r="D222" s="39"/>
      <c r="E222" s="39"/>
      <c r="F222" s="45"/>
      <c r="G222" s="492" t="s">
        <v>498</v>
      </c>
      <c r="H222" s="537">
        <v>4937</v>
      </c>
      <c r="I222" s="537">
        <v>2689</v>
      </c>
      <c r="J222" s="596">
        <f t="shared" si="5"/>
        <v>54.46627506582945</v>
      </c>
    </row>
    <row r="223" spans="2:10" ht="12.75" customHeight="1">
      <c r="B223" s="61">
        <f t="shared" si="4"/>
        <v>142</v>
      </c>
      <c r="C223" s="49"/>
      <c r="D223" s="39"/>
      <c r="E223" s="39"/>
      <c r="F223" s="45"/>
      <c r="G223" s="492" t="s">
        <v>499</v>
      </c>
      <c r="H223" s="537">
        <v>20000</v>
      </c>
      <c r="I223" s="537">
        <v>11108</v>
      </c>
      <c r="J223" s="596">
        <f t="shared" si="5"/>
        <v>55.54</v>
      </c>
    </row>
    <row r="224" spans="2:10" ht="12.75">
      <c r="B224" s="61">
        <f t="shared" si="4"/>
        <v>143</v>
      </c>
      <c r="C224" s="49"/>
      <c r="D224" s="39"/>
      <c r="E224" s="39"/>
      <c r="F224" s="41"/>
      <c r="G224" s="492"/>
      <c r="H224" s="537"/>
      <c r="I224" s="537"/>
      <c r="J224" s="596"/>
    </row>
    <row r="225" spans="2:10" ht="12.75">
      <c r="B225" s="61">
        <f t="shared" si="4"/>
        <v>144</v>
      </c>
      <c r="C225" s="57" t="s">
        <v>57</v>
      </c>
      <c r="D225" s="56"/>
      <c r="E225" s="58"/>
      <c r="F225" s="59" t="s">
        <v>58</v>
      </c>
      <c r="G225" s="494"/>
      <c r="H225" s="544">
        <f>H226</f>
        <v>29</v>
      </c>
      <c r="I225" s="544">
        <f>I226</f>
        <v>8</v>
      </c>
      <c r="J225" s="596">
        <f t="shared" si="5"/>
        <v>27.586206896551722</v>
      </c>
    </row>
    <row r="226" spans="2:10" ht="12.75">
      <c r="B226" s="61">
        <f t="shared" si="4"/>
        <v>145</v>
      </c>
      <c r="C226" s="49"/>
      <c r="D226" s="39" t="s">
        <v>539</v>
      </c>
      <c r="E226" s="39"/>
      <c r="F226" s="172" t="s">
        <v>540</v>
      </c>
      <c r="G226" s="492"/>
      <c r="H226" s="537">
        <f>SUM(H227:H234)</f>
        <v>29</v>
      </c>
      <c r="I226" s="537">
        <f>SUM(I227:I234)</f>
        <v>8</v>
      </c>
      <c r="J226" s="596">
        <f t="shared" si="5"/>
        <v>27.586206896551722</v>
      </c>
    </row>
    <row r="227" spans="2:10" ht="12.75">
      <c r="B227" s="61">
        <f t="shared" si="4"/>
        <v>146</v>
      </c>
      <c r="C227" s="49"/>
      <c r="D227" s="39"/>
      <c r="E227" s="39"/>
      <c r="F227" s="41"/>
      <c r="G227" s="492" t="s">
        <v>492</v>
      </c>
      <c r="H227" s="537">
        <v>5</v>
      </c>
      <c r="I227" s="537">
        <v>1</v>
      </c>
      <c r="J227" s="596">
        <f t="shared" si="5"/>
        <v>20</v>
      </c>
    </row>
    <row r="228" spans="2:10" ht="12.75">
      <c r="B228" s="61">
        <f t="shared" si="4"/>
        <v>147</v>
      </c>
      <c r="C228" s="49"/>
      <c r="D228" s="39"/>
      <c r="E228" s="39"/>
      <c r="F228" s="41"/>
      <c r="G228" s="492" t="s">
        <v>493</v>
      </c>
      <c r="H228" s="537">
        <v>2</v>
      </c>
      <c r="I228" s="537">
        <v>0</v>
      </c>
      <c r="J228" s="596">
        <f t="shared" si="5"/>
        <v>0</v>
      </c>
    </row>
    <row r="229" spans="2:10" ht="12.75">
      <c r="B229" s="61">
        <f t="shared" si="4"/>
        <v>148</v>
      </c>
      <c r="C229" s="49"/>
      <c r="D229" s="39"/>
      <c r="E229" s="39"/>
      <c r="F229" s="41"/>
      <c r="G229" s="492" t="s">
        <v>494</v>
      </c>
      <c r="H229" s="537">
        <v>5</v>
      </c>
      <c r="I229" s="537">
        <v>1</v>
      </c>
      <c r="J229" s="596">
        <f t="shared" si="5"/>
        <v>20</v>
      </c>
    </row>
    <row r="230" spans="2:10" ht="12.75">
      <c r="B230" s="61">
        <f t="shared" si="4"/>
        <v>149</v>
      </c>
      <c r="C230" s="49"/>
      <c r="D230" s="39"/>
      <c r="E230" s="39"/>
      <c r="F230" s="41"/>
      <c r="G230" s="492" t="s">
        <v>495</v>
      </c>
      <c r="H230" s="537">
        <v>2</v>
      </c>
      <c r="I230" s="537">
        <v>1</v>
      </c>
      <c r="J230" s="596">
        <f t="shared" si="5"/>
        <v>50</v>
      </c>
    </row>
    <row r="231" spans="2:10" ht="12.75">
      <c r="B231" s="61">
        <f t="shared" si="4"/>
        <v>150</v>
      </c>
      <c r="C231" s="49"/>
      <c r="D231" s="39"/>
      <c r="E231" s="39"/>
      <c r="F231" s="41"/>
      <c r="G231" s="492" t="s">
        <v>497</v>
      </c>
      <c r="H231" s="537">
        <v>2</v>
      </c>
      <c r="I231" s="537">
        <v>1</v>
      </c>
      <c r="J231" s="596">
        <f t="shared" si="5"/>
        <v>50</v>
      </c>
    </row>
    <row r="232" spans="2:10" ht="12.75">
      <c r="B232" s="61">
        <f t="shared" si="4"/>
        <v>151</v>
      </c>
      <c r="C232" s="49"/>
      <c r="D232" s="39"/>
      <c r="E232" s="39"/>
      <c r="F232" s="41"/>
      <c r="G232" s="492" t="s">
        <v>496</v>
      </c>
      <c r="H232" s="537">
        <v>2</v>
      </c>
      <c r="I232" s="537">
        <v>1</v>
      </c>
      <c r="J232" s="596">
        <f t="shared" si="5"/>
        <v>50</v>
      </c>
    </row>
    <row r="233" spans="2:10" ht="12.75">
      <c r="B233" s="61">
        <f t="shared" si="4"/>
        <v>152</v>
      </c>
      <c r="C233" s="49"/>
      <c r="D233" s="39"/>
      <c r="E233" s="39"/>
      <c r="F233" s="41"/>
      <c r="G233" s="492" t="s">
        <v>498</v>
      </c>
      <c r="H233" s="537">
        <v>5</v>
      </c>
      <c r="I233" s="537">
        <v>2</v>
      </c>
      <c r="J233" s="596">
        <f t="shared" si="5"/>
        <v>40</v>
      </c>
    </row>
    <row r="234" spans="2:10" ht="12.75">
      <c r="B234" s="61">
        <f t="shared" si="4"/>
        <v>153</v>
      </c>
      <c r="C234" s="49"/>
      <c r="D234" s="39"/>
      <c r="E234" s="39"/>
      <c r="F234" s="41"/>
      <c r="G234" s="492" t="s">
        <v>499</v>
      </c>
      <c r="H234" s="537">
        <v>6</v>
      </c>
      <c r="I234" s="537">
        <v>1</v>
      </c>
      <c r="J234" s="596">
        <f t="shared" si="5"/>
        <v>16.666666666666664</v>
      </c>
    </row>
    <row r="235" spans="2:10" ht="12.75">
      <c r="B235" s="61">
        <f t="shared" si="4"/>
        <v>154</v>
      </c>
      <c r="C235" s="49"/>
      <c r="D235" s="39"/>
      <c r="E235" s="39"/>
      <c r="F235" s="41"/>
      <c r="G235" s="492"/>
      <c r="H235" s="537"/>
      <c r="I235" s="537"/>
      <c r="J235" s="596"/>
    </row>
    <row r="236" spans="2:10" ht="12.75">
      <c r="B236" s="61">
        <f t="shared" si="4"/>
        <v>155</v>
      </c>
      <c r="C236" s="49" t="s">
        <v>59</v>
      </c>
      <c r="D236" s="39"/>
      <c r="E236" s="39"/>
      <c r="F236" s="41" t="s">
        <v>855</v>
      </c>
      <c r="G236" s="492"/>
      <c r="H236" s="537"/>
      <c r="I236" s="536">
        <f>I237+I238+I239+I240+I241</f>
        <v>34469</v>
      </c>
      <c r="J236" s="596"/>
    </row>
    <row r="237" spans="2:10" ht="12.75">
      <c r="B237" s="61">
        <f t="shared" si="4"/>
        <v>156</v>
      </c>
      <c r="C237" s="49"/>
      <c r="D237" s="39"/>
      <c r="E237" s="39"/>
      <c r="F237" s="41"/>
      <c r="G237" s="492" t="s">
        <v>856</v>
      </c>
      <c r="H237" s="537">
        <v>0</v>
      </c>
      <c r="I237" s="537">
        <v>14550</v>
      </c>
      <c r="J237" s="596"/>
    </row>
    <row r="238" spans="2:10" ht="12.75">
      <c r="B238" s="61">
        <f t="shared" si="4"/>
        <v>157</v>
      </c>
      <c r="C238" s="49"/>
      <c r="D238" s="39"/>
      <c r="E238" s="39"/>
      <c r="F238" s="41"/>
      <c r="G238" s="492" t="s">
        <v>857</v>
      </c>
      <c r="H238" s="537"/>
      <c r="I238" s="537">
        <v>1912</v>
      </c>
      <c r="J238" s="596"/>
    </row>
    <row r="239" spans="2:10" ht="12.75">
      <c r="B239" s="61">
        <f t="shared" si="4"/>
        <v>158</v>
      </c>
      <c r="C239" s="49"/>
      <c r="D239" s="39"/>
      <c r="E239" s="39"/>
      <c r="F239" s="41"/>
      <c r="G239" s="492" t="s">
        <v>858</v>
      </c>
      <c r="H239" s="537"/>
      <c r="I239" s="537">
        <v>892</v>
      </c>
      <c r="J239" s="596"/>
    </row>
    <row r="240" spans="2:10" ht="12.75">
      <c r="B240" s="61">
        <f t="shared" si="4"/>
        <v>159</v>
      </c>
      <c r="C240" s="49"/>
      <c r="D240" s="39"/>
      <c r="E240" s="39"/>
      <c r="F240" s="41"/>
      <c r="G240" s="492" t="s">
        <v>859</v>
      </c>
      <c r="H240" s="537"/>
      <c r="I240" s="537">
        <v>16743</v>
      </c>
      <c r="J240" s="596"/>
    </row>
    <row r="241" spans="2:10" ht="12.75">
      <c r="B241" s="61">
        <f t="shared" si="4"/>
        <v>160</v>
      </c>
      <c r="C241" s="49"/>
      <c r="D241" s="39"/>
      <c r="E241" s="39"/>
      <c r="F241" s="41"/>
      <c r="G241" s="492" t="s">
        <v>868</v>
      </c>
      <c r="H241" s="537"/>
      <c r="I241" s="537">
        <v>372</v>
      </c>
      <c r="J241" s="596"/>
    </row>
    <row r="242" spans="2:10" ht="12.75">
      <c r="B242" s="61">
        <f t="shared" si="4"/>
        <v>161</v>
      </c>
      <c r="C242" s="49"/>
      <c r="D242" s="39"/>
      <c r="E242" s="39"/>
      <c r="F242" s="41"/>
      <c r="G242" s="492"/>
      <c r="H242" s="537"/>
      <c r="I242" s="537"/>
      <c r="J242" s="596"/>
    </row>
    <row r="243" spans="2:10" ht="12.75">
      <c r="B243" s="61">
        <f t="shared" si="4"/>
        <v>162</v>
      </c>
      <c r="C243" s="6" t="s">
        <v>79</v>
      </c>
      <c r="D243" s="49"/>
      <c r="E243" s="50"/>
      <c r="F243" s="40" t="s">
        <v>662</v>
      </c>
      <c r="G243" s="491"/>
      <c r="H243" s="536">
        <f>H244</f>
        <v>69480</v>
      </c>
      <c r="I243" s="536">
        <f>I244+I253</f>
        <v>61161</v>
      </c>
      <c r="J243" s="596">
        <f t="shared" si="5"/>
        <v>88.02677029360967</v>
      </c>
    </row>
    <row r="244" spans="2:10" ht="12.75">
      <c r="B244" s="61">
        <f t="shared" si="4"/>
        <v>163</v>
      </c>
      <c r="C244" s="49"/>
      <c r="D244" s="39" t="s">
        <v>81</v>
      </c>
      <c r="E244" s="39" t="s">
        <v>663</v>
      </c>
      <c r="F244" s="173" t="s">
        <v>664</v>
      </c>
      <c r="G244" s="491"/>
      <c r="H244" s="537">
        <f>SUM(H245:H251)</f>
        <v>69480</v>
      </c>
      <c r="I244" s="537">
        <f>SUM(I245:I251)</f>
        <v>60867</v>
      </c>
      <c r="J244" s="596">
        <f t="shared" si="5"/>
        <v>87.60362694300518</v>
      </c>
    </row>
    <row r="245" spans="2:10" ht="12.75">
      <c r="B245" s="61">
        <f t="shared" si="4"/>
        <v>164</v>
      </c>
      <c r="C245" s="49"/>
      <c r="D245" s="39"/>
      <c r="E245" s="39"/>
      <c r="F245" s="45"/>
      <c r="G245" s="492" t="s">
        <v>492</v>
      </c>
      <c r="H245" s="537">
        <v>11580</v>
      </c>
      <c r="I245" s="537">
        <v>11647</v>
      </c>
      <c r="J245" s="596">
        <f t="shared" si="5"/>
        <v>100.57858376511226</v>
      </c>
    </row>
    <row r="246" spans="2:10" ht="12.75">
      <c r="B246" s="61">
        <f t="shared" si="4"/>
        <v>165</v>
      </c>
      <c r="C246" s="49"/>
      <c r="D246" s="39"/>
      <c r="E246" s="39"/>
      <c r="F246" s="45"/>
      <c r="G246" s="492" t="s">
        <v>493</v>
      </c>
      <c r="H246" s="537">
        <v>12000</v>
      </c>
      <c r="I246" s="537">
        <v>9881</v>
      </c>
      <c r="J246" s="596">
        <f t="shared" si="5"/>
        <v>82.34166666666667</v>
      </c>
    </row>
    <row r="247" spans="2:10" ht="12.75">
      <c r="B247" s="61">
        <f t="shared" si="4"/>
        <v>166</v>
      </c>
      <c r="C247" s="49"/>
      <c r="D247" s="39"/>
      <c r="E247" s="39"/>
      <c r="F247" s="45"/>
      <c r="G247" s="493" t="s">
        <v>494</v>
      </c>
      <c r="H247" s="537">
        <v>8200</v>
      </c>
      <c r="I247" s="537">
        <v>4072</v>
      </c>
      <c r="J247" s="596">
        <f t="shared" si="5"/>
        <v>49.65853658536585</v>
      </c>
    </row>
    <row r="248" spans="2:10" ht="12.75">
      <c r="B248" s="61">
        <f t="shared" si="4"/>
        <v>167</v>
      </c>
      <c r="C248" s="49"/>
      <c r="D248" s="39"/>
      <c r="E248" s="39"/>
      <c r="F248" s="45"/>
      <c r="G248" s="493" t="s">
        <v>495</v>
      </c>
      <c r="H248" s="537">
        <v>5400</v>
      </c>
      <c r="I248" s="537">
        <v>4252</v>
      </c>
      <c r="J248" s="596">
        <f t="shared" si="5"/>
        <v>78.74074074074075</v>
      </c>
    </row>
    <row r="249" spans="2:10" ht="12.75">
      <c r="B249" s="61">
        <f t="shared" si="4"/>
        <v>168</v>
      </c>
      <c r="C249" s="49"/>
      <c r="D249" s="39"/>
      <c r="E249" s="39"/>
      <c r="F249" s="45"/>
      <c r="G249" s="493" t="s">
        <v>496</v>
      </c>
      <c r="H249" s="537">
        <v>11000</v>
      </c>
      <c r="I249" s="537">
        <v>6770</v>
      </c>
      <c r="J249" s="596">
        <f t="shared" si="5"/>
        <v>61.54545454545455</v>
      </c>
    </row>
    <row r="250" spans="2:10" ht="12.75">
      <c r="B250" s="61">
        <f t="shared" si="4"/>
        <v>169</v>
      </c>
      <c r="C250" s="49"/>
      <c r="D250" s="39"/>
      <c r="E250" s="39"/>
      <c r="F250" s="45"/>
      <c r="G250" s="493" t="s">
        <v>497</v>
      </c>
      <c r="H250" s="537">
        <v>8300</v>
      </c>
      <c r="I250" s="537">
        <v>4360</v>
      </c>
      <c r="J250" s="596">
        <f t="shared" si="5"/>
        <v>52.53012048192771</v>
      </c>
    </row>
    <row r="251" spans="2:10" ht="12.75">
      <c r="B251" s="61">
        <f t="shared" si="4"/>
        <v>170</v>
      </c>
      <c r="C251" s="49"/>
      <c r="D251" s="39"/>
      <c r="E251" s="39"/>
      <c r="F251" s="45"/>
      <c r="G251" s="492" t="s">
        <v>498</v>
      </c>
      <c r="H251" s="537">
        <v>13000</v>
      </c>
      <c r="I251" s="537">
        <v>19885</v>
      </c>
      <c r="J251" s="596">
        <f t="shared" si="5"/>
        <v>152.96153846153845</v>
      </c>
    </row>
    <row r="252" spans="2:10" ht="12.75">
      <c r="B252" s="61">
        <f t="shared" si="4"/>
        <v>171</v>
      </c>
      <c r="C252" s="49"/>
      <c r="D252" s="39"/>
      <c r="E252" s="39"/>
      <c r="F252" s="45"/>
      <c r="G252" s="492"/>
      <c r="H252" s="537"/>
      <c r="I252" s="537"/>
      <c r="J252" s="596"/>
    </row>
    <row r="253" spans="2:10" ht="12.75">
      <c r="B253" s="61">
        <f t="shared" si="4"/>
        <v>172</v>
      </c>
      <c r="C253" s="49"/>
      <c r="D253" s="39" t="s">
        <v>669</v>
      </c>
      <c r="E253" s="39"/>
      <c r="F253" s="45" t="s">
        <v>752</v>
      </c>
      <c r="G253" s="492"/>
      <c r="H253" s="537"/>
      <c r="I253" s="536">
        <f>I254</f>
        <v>294</v>
      </c>
      <c r="J253" s="596"/>
    </row>
    <row r="254" spans="2:10" ht="12.75">
      <c r="B254" s="61">
        <f t="shared" si="4"/>
        <v>173</v>
      </c>
      <c r="C254" s="49"/>
      <c r="D254" s="39"/>
      <c r="E254" s="39"/>
      <c r="F254" s="45"/>
      <c r="G254" s="492" t="s">
        <v>853</v>
      </c>
      <c r="H254" s="537"/>
      <c r="I254" s="537">
        <v>294</v>
      </c>
      <c r="J254" s="596"/>
    </row>
    <row r="255" spans="2:10" ht="12.75">
      <c r="B255" s="61">
        <f t="shared" si="4"/>
        <v>174</v>
      </c>
      <c r="C255" s="49"/>
      <c r="D255" s="39"/>
      <c r="E255" s="39"/>
      <c r="F255" s="41"/>
      <c r="G255" s="492"/>
      <c r="H255" s="537"/>
      <c r="I255" s="537"/>
      <c r="J255" s="596"/>
    </row>
    <row r="256" spans="2:10" ht="12.75" customHeight="1">
      <c r="B256" s="61">
        <f t="shared" si="4"/>
        <v>175</v>
      </c>
      <c r="C256" s="6"/>
      <c r="D256" s="12"/>
      <c r="E256" s="8"/>
      <c r="F256" s="120" t="s">
        <v>120</v>
      </c>
      <c r="G256" s="490"/>
      <c r="H256" s="555">
        <v>90000</v>
      </c>
      <c r="I256" s="555">
        <v>65104</v>
      </c>
      <c r="J256" s="596">
        <f t="shared" si="5"/>
        <v>72.33777777777777</v>
      </c>
    </row>
    <row r="257" spans="2:10" ht="12.75" customHeight="1">
      <c r="B257" s="61">
        <f t="shared" si="4"/>
        <v>176</v>
      </c>
      <c r="C257" s="6"/>
      <c r="D257" s="12"/>
      <c r="E257" s="8"/>
      <c r="F257" s="120" t="s">
        <v>667</v>
      </c>
      <c r="G257" s="490"/>
      <c r="H257" s="555">
        <v>20460</v>
      </c>
      <c r="I257" s="555">
        <v>12043</v>
      </c>
      <c r="J257" s="596">
        <f t="shared" si="5"/>
        <v>58.86119257086999</v>
      </c>
    </row>
    <row r="258" spans="2:10" ht="12.75" customHeight="1" thickBot="1">
      <c r="B258" s="674">
        <f t="shared" si="4"/>
        <v>177</v>
      </c>
      <c r="C258" s="740"/>
      <c r="D258" s="741"/>
      <c r="E258" s="742"/>
      <c r="F258" s="195" t="s">
        <v>803</v>
      </c>
      <c r="G258" s="489"/>
      <c r="H258" s="743"/>
      <c r="I258" s="743">
        <v>3378</v>
      </c>
      <c r="J258" s="677"/>
    </row>
    <row r="259" spans="2:10" ht="12" customHeight="1">
      <c r="B259" s="702"/>
      <c r="C259" s="703"/>
      <c r="D259" s="705"/>
      <c r="E259" s="704"/>
      <c r="F259" s="744"/>
      <c r="G259" s="707"/>
      <c r="H259" s="708"/>
      <c r="I259" s="708"/>
      <c r="J259" s="709"/>
    </row>
    <row r="260" spans="2:10" ht="12" customHeight="1">
      <c r="B260" s="664"/>
      <c r="C260" s="253"/>
      <c r="D260" s="710"/>
      <c r="E260" s="255"/>
      <c r="F260" s="739"/>
      <c r="G260" s="257"/>
      <c r="H260" s="252"/>
      <c r="I260" s="252"/>
      <c r="J260" s="668"/>
    </row>
    <row r="261" spans="2:10" ht="12" customHeight="1">
      <c r="B261" s="664"/>
      <c r="C261" s="253"/>
      <c r="D261" s="710"/>
      <c r="E261" s="255"/>
      <c r="F261" s="739"/>
      <c r="G261" s="257"/>
      <c r="H261" s="252"/>
      <c r="I261" s="252"/>
      <c r="J261" s="668"/>
    </row>
    <row r="262" spans="2:10" ht="12" customHeight="1">
      <c r="B262" s="664"/>
      <c r="C262" s="253"/>
      <c r="D262" s="710"/>
      <c r="E262" s="255"/>
      <c r="F262" s="739"/>
      <c r="G262" s="257"/>
      <c r="H262" s="252"/>
      <c r="I262" s="252"/>
      <c r="J262" s="668"/>
    </row>
    <row r="263" spans="2:10" ht="12" customHeight="1">
      <c r="B263" s="664"/>
      <c r="C263" s="253"/>
      <c r="D263" s="710"/>
      <c r="E263" s="255"/>
      <c r="F263" s="739"/>
      <c r="G263" s="257"/>
      <c r="H263" s="252"/>
      <c r="I263" s="252"/>
      <c r="J263" s="668"/>
    </row>
    <row r="264" spans="2:10" ht="12" customHeight="1">
      <c r="B264" s="664"/>
      <c r="C264" s="253"/>
      <c r="D264" s="710"/>
      <c r="E264" s="255"/>
      <c r="F264" s="739"/>
      <c r="G264" s="257"/>
      <c r="H264" s="252"/>
      <c r="I264" s="252"/>
      <c r="J264" s="668"/>
    </row>
    <row r="265" spans="2:10" ht="12" customHeight="1" thickBot="1">
      <c r="B265" s="711"/>
      <c r="C265" s="712"/>
      <c r="D265" s="714"/>
      <c r="E265" s="713"/>
      <c r="F265" s="745"/>
      <c r="G265" s="716"/>
      <c r="H265" s="717"/>
      <c r="I265" s="717"/>
      <c r="J265" s="718"/>
    </row>
    <row r="266" spans="2:10" ht="12" customHeight="1">
      <c r="B266" s="1053" t="s">
        <v>9</v>
      </c>
      <c r="C266" s="1062"/>
      <c r="D266" s="1062"/>
      <c r="E266" s="1062"/>
      <c r="F266" s="1062"/>
      <c r="G266" s="1063"/>
      <c r="H266" s="1049" t="s">
        <v>805</v>
      </c>
      <c r="I266" s="1049" t="s">
        <v>836</v>
      </c>
      <c r="J266" s="1046" t="s">
        <v>835</v>
      </c>
    </row>
    <row r="267" spans="2:10" ht="12" customHeight="1">
      <c r="B267" s="1064"/>
      <c r="C267" s="1065"/>
      <c r="D267" s="1065"/>
      <c r="E267" s="1065"/>
      <c r="F267" s="1065"/>
      <c r="G267" s="1066"/>
      <c r="H267" s="1050"/>
      <c r="I267" s="1050"/>
      <c r="J267" s="1047"/>
    </row>
    <row r="268" spans="2:10" ht="12" customHeight="1">
      <c r="B268" s="81"/>
      <c r="C268" s="1067" t="s">
        <v>10</v>
      </c>
      <c r="D268" s="82" t="s">
        <v>11</v>
      </c>
      <c r="E268" s="82" t="s">
        <v>12</v>
      </c>
      <c r="F268" s="83"/>
      <c r="G268" s="487"/>
      <c r="H268" s="1050"/>
      <c r="I268" s="1050"/>
      <c r="J268" s="1047"/>
    </row>
    <row r="269" spans="2:10" ht="12" customHeight="1" thickBot="1">
      <c r="B269" s="85"/>
      <c r="C269" s="1061"/>
      <c r="D269" s="87"/>
      <c r="E269" s="86" t="s">
        <v>13</v>
      </c>
      <c r="F269" s="88" t="s">
        <v>14</v>
      </c>
      <c r="G269" s="488"/>
      <c r="H269" s="1051"/>
      <c r="I269" s="1051"/>
      <c r="J269" s="1048"/>
    </row>
    <row r="270" spans="2:13" ht="19.5" customHeight="1" thickTop="1">
      <c r="B270" s="61">
        <f>B258+1</f>
        <v>178</v>
      </c>
      <c r="C270" s="107" t="s">
        <v>79</v>
      </c>
      <c r="D270" s="108"/>
      <c r="E270" s="109"/>
      <c r="F270" s="110" t="s">
        <v>80</v>
      </c>
      <c r="G270" s="495"/>
      <c r="H270" s="556">
        <f>H272+H274+H294+H295+H296+H297</f>
        <v>6892922</v>
      </c>
      <c r="I270" s="556">
        <f>I272+I274+I294+I295+I296+I297</f>
        <v>3719672</v>
      </c>
      <c r="J270" s="596">
        <f t="shared" si="5"/>
        <v>53.96364560631907</v>
      </c>
      <c r="M270" s="15"/>
    </row>
    <row r="271" spans="2:13" ht="12.75">
      <c r="B271" s="61">
        <f t="shared" si="4"/>
        <v>179</v>
      </c>
      <c r="C271" s="6"/>
      <c r="D271" s="7"/>
      <c r="E271" s="9"/>
      <c r="F271" s="69"/>
      <c r="G271" s="491"/>
      <c r="H271" s="549"/>
      <c r="I271" s="549"/>
      <c r="J271" s="596"/>
      <c r="M271" s="15"/>
    </row>
    <row r="272" spans="2:10" ht="12.75">
      <c r="B272" s="61">
        <f t="shared" si="4"/>
        <v>180</v>
      </c>
      <c r="C272" s="6"/>
      <c r="D272" s="570" t="s">
        <v>669</v>
      </c>
      <c r="E272" s="577"/>
      <c r="F272" s="69" t="s">
        <v>752</v>
      </c>
      <c r="G272" s="507"/>
      <c r="H272" s="578">
        <v>14000</v>
      </c>
      <c r="I272" s="578">
        <v>14000</v>
      </c>
      <c r="J272" s="596">
        <f t="shared" si="5"/>
        <v>100</v>
      </c>
    </row>
    <row r="273" spans="2:10" ht="12.75">
      <c r="B273" s="61">
        <f t="shared" si="4"/>
        <v>181</v>
      </c>
      <c r="C273" s="6"/>
      <c r="D273" s="7"/>
      <c r="E273" s="9"/>
      <c r="F273" s="69"/>
      <c r="G273" s="491"/>
      <c r="H273" s="549"/>
      <c r="I273" s="549"/>
      <c r="J273" s="596"/>
    </row>
    <row r="274" spans="2:12" ht="12.75" customHeight="1">
      <c r="B274" s="61">
        <f t="shared" si="4"/>
        <v>182</v>
      </c>
      <c r="C274" s="6"/>
      <c r="D274" s="570" t="s">
        <v>81</v>
      </c>
      <c r="E274" s="9"/>
      <c r="F274" s="69" t="s">
        <v>82</v>
      </c>
      <c r="G274" s="491"/>
      <c r="H274" s="536">
        <f>H275</f>
        <v>6793857</v>
      </c>
      <c r="I274" s="536">
        <f>I275</f>
        <v>3656394</v>
      </c>
      <c r="J274" s="596">
        <f t="shared" si="5"/>
        <v>53.81911924257457</v>
      </c>
      <c r="L274" s="15"/>
    </row>
    <row r="275" spans="2:13" ht="12.75">
      <c r="B275" s="61">
        <f t="shared" si="4"/>
        <v>183</v>
      </c>
      <c r="C275" s="6"/>
      <c r="D275" s="9"/>
      <c r="E275" s="192" t="s">
        <v>26</v>
      </c>
      <c r="F275" s="33" t="s">
        <v>83</v>
      </c>
      <c r="G275" s="491"/>
      <c r="H275" s="549">
        <f>SUM(H276:H293)</f>
        <v>6793857</v>
      </c>
      <c r="I275" s="549">
        <f>SUM(I276:I293)</f>
        <v>3656394</v>
      </c>
      <c r="J275" s="596">
        <f t="shared" si="5"/>
        <v>53.81911924257457</v>
      </c>
      <c r="L275" s="126"/>
      <c r="M275" s="126"/>
    </row>
    <row r="276" spans="2:15" ht="12.75">
      <c r="B276" s="61">
        <f t="shared" si="4"/>
        <v>184</v>
      </c>
      <c r="C276" s="57"/>
      <c r="D276" s="10"/>
      <c r="E276" s="10"/>
      <c r="F276" s="76" t="s">
        <v>84</v>
      </c>
      <c r="G276" s="496"/>
      <c r="H276" s="543">
        <v>5620475</v>
      </c>
      <c r="I276" s="543">
        <f>2838630+53514+1808+13878+13650+3998</f>
        <v>2925478</v>
      </c>
      <c r="J276" s="596">
        <f t="shared" si="5"/>
        <v>52.05036940827955</v>
      </c>
      <c r="K276" s="178"/>
      <c r="L276" s="15"/>
      <c r="M276" s="15"/>
      <c r="N276" s="15"/>
      <c r="O276" s="15"/>
    </row>
    <row r="277" spans="2:11" ht="12.75" customHeight="1">
      <c r="B277" s="61">
        <f t="shared" si="4"/>
        <v>185</v>
      </c>
      <c r="C277" s="6"/>
      <c r="D277" s="9"/>
      <c r="E277" s="9"/>
      <c r="F277" s="37" t="s">
        <v>155</v>
      </c>
      <c r="G277" s="491"/>
      <c r="H277" s="537">
        <v>79260</v>
      </c>
      <c r="I277" s="537">
        <v>40278</v>
      </c>
      <c r="J277" s="596">
        <f t="shared" si="5"/>
        <v>50.81756245268736</v>
      </c>
      <c r="K277" s="178"/>
    </row>
    <row r="278" spans="2:11" ht="12.75" customHeight="1">
      <c r="B278" s="61">
        <f t="shared" si="4"/>
        <v>186</v>
      </c>
      <c r="C278" s="6"/>
      <c r="D278" s="9"/>
      <c r="E278" s="9"/>
      <c r="F278" s="45" t="s">
        <v>85</v>
      </c>
      <c r="G278" s="491"/>
      <c r="H278" s="553">
        <v>833088</v>
      </c>
      <c r="I278" s="553">
        <v>416544</v>
      </c>
      <c r="J278" s="596">
        <f t="shared" si="5"/>
        <v>50</v>
      </c>
      <c r="K278" s="178"/>
    </row>
    <row r="279" spans="2:12" ht="12.75">
      <c r="B279" s="61">
        <f t="shared" si="4"/>
        <v>187</v>
      </c>
      <c r="C279" s="6"/>
      <c r="D279" s="12"/>
      <c r="E279" s="8"/>
      <c r="F279" s="45" t="s">
        <v>86</v>
      </c>
      <c r="G279" s="491"/>
      <c r="H279" s="537">
        <v>70000</v>
      </c>
      <c r="I279" s="537">
        <v>34750</v>
      </c>
      <c r="J279" s="596">
        <f t="shared" si="5"/>
        <v>49.642857142857146</v>
      </c>
      <c r="K279" s="178"/>
      <c r="L279" s="15"/>
    </row>
    <row r="280" spans="2:11" ht="12.75">
      <c r="B280" s="61">
        <f t="shared" si="4"/>
        <v>188</v>
      </c>
      <c r="C280" s="6"/>
      <c r="D280" s="12"/>
      <c r="E280" s="8"/>
      <c r="F280" s="45" t="s">
        <v>75</v>
      </c>
      <c r="G280" s="491"/>
      <c r="H280" s="537">
        <v>50000</v>
      </c>
      <c r="I280" s="537">
        <v>54385</v>
      </c>
      <c r="J280" s="596">
        <f t="shared" si="5"/>
        <v>108.76999999999998</v>
      </c>
      <c r="K280" s="178"/>
    </row>
    <row r="281" spans="2:11" ht="12.75">
      <c r="B281" s="61">
        <f t="shared" si="4"/>
        <v>189</v>
      </c>
      <c r="C281" s="6"/>
      <c r="D281" s="12"/>
      <c r="E281" s="8"/>
      <c r="F281" s="45" t="s">
        <v>87</v>
      </c>
      <c r="G281" s="491"/>
      <c r="H281" s="537">
        <v>38030</v>
      </c>
      <c r="I281" s="537">
        <v>19003</v>
      </c>
      <c r="J281" s="596">
        <f t="shared" si="5"/>
        <v>49.96844596371286</v>
      </c>
      <c r="K281" s="178"/>
    </row>
    <row r="282" spans="2:11" ht="12.75">
      <c r="B282" s="61">
        <f t="shared" si="4"/>
        <v>190</v>
      </c>
      <c r="C282" s="6"/>
      <c r="D282" s="12"/>
      <c r="E282" s="8"/>
      <c r="F282" s="45" t="s">
        <v>1</v>
      </c>
      <c r="G282" s="491"/>
      <c r="H282" s="537">
        <v>18600</v>
      </c>
      <c r="I282" s="537">
        <v>4610</v>
      </c>
      <c r="J282" s="596">
        <f t="shared" si="5"/>
        <v>24.78494623655914</v>
      </c>
      <c r="K282" s="178"/>
    </row>
    <row r="283" spans="2:11" ht="14.25" customHeight="1">
      <c r="B283" s="61">
        <f t="shared" si="4"/>
        <v>191</v>
      </c>
      <c r="C283" s="6"/>
      <c r="D283" s="12"/>
      <c r="E283" s="8"/>
      <c r="F283" s="45" t="s">
        <v>88</v>
      </c>
      <c r="G283" s="491"/>
      <c r="H283" s="537">
        <v>24500</v>
      </c>
      <c r="I283" s="537">
        <v>28887</v>
      </c>
      <c r="J283" s="596">
        <f t="shared" si="5"/>
        <v>117.9061224489796</v>
      </c>
      <c r="K283" s="178"/>
    </row>
    <row r="284" spans="2:11" ht="12.75">
      <c r="B284" s="61">
        <f t="shared" si="4"/>
        <v>192</v>
      </c>
      <c r="C284" s="445"/>
      <c r="D284" s="446"/>
      <c r="E284" s="447"/>
      <c r="F284" s="448" t="s">
        <v>648</v>
      </c>
      <c r="G284" s="498"/>
      <c r="H284" s="551">
        <v>5000</v>
      </c>
      <c r="I284" s="551">
        <v>0</v>
      </c>
      <c r="J284" s="596">
        <f t="shared" si="5"/>
        <v>0</v>
      </c>
      <c r="K284" s="178"/>
    </row>
    <row r="285" spans="2:11" ht="12.75">
      <c r="B285" s="61">
        <f t="shared" si="4"/>
        <v>193</v>
      </c>
      <c r="C285" s="445"/>
      <c r="D285" s="446"/>
      <c r="E285" s="447"/>
      <c r="F285" s="448" t="s">
        <v>745</v>
      </c>
      <c r="G285" s="498"/>
      <c r="H285" s="551">
        <v>33000</v>
      </c>
      <c r="I285" s="551">
        <v>63521</v>
      </c>
      <c r="J285" s="596">
        <f t="shared" si="5"/>
        <v>192.4878787878788</v>
      </c>
      <c r="K285" s="140"/>
    </row>
    <row r="286" spans="2:11" ht="12.75">
      <c r="B286" s="61">
        <f t="shared" si="4"/>
        <v>194</v>
      </c>
      <c r="C286" s="445"/>
      <c r="D286" s="446"/>
      <c r="E286" s="447"/>
      <c r="F286" s="448" t="s">
        <v>843</v>
      </c>
      <c r="G286" s="498"/>
      <c r="H286" s="551"/>
      <c r="I286" s="551">
        <v>45562</v>
      </c>
      <c r="J286" s="596"/>
      <c r="K286" s="140"/>
    </row>
    <row r="287" spans="2:11" ht="12.75">
      <c r="B287" s="61">
        <f t="shared" si="4"/>
        <v>195</v>
      </c>
      <c r="C287" s="445"/>
      <c r="D287" s="446"/>
      <c r="E287" s="447"/>
      <c r="F287" s="448" t="s">
        <v>746</v>
      </c>
      <c r="G287" s="498"/>
      <c r="H287" s="551">
        <v>3700</v>
      </c>
      <c r="I287" s="551">
        <v>12814</v>
      </c>
      <c r="J287" s="596">
        <f t="shared" si="5"/>
        <v>346.3243243243243</v>
      </c>
      <c r="K287" s="178"/>
    </row>
    <row r="288" spans="2:11" ht="12.75">
      <c r="B288" s="61">
        <f t="shared" si="4"/>
        <v>196</v>
      </c>
      <c r="C288" s="445"/>
      <c r="D288" s="446"/>
      <c r="E288" s="447"/>
      <c r="F288" s="448" t="s">
        <v>747</v>
      </c>
      <c r="G288" s="498"/>
      <c r="H288" s="551">
        <v>3000</v>
      </c>
      <c r="I288" s="551">
        <v>2932</v>
      </c>
      <c r="J288" s="596">
        <f aca="true" t="shared" si="6" ref="J288:J299">I288/H288*100</f>
        <v>97.73333333333333</v>
      </c>
      <c r="K288" s="140"/>
    </row>
    <row r="289" spans="2:11" ht="12.75">
      <c r="B289" s="61">
        <f t="shared" si="4"/>
        <v>197</v>
      </c>
      <c r="C289" s="445"/>
      <c r="D289" s="446"/>
      <c r="E289" s="447"/>
      <c r="F289" s="448" t="s">
        <v>782</v>
      </c>
      <c r="G289" s="498"/>
      <c r="H289" s="551">
        <v>6204</v>
      </c>
      <c r="I289" s="551">
        <v>6204</v>
      </c>
      <c r="J289" s="596">
        <f t="shared" si="6"/>
        <v>100</v>
      </c>
      <c r="K289" s="140"/>
    </row>
    <row r="290" spans="2:11" ht="12.75">
      <c r="B290" s="61">
        <f t="shared" si="4"/>
        <v>198</v>
      </c>
      <c r="C290" s="445"/>
      <c r="D290" s="446"/>
      <c r="E290" s="447"/>
      <c r="F290" s="448" t="s">
        <v>845</v>
      </c>
      <c r="G290" s="498"/>
      <c r="H290" s="551">
        <v>0</v>
      </c>
      <c r="I290" s="551">
        <v>1426</v>
      </c>
      <c r="J290" s="596"/>
      <c r="K290" s="140"/>
    </row>
    <row r="291" spans="2:11" ht="12.75">
      <c r="B291" s="61">
        <f t="shared" si="4"/>
        <v>199</v>
      </c>
      <c r="C291" s="445"/>
      <c r="D291" s="446"/>
      <c r="E291" s="447"/>
      <c r="F291" s="448" t="s">
        <v>825</v>
      </c>
      <c r="G291" s="498"/>
      <c r="H291" s="551">
        <v>500</v>
      </c>
      <c r="I291" s="551">
        <v>0</v>
      </c>
      <c r="J291" s="596">
        <f t="shared" si="6"/>
        <v>0</v>
      </c>
      <c r="K291" s="140"/>
    </row>
    <row r="292" spans="2:11" ht="12.75">
      <c r="B292" s="61">
        <f t="shared" si="4"/>
        <v>200</v>
      </c>
      <c r="C292" s="445"/>
      <c r="D292" s="446"/>
      <c r="E292" s="447"/>
      <c r="F292" s="448" t="s">
        <v>828</v>
      </c>
      <c r="G292" s="498"/>
      <c r="H292" s="551">
        <v>1500</v>
      </c>
      <c r="I292" s="551">
        <v>0</v>
      </c>
      <c r="J292" s="596">
        <f t="shared" si="6"/>
        <v>0</v>
      </c>
      <c r="K292" s="140"/>
    </row>
    <row r="293" spans="2:11" ht="12.75">
      <c r="B293" s="61">
        <f t="shared" si="4"/>
        <v>201</v>
      </c>
      <c r="C293" s="445"/>
      <c r="D293" s="446"/>
      <c r="E293" s="447"/>
      <c r="F293" s="448" t="s">
        <v>830</v>
      </c>
      <c r="G293" s="498"/>
      <c r="H293" s="551">
        <v>7000</v>
      </c>
      <c r="I293" s="551">
        <v>0</v>
      </c>
      <c r="J293" s="596">
        <f t="shared" si="6"/>
        <v>0</v>
      </c>
      <c r="K293" s="140"/>
    </row>
    <row r="294" spans="2:11" ht="12.75">
      <c r="B294" s="61">
        <f t="shared" si="4"/>
        <v>202</v>
      </c>
      <c r="C294" s="445"/>
      <c r="D294" s="529" t="s">
        <v>669</v>
      </c>
      <c r="E294" s="447"/>
      <c r="F294" s="448" t="s">
        <v>706</v>
      </c>
      <c r="G294" s="498"/>
      <c r="H294" s="557">
        <v>80865</v>
      </c>
      <c r="I294" s="557">
        <f>39166+6912</f>
        <v>46078</v>
      </c>
      <c r="J294" s="596">
        <f t="shared" si="6"/>
        <v>56.981388734310265</v>
      </c>
      <c r="K294" s="140"/>
    </row>
    <row r="295" spans="2:11" ht="12.75">
      <c r="B295" s="61">
        <f t="shared" si="4"/>
        <v>203</v>
      </c>
      <c r="C295" s="445"/>
      <c r="D295" s="529" t="s">
        <v>669</v>
      </c>
      <c r="E295" s="447"/>
      <c r="F295" s="448" t="s">
        <v>783</v>
      </c>
      <c r="G295" s="498"/>
      <c r="H295" s="557">
        <v>3000</v>
      </c>
      <c r="I295" s="557">
        <v>3000</v>
      </c>
      <c r="J295" s="596">
        <f t="shared" si="6"/>
        <v>100</v>
      </c>
      <c r="K295" s="140"/>
    </row>
    <row r="296" spans="2:11" ht="12.75">
      <c r="B296" s="61">
        <f t="shared" si="4"/>
        <v>204</v>
      </c>
      <c r="C296" s="445"/>
      <c r="D296" s="529" t="s">
        <v>669</v>
      </c>
      <c r="E296" s="447"/>
      <c r="F296" s="448" t="s">
        <v>831</v>
      </c>
      <c r="G296" s="498"/>
      <c r="H296" s="557">
        <v>200</v>
      </c>
      <c r="I296" s="557">
        <v>200</v>
      </c>
      <c r="J296" s="596">
        <f t="shared" si="6"/>
        <v>100</v>
      </c>
      <c r="K296" s="140"/>
    </row>
    <row r="297" spans="2:11" ht="12.75">
      <c r="B297" s="61">
        <f t="shared" si="4"/>
        <v>205</v>
      </c>
      <c r="C297" s="445"/>
      <c r="D297" s="529" t="s">
        <v>669</v>
      </c>
      <c r="E297" s="447"/>
      <c r="F297" s="448" t="s">
        <v>833</v>
      </c>
      <c r="G297" s="498"/>
      <c r="H297" s="557">
        <v>1000</v>
      </c>
      <c r="I297" s="557">
        <v>0</v>
      </c>
      <c r="J297" s="596">
        <f t="shared" si="6"/>
        <v>0</v>
      </c>
      <c r="K297" s="140"/>
    </row>
    <row r="298" spans="2:11" ht="12.75" customHeight="1" thickBot="1">
      <c r="B298" s="61">
        <f t="shared" si="4"/>
        <v>206</v>
      </c>
      <c r="C298" s="115"/>
      <c r="D298" s="116"/>
      <c r="E298" s="117"/>
      <c r="F298" s="118"/>
      <c r="G298" s="499"/>
      <c r="H298" s="558"/>
      <c r="I298" s="558"/>
      <c r="J298" s="596"/>
      <c r="K298" s="140"/>
    </row>
    <row r="299" spans="2:13" ht="31.5" customHeight="1" thickBot="1" thickTop="1">
      <c r="B299" s="190">
        <f t="shared" si="4"/>
        <v>207</v>
      </c>
      <c r="C299" s="121"/>
      <c r="D299" s="122"/>
      <c r="E299" s="123"/>
      <c r="F299" s="124" t="s">
        <v>89</v>
      </c>
      <c r="G299" s="500"/>
      <c r="H299" s="559">
        <f>H270+H25+H8</f>
        <v>30804280</v>
      </c>
      <c r="I299" s="559">
        <f>I270+I25+I8</f>
        <v>16684210</v>
      </c>
      <c r="J299" s="684">
        <f t="shared" si="6"/>
        <v>54.161986581085486</v>
      </c>
      <c r="K299" s="583"/>
      <c r="L299" s="162"/>
      <c r="M299" s="162"/>
    </row>
    <row r="300" spans="8:11" ht="15.75" customHeight="1" thickBot="1">
      <c r="H300" s="15"/>
      <c r="I300" s="15"/>
      <c r="K300" s="140"/>
    </row>
    <row r="301" spans="2:10" ht="13.5" customHeight="1">
      <c r="B301" s="1053" t="s">
        <v>180</v>
      </c>
      <c r="C301" s="1054"/>
      <c r="D301" s="1054"/>
      <c r="E301" s="1054"/>
      <c r="F301" s="1054"/>
      <c r="G301" s="1054"/>
      <c r="H301" s="1057" t="s">
        <v>805</v>
      </c>
      <c r="I301" s="1049" t="s">
        <v>836</v>
      </c>
      <c r="J301" s="1046" t="s">
        <v>835</v>
      </c>
    </row>
    <row r="302" spans="2:10" ht="15" customHeight="1">
      <c r="B302" s="1055"/>
      <c r="C302" s="1056"/>
      <c r="D302" s="1056"/>
      <c r="E302" s="1056"/>
      <c r="F302" s="1056"/>
      <c r="G302" s="1056"/>
      <c r="H302" s="1058"/>
      <c r="I302" s="1050"/>
      <c r="J302" s="1047"/>
    </row>
    <row r="303" spans="2:10" ht="12.75" customHeight="1">
      <c r="B303" s="81"/>
      <c r="C303" s="1060" t="s">
        <v>10</v>
      </c>
      <c r="D303" s="82" t="s">
        <v>11</v>
      </c>
      <c r="E303" s="82" t="s">
        <v>12</v>
      </c>
      <c r="F303" s="84"/>
      <c r="G303" s="83"/>
      <c r="H303" s="1058"/>
      <c r="I303" s="1050"/>
      <c r="J303" s="1047"/>
    </row>
    <row r="304" spans="2:10" ht="18.75" customHeight="1" thickBot="1">
      <c r="B304" s="85"/>
      <c r="C304" s="1061"/>
      <c r="D304" s="87"/>
      <c r="E304" s="86" t="s">
        <v>13</v>
      </c>
      <c r="F304" s="89" t="s">
        <v>14</v>
      </c>
      <c r="G304" s="299"/>
      <c r="H304" s="1059"/>
      <c r="I304" s="1051"/>
      <c r="J304" s="1048"/>
    </row>
    <row r="305" spans="2:10" ht="16.5" thickTop="1">
      <c r="B305" s="91">
        <v>1</v>
      </c>
      <c r="C305" s="92" t="s">
        <v>37</v>
      </c>
      <c r="D305" s="93"/>
      <c r="E305" s="291"/>
      <c r="F305" s="292" t="s">
        <v>38</v>
      </c>
      <c r="G305" s="302"/>
      <c r="H305" s="689">
        <f>H307</f>
        <v>1100000</v>
      </c>
      <c r="I305" s="552">
        <f>I307</f>
        <v>1281807</v>
      </c>
      <c r="J305" s="597">
        <f aca="true" t="shared" si="7" ref="J305:J318">I305/H305*100</f>
        <v>116.52790909090909</v>
      </c>
    </row>
    <row r="306" spans="2:10" ht="15">
      <c r="B306" s="94">
        <f aca="true" t="shared" si="8" ref="B306:B318">B305+1</f>
        <v>2</v>
      </c>
      <c r="C306" s="12"/>
      <c r="D306" s="6"/>
      <c r="E306" s="72"/>
      <c r="F306" s="40"/>
      <c r="G306" s="40"/>
      <c r="H306" s="561"/>
      <c r="I306" s="691"/>
      <c r="J306" s="597"/>
    </row>
    <row r="307" spans="2:10" ht="12.75">
      <c r="B307" s="94">
        <f t="shared" si="8"/>
        <v>3</v>
      </c>
      <c r="C307" s="57" t="s">
        <v>181</v>
      </c>
      <c r="D307" s="57"/>
      <c r="E307" s="72"/>
      <c r="F307" s="95" t="s">
        <v>182</v>
      </c>
      <c r="G307" s="45"/>
      <c r="H307" s="562">
        <f>H308+H312+H313</f>
        <v>1100000</v>
      </c>
      <c r="I307" s="692">
        <f>I308+I312+I313</f>
        <v>1281807</v>
      </c>
      <c r="J307" s="597">
        <f t="shared" si="7"/>
        <v>116.52790909090909</v>
      </c>
    </row>
    <row r="308" spans="2:10" ht="13.5" customHeight="1">
      <c r="B308" s="94">
        <f t="shared" si="8"/>
        <v>4</v>
      </c>
      <c r="C308" s="6"/>
      <c r="D308" s="47" t="s">
        <v>183</v>
      </c>
      <c r="E308" s="7" t="s">
        <v>26</v>
      </c>
      <c r="F308" s="290" t="s">
        <v>184</v>
      </c>
      <c r="G308" s="53"/>
      <c r="H308" s="564">
        <f>H309+H310</f>
        <v>1070500</v>
      </c>
      <c r="I308" s="693">
        <f>I309+I310</f>
        <v>1205956</v>
      </c>
      <c r="J308" s="596">
        <f t="shared" si="7"/>
        <v>112.6535263895376</v>
      </c>
    </row>
    <row r="309" spans="2:10" ht="12.75">
      <c r="B309" s="94">
        <f t="shared" si="8"/>
        <v>5</v>
      </c>
      <c r="C309" s="7"/>
      <c r="D309" s="10"/>
      <c r="E309" s="47"/>
      <c r="F309" s="16" t="s">
        <v>185</v>
      </c>
      <c r="G309" s="45"/>
      <c r="H309" s="563">
        <f>1100000-129500</f>
        <v>970500</v>
      </c>
      <c r="I309" s="694">
        <v>1072905</v>
      </c>
      <c r="J309" s="596">
        <f t="shared" si="7"/>
        <v>110.55177743431221</v>
      </c>
    </row>
    <row r="310" spans="2:10" ht="12.75">
      <c r="B310" s="94">
        <f t="shared" si="8"/>
        <v>6</v>
      </c>
      <c r="C310" s="7"/>
      <c r="D310" s="9"/>
      <c r="E310" s="47"/>
      <c r="F310" s="33" t="s">
        <v>753</v>
      </c>
      <c r="G310" s="45"/>
      <c r="H310" s="563">
        <v>100000</v>
      </c>
      <c r="I310" s="694">
        <f>133057-6</f>
        <v>133051</v>
      </c>
      <c r="J310" s="596">
        <f t="shared" si="7"/>
        <v>133.05100000000002</v>
      </c>
    </row>
    <row r="311" spans="2:10" ht="12.75">
      <c r="B311" s="94">
        <f t="shared" si="8"/>
        <v>7</v>
      </c>
      <c r="C311" s="7"/>
      <c r="D311" s="9"/>
      <c r="E311" s="47"/>
      <c r="F311" s="33"/>
      <c r="G311" s="45"/>
      <c r="H311" s="563"/>
      <c r="I311" s="694"/>
      <c r="J311" s="596"/>
    </row>
    <row r="312" spans="2:10" ht="12.75">
      <c r="B312" s="94">
        <f t="shared" si="8"/>
        <v>8</v>
      </c>
      <c r="C312" s="7"/>
      <c r="D312" s="9" t="s">
        <v>754</v>
      </c>
      <c r="E312" s="47"/>
      <c r="F312" s="33" t="s">
        <v>755</v>
      </c>
      <c r="G312" s="45"/>
      <c r="H312" s="563">
        <v>4500</v>
      </c>
      <c r="I312" s="694">
        <v>50966</v>
      </c>
      <c r="J312" s="596">
        <f t="shared" si="7"/>
        <v>1132.5777777777778</v>
      </c>
    </row>
    <row r="313" spans="2:10" ht="12.75">
      <c r="B313" s="94">
        <f t="shared" si="8"/>
        <v>9</v>
      </c>
      <c r="C313" s="7"/>
      <c r="D313" s="9" t="s">
        <v>754</v>
      </c>
      <c r="E313" s="47"/>
      <c r="F313" s="33" t="s">
        <v>756</v>
      </c>
      <c r="G313" s="45"/>
      <c r="H313" s="563">
        <v>25000</v>
      </c>
      <c r="I313" s="694">
        <f>23740+1145</f>
        <v>24885</v>
      </c>
      <c r="J313" s="596">
        <f t="shared" si="7"/>
        <v>99.53999999999999</v>
      </c>
    </row>
    <row r="314" spans="2:10" ht="12.75">
      <c r="B314" s="94">
        <f t="shared" si="8"/>
        <v>10</v>
      </c>
      <c r="C314" s="617"/>
      <c r="D314" s="617"/>
      <c r="E314" s="617"/>
      <c r="F314" s="687"/>
      <c r="G314" s="688"/>
      <c r="H314" s="697"/>
      <c r="I314" s="695"/>
      <c r="J314" s="685"/>
    </row>
    <row r="315" spans="2:10" ht="12.75">
      <c r="B315" s="94">
        <f t="shared" si="8"/>
        <v>11</v>
      </c>
      <c r="C315" s="617"/>
      <c r="D315" s="617"/>
      <c r="E315" s="617"/>
      <c r="F315" s="687"/>
      <c r="G315" s="688"/>
      <c r="H315" s="697"/>
      <c r="I315" s="695"/>
      <c r="J315" s="685"/>
    </row>
    <row r="316" spans="2:10" ht="15.75">
      <c r="B316" s="94">
        <f t="shared" si="8"/>
        <v>12</v>
      </c>
      <c r="C316" s="92" t="s">
        <v>79</v>
      </c>
      <c r="D316" s="93"/>
      <c r="E316" s="614"/>
      <c r="F316" s="615" t="s">
        <v>851</v>
      </c>
      <c r="G316" s="616"/>
      <c r="H316" s="560">
        <v>0</v>
      </c>
      <c r="I316" s="552">
        <v>7000</v>
      </c>
      <c r="J316" s="597"/>
    </row>
    <row r="317" spans="2:10" ht="12.75">
      <c r="B317" s="94">
        <f t="shared" si="8"/>
        <v>13</v>
      </c>
      <c r="C317" s="7"/>
      <c r="D317" s="610" t="s">
        <v>844</v>
      </c>
      <c r="E317" s="611"/>
      <c r="F317" s="612" t="s">
        <v>752</v>
      </c>
      <c r="G317" s="612"/>
      <c r="H317" s="690">
        <v>0</v>
      </c>
      <c r="I317" s="613">
        <v>7000</v>
      </c>
      <c r="J317" s="596"/>
    </row>
    <row r="318" spans="2:10" ht="25.5" customHeight="1" thickBot="1">
      <c r="B318" s="686">
        <f t="shared" si="8"/>
        <v>14</v>
      </c>
      <c r="C318" s="288"/>
      <c r="D318" s="289"/>
      <c r="E318" s="293"/>
      <c r="F318" s="294" t="s">
        <v>186</v>
      </c>
      <c r="G318" s="295"/>
      <c r="H318" s="565">
        <f>H305</f>
        <v>1100000</v>
      </c>
      <c r="I318" s="696">
        <f>I305+I316</f>
        <v>1288807</v>
      </c>
      <c r="J318" s="684">
        <f t="shared" si="7"/>
        <v>117.16427272727272</v>
      </c>
    </row>
    <row r="319" spans="2:9" ht="13.5" customHeight="1" thickBot="1">
      <c r="B319" s="251"/>
      <c r="C319" s="254"/>
      <c r="D319" s="254"/>
      <c r="E319" s="254"/>
      <c r="F319" s="258"/>
      <c r="G319" s="258"/>
      <c r="H319" s="140"/>
      <c r="I319" s="140"/>
    </row>
    <row r="320" spans="2:10" ht="12.75" customHeight="1">
      <c r="B320" s="1053" t="s">
        <v>194</v>
      </c>
      <c r="C320" s="1054"/>
      <c r="D320" s="1054"/>
      <c r="E320" s="1054"/>
      <c r="F320" s="1054"/>
      <c r="G320" s="1054"/>
      <c r="H320" s="1057" t="s">
        <v>805</v>
      </c>
      <c r="I320" s="1049" t="s">
        <v>836</v>
      </c>
      <c r="J320" s="1046" t="s">
        <v>835</v>
      </c>
    </row>
    <row r="321" spans="2:10" ht="12.75" customHeight="1">
      <c r="B321" s="1055"/>
      <c r="C321" s="1056"/>
      <c r="D321" s="1056"/>
      <c r="E321" s="1056"/>
      <c r="F321" s="1056"/>
      <c r="G321" s="1056"/>
      <c r="H321" s="1058"/>
      <c r="I321" s="1050"/>
      <c r="J321" s="1047"/>
    </row>
    <row r="322" spans="2:10" ht="17.25" customHeight="1">
      <c r="B322" s="81"/>
      <c r="C322" s="82" t="s">
        <v>10</v>
      </c>
      <c r="D322" s="82" t="s">
        <v>11</v>
      </c>
      <c r="E322" s="82" t="s">
        <v>12</v>
      </c>
      <c r="F322" s="84"/>
      <c r="G322" s="83"/>
      <c r="H322" s="1058"/>
      <c r="I322" s="1050"/>
      <c r="J322" s="1047"/>
    </row>
    <row r="323" spans="2:10" ht="20.25" customHeight="1" thickBot="1">
      <c r="B323" s="85"/>
      <c r="C323" s="86"/>
      <c r="D323" s="87"/>
      <c r="E323" s="86" t="s">
        <v>13</v>
      </c>
      <c r="F323" s="89"/>
      <c r="G323" s="299"/>
      <c r="H323" s="1059"/>
      <c r="I323" s="1051"/>
      <c r="J323" s="1048"/>
    </row>
    <row r="324" spans="2:10" ht="16.5" thickTop="1">
      <c r="B324" s="94">
        <v>1</v>
      </c>
      <c r="C324" s="96"/>
      <c r="D324" s="96"/>
      <c r="E324" s="97"/>
      <c r="F324" s="98" t="s">
        <v>89</v>
      </c>
      <c r="G324" s="300"/>
      <c r="H324" s="566">
        <f>H299</f>
        <v>30804280</v>
      </c>
      <c r="I324" s="566">
        <f>I299</f>
        <v>16684210</v>
      </c>
      <c r="J324" s="597">
        <f>I324/H324*100</f>
        <v>54.161986581085486</v>
      </c>
    </row>
    <row r="325" spans="2:10" ht="16.5" thickBot="1">
      <c r="B325" s="99">
        <f>B324+1</f>
        <v>2</v>
      </c>
      <c r="C325" s="100"/>
      <c r="D325" s="100"/>
      <c r="E325" s="101"/>
      <c r="F325" s="102" t="s">
        <v>186</v>
      </c>
      <c r="G325" s="301"/>
      <c r="H325" s="567">
        <f>H318</f>
        <v>1100000</v>
      </c>
      <c r="I325" s="567">
        <f>I318</f>
        <v>1288807</v>
      </c>
      <c r="J325" s="597">
        <f>I325/H325*100</f>
        <v>117.16427272727272</v>
      </c>
    </row>
    <row r="326" spans="2:13" ht="17.25" thickBot="1" thickTop="1">
      <c r="B326" s="103">
        <f>B325+1</f>
        <v>3</v>
      </c>
      <c r="C326" s="283"/>
      <c r="D326" s="284"/>
      <c r="E326" s="285"/>
      <c r="F326" s="286" t="s">
        <v>187</v>
      </c>
      <c r="G326" s="287"/>
      <c r="H326" s="568">
        <f>H324+H325</f>
        <v>31904280</v>
      </c>
      <c r="I326" s="568">
        <f>I324+I325</f>
        <v>17973017</v>
      </c>
      <c r="J326" s="627">
        <f>I326/H326*100</f>
        <v>56.33418776414951</v>
      </c>
      <c r="L326" s="15"/>
      <c r="M326" s="15"/>
    </row>
    <row r="327" spans="6:7" ht="12.75">
      <c r="F327" s="4"/>
      <c r="G327" s="4"/>
    </row>
  </sheetData>
  <sheetProtection selectLockedCells="1" selectUnlockedCells="1"/>
  <mergeCells count="35">
    <mergeCell ref="J137:J140"/>
    <mergeCell ref="C139:C140"/>
    <mergeCell ref="B266:G267"/>
    <mergeCell ref="H266:H269"/>
    <mergeCell ref="I266:I269"/>
    <mergeCell ref="J266:J269"/>
    <mergeCell ref="C268:C269"/>
    <mergeCell ref="B4:G5"/>
    <mergeCell ref="C6:C7"/>
    <mergeCell ref="H4:H7"/>
    <mergeCell ref="B67:G68"/>
    <mergeCell ref="H67:H70"/>
    <mergeCell ref="H137:H140"/>
    <mergeCell ref="B137:G138"/>
    <mergeCell ref="C69:C70"/>
    <mergeCell ref="B2:J2"/>
    <mergeCell ref="B320:G321"/>
    <mergeCell ref="H320:H323"/>
    <mergeCell ref="C303:C304"/>
    <mergeCell ref="H197:H200"/>
    <mergeCell ref="H301:H304"/>
    <mergeCell ref="B197:G198"/>
    <mergeCell ref="B301:G302"/>
    <mergeCell ref="C199:C200"/>
    <mergeCell ref="I4:I7"/>
    <mergeCell ref="J301:J304"/>
    <mergeCell ref="J4:J7"/>
    <mergeCell ref="I197:I200"/>
    <mergeCell ref="I301:I304"/>
    <mergeCell ref="I320:I323"/>
    <mergeCell ref="J197:J200"/>
    <mergeCell ref="J320:J323"/>
    <mergeCell ref="J67:J70"/>
    <mergeCell ref="I67:I70"/>
    <mergeCell ref="I137:I140"/>
  </mergeCells>
  <printOptions/>
  <pageMargins left="0.5118110236220472" right="0.1968503937007874" top="0.4330708661417323" bottom="0.3937007874015748" header="0.4330708661417323" footer="0.3937007874015748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R1503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3.7109375" style="0" customWidth="1"/>
    <col min="3" max="3" width="3.00390625" style="0" customWidth="1"/>
    <col min="4" max="4" width="2.421875" style="0" customWidth="1"/>
    <col min="5" max="5" width="11.28125" style="0" customWidth="1"/>
    <col min="6" max="6" width="6.00390625" style="0" customWidth="1"/>
    <col min="7" max="7" width="38.57421875" style="0" customWidth="1"/>
    <col min="8" max="9" width="13.7109375" style="0" customWidth="1"/>
    <col min="10" max="10" width="6.140625" style="0" customWidth="1"/>
    <col min="11" max="11" width="1.28515625" style="0" customWidth="1"/>
    <col min="12" max="13" width="12.57421875" style="0" customWidth="1"/>
    <col min="14" max="14" width="5.8515625" style="0" customWidth="1"/>
    <col min="15" max="15" width="1.28515625" style="0" customWidth="1"/>
    <col min="16" max="16" width="14.8515625" style="0" customWidth="1"/>
    <col min="17" max="17" width="12.140625" style="0" customWidth="1"/>
    <col min="18" max="18" width="5.8515625" style="0" customWidth="1"/>
  </cols>
  <sheetData>
    <row r="3" spans="2:17" ht="27">
      <c r="B3" s="248" t="s">
        <v>156</v>
      </c>
      <c r="C3" s="440"/>
      <c r="D3" s="440"/>
      <c r="E3" s="440"/>
      <c r="F3" s="440"/>
      <c r="G3" s="440"/>
      <c r="H3" s="465"/>
      <c r="I3" s="594"/>
      <c r="J3" s="440"/>
      <c r="K3" s="594"/>
      <c r="L3" s="444"/>
      <c r="M3" s="594"/>
      <c r="N3" s="440"/>
      <c r="O3" s="594"/>
      <c r="P3" s="440"/>
      <c r="Q3" s="440"/>
    </row>
    <row r="4" spans="2:17" ht="10.5" customHeight="1" thickBot="1">
      <c r="B4" s="440"/>
      <c r="C4" s="440"/>
      <c r="D4" s="440"/>
      <c r="E4" s="440"/>
      <c r="F4" s="440"/>
      <c r="G4" s="440"/>
      <c r="H4" s="465"/>
      <c r="I4" s="594"/>
      <c r="J4" s="440"/>
      <c r="K4" s="594"/>
      <c r="L4" s="444"/>
      <c r="M4" s="594"/>
      <c r="N4" s="440"/>
      <c r="O4" s="594"/>
      <c r="P4" s="440"/>
      <c r="Q4" s="440"/>
    </row>
    <row r="5" spans="2:18" ht="15" customHeight="1" thickBot="1">
      <c r="B5" s="1074" t="s">
        <v>778</v>
      </c>
      <c r="C5" s="1075"/>
      <c r="D5" s="1075"/>
      <c r="E5" s="1075"/>
      <c r="F5" s="1075"/>
      <c r="G5" s="1075"/>
      <c r="H5" s="1075"/>
      <c r="I5" s="1075"/>
      <c r="J5" s="1075"/>
      <c r="K5" s="1075"/>
      <c r="L5" s="1075"/>
      <c r="M5" s="599"/>
      <c r="N5" s="628"/>
      <c r="O5" s="127"/>
      <c r="P5" s="1091" t="s">
        <v>811</v>
      </c>
      <c r="Q5" s="1101" t="s">
        <v>836</v>
      </c>
      <c r="R5" s="761"/>
    </row>
    <row r="6" spans="2:18" ht="46.5" customHeight="1" thickTop="1">
      <c r="B6" s="23"/>
      <c r="C6" s="1083" t="s">
        <v>512</v>
      </c>
      <c r="D6" s="1098" t="s">
        <v>511</v>
      </c>
      <c r="E6" s="1098" t="s">
        <v>509</v>
      </c>
      <c r="F6" s="1098" t="s">
        <v>510</v>
      </c>
      <c r="G6" s="517" t="s">
        <v>3</v>
      </c>
      <c r="H6" s="1085" t="s">
        <v>806</v>
      </c>
      <c r="I6" s="1087" t="s">
        <v>836</v>
      </c>
      <c r="J6" s="1072" t="s">
        <v>835</v>
      </c>
      <c r="K6" s="80"/>
      <c r="L6" s="1068" t="s">
        <v>810</v>
      </c>
      <c r="M6" s="1094" t="s">
        <v>836</v>
      </c>
      <c r="N6" s="1072" t="s">
        <v>835</v>
      </c>
      <c r="O6" s="80"/>
      <c r="P6" s="1092"/>
      <c r="Q6" s="1102"/>
      <c r="R6" s="1047" t="s">
        <v>835</v>
      </c>
    </row>
    <row r="7" spans="2:18" ht="20.25" customHeight="1" thickBot="1">
      <c r="B7" s="26"/>
      <c r="C7" s="1084"/>
      <c r="D7" s="1084"/>
      <c r="E7" s="1084"/>
      <c r="F7" s="1084"/>
      <c r="G7" s="196"/>
      <c r="H7" s="1086"/>
      <c r="I7" s="1086"/>
      <c r="J7" s="1073"/>
      <c r="K7" s="80"/>
      <c r="L7" s="1069"/>
      <c r="M7" s="1095"/>
      <c r="N7" s="1073"/>
      <c r="O7" s="80"/>
      <c r="P7" s="1093"/>
      <c r="Q7" s="1103"/>
      <c r="R7" s="1048"/>
    </row>
    <row r="8" spans="2:18" ht="17.25" thickBot="1" thickTop="1">
      <c r="B8" s="376">
        <v>1</v>
      </c>
      <c r="C8" s="377" t="s">
        <v>207</v>
      </c>
      <c r="D8" s="378"/>
      <c r="E8" s="378"/>
      <c r="F8" s="378"/>
      <c r="G8" s="379"/>
      <c r="H8" s="381">
        <f>H9+H29+H46+H47+H48+H49+H55+H66+H39</f>
        <v>374059</v>
      </c>
      <c r="I8" s="381">
        <f>I9+I29+I46+I47+I48+I49+I55+I66+I39</f>
        <v>216995</v>
      </c>
      <c r="J8" s="598">
        <f>I8/H8*100</f>
        <v>58.010902023477584</v>
      </c>
      <c r="K8" s="380"/>
      <c r="L8" s="656">
        <f>L9+L29+L46+L47+L48+L49+L55+L66+L39</f>
        <v>131200</v>
      </c>
      <c r="M8" s="382">
        <f>M9+M29+M46+M47+M48+M49+M55+M66+M39</f>
        <v>23791</v>
      </c>
      <c r="N8" s="751">
        <f>M8/L8*100</f>
        <v>18.133384146341463</v>
      </c>
      <c r="O8" s="114"/>
      <c r="P8" s="753">
        <f aca="true" t="shared" si="0" ref="P8:P34">H8+L8</f>
        <v>505259</v>
      </c>
      <c r="Q8" s="765">
        <f aca="true" t="shared" si="1" ref="Q8:Q34">I8+M8</f>
        <v>240786</v>
      </c>
      <c r="R8" s="762">
        <f>Q8/P8*100</f>
        <v>47.655954668793626</v>
      </c>
    </row>
    <row r="9" spans="2:18" ht="16.5" thickTop="1">
      <c r="B9" s="177">
        <f aca="true" t="shared" si="2" ref="B9:B50">B8+1</f>
        <v>2</v>
      </c>
      <c r="C9" s="24">
        <v>1</v>
      </c>
      <c r="D9" s="134" t="s">
        <v>126</v>
      </c>
      <c r="E9" s="25"/>
      <c r="F9" s="25"/>
      <c r="G9" s="198"/>
      <c r="H9" s="368">
        <f>H10+H18+H20+H22+H24</f>
        <v>139400</v>
      </c>
      <c r="I9" s="368">
        <f>I10+I18+I20+I22+I24</f>
        <v>67446</v>
      </c>
      <c r="J9" s="619">
        <f>I9/H9*100</f>
        <v>48.38307030129125</v>
      </c>
      <c r="K9" s="90"/>
      <c r="L9" s="203">
        <f>L10+L18+L20+L22+L24</f>
        <v>0</v>
      </c>
      <c r="M9" s="337">
        <f>M10+M18+M20+M22+M24</f>
        <v>0</v>
      </c>
      <c r="N9" s="626"/>
      <c r="O9" s="90"/>
      <c r="P9" s="754">
        <f t="shared" si="0"/>
        <v>139400</v>
      </c>
      <c r="Q9" s="766">
        <f t="shared" si="1"/>
        <v>67446</v>
      </c>
      <c r="R9" s="763">
        <f>Q9/P9*100</f>
        <v>48.38307030129125</v>
      </c>
    </row>
    <row r="10" spans="2:18" ht="15">
      <c r="B10" s="177">
        <f t="shared" si="2"/>
        <v>3</v>
      </c>
      <c r="C10" s="77"/>
      <c r="D10" s="204" t="s">
        <v>4</v>
      </c>
      <c r="E10" s="1088" t="s">
        <v>96</v>
      </c>
      <c r="F10" s="1089"/>
      <c r="G10" s="1090"/>
      <c r="H10" s="360">
        <f>SUM(H11:H17)</f>
        <v>14000</v>
      </c>
      <c r="I10" s="360">
        <f>SUM(I11:I17)</f>
        <v>3869</v>
      </c>
      <c r="J10" s="620">
        <f>I10/H10*100</f>
        <v>27.635714285714286</v>
      </c>
      <c r="K10" s="20"/>
      <c r="L10" s="657"/>
      <c r="M10" s="338"/>
      <c r="N10" s="626"/>
      <c r="O10" s="20"/>
      <c r="P10" s="755">
        <f t="shared" si="0"/>
        <v>14000</v>
      </c>
      <c r="Q10" s="767">
        <f t="shared" si="1"/>
        <v>3869</v>
      </c>
      <c r="R10" s="763">
        <f aca="true" t="shared" si="3" ref="R10:R66">Q10/P10*100</f>
        <v>27.635714285714286</v>
      </c>
    </row>
    <row r="11" spans="2:18" ht="12.75">
      <c r="B11" s="177">
        <f t="shared" si="2"/>
        <v>4</v>
      </c>
      <c r="C11" s="137"/>
      <c r="D11" s="138"/>
      <c r="E11" s="138" t="s">
        <v>240</v>
      </c>
      <c r="F11" s="138" t="s">
        <v>203</v>
      </c>
      <c r="G11" s="199" t="s">
        <v>657</v>
      </c>
      <c r="H11" s="339">
        <v>4500</v>
      </c>
      <c r="I11" s="339">
        <v>1990</v>
      </c>
      <c r="J11" s="620">
        <f aca="true" t="shared" si="4" ref="J11:J66">I11/H11*100</f>
        <v>44.22222222222222</v>
      </c>
      <c r="K11" s="139"/>
      <c r="L11" s="152"/>
      <c r="M11" s="339"/>
      <c r="N11" s="626"/>
      <c r="O11" s="139"/>
      <c r="P11" s="756">
        <f t="shared" si="0"/>
        <v>4500</v>
      </c>
      <c r="Q11" s="768">
        <f t="shared" si="1"/>
        <v>1990</v>
      </c>
      <c r="R11" s="763">
        <f t="shared" si="3"/>
        <v>44.22222222222222</v>
      </c>
    </row>
    <row r="12" spans="2:18" ht="12.75">
      <c r="B12" s="177">
        <f t="shared" si="2"/>
        <v>5</v>
      </c>
      <c r="C12" s="137"/>
      <c r="D12" s="138"/>
      <c r="E12" s="138" t="s">
        <v>240</v>
      </c>
      <c r="F12" s="138" t="s">
        <v>204</v>
      </c>
      <c r="G12" s="199" t="s">
        <v>265</v>
      </c>
      <c r="H12" s="339">
        <v>500</v>
      </c>
      <c r="I12" s="339">
        <v>150</v>
      </c>
      <c r="J12" s="620">
        <f t="shared" si="4"/>
        <v>30</v>
      </c>
      <c r="K12" s="139"/>
      <c r="L12" s="152"/>
      <c r="M12" s="339"/>
      <c r="N12" s="626"/>
      <c r="O12" s="139"/>
      <c r="P12" s="756">
        <f t="shared" si="0"/>
        <v>500</v>
      </c>
      <c r="Q12" s="768">
        <f t="shared" si="1"/>
        <v>150</v>
      </c>
      <c r="R12" s="763">
        <f t="shared" si="3"/>
        <v>30</v>
      </c>
    </row>
    <row r="13" spans="2:18" ht="12.75">
      <c r="B13" s="177">
        <f t="shared" si="2"/>
        <v>6</v>
      </c>
      <c r="C13" s="137"/>
      <c r="D13" s="138"/>
      <c r="E13" s="138" t="s">
        <v>240</v>
      </c>
      <c r="F13" s="138" t="s">
        <v>218</v>
      </c>
      <c r="G13" s="199" t="s">
        <v>366</v>
      </c>
      <c r="H13" s="339">
        <v>500</v>
      </c>
      <c r="I13" s="339">
        <v>0</v>
      </c>
      <c r="J13" s="620">
        <f t="shared" si="4"/>
        <v>0</v>
      </c>
      <c r="K13" s="139"/>
      <c r="L13" s="152"/>
      <c r="M13" s="339"/>
      <c r="N13" s="626"/>
      <c r="O13" s="139"/>
      <c r="P13" s="756">
        <f t="shared" si="0"/>
        <v>500</v>
      </c>
      <c r="Q13" s="768">
        <f t="shared" si="1"/>
        <v>0</v>
      </c>
      <c r="R13" s="763">
        <f t="shared" si="3"/>
        <v>0</v>
      </c>
    </row>
    <row r="14" spans="2:18" ht="12.75">
      <c r="B14" s="177">
        <f t="shared" si="2"/>
        <v>7</v>
      </c>
      <c r="C14" s="137"/>
      <c r="D14" s="138"/>
      <c r="E14" s="138" t="s">
        <v>240</v>
      </c>
      <c r="F14" s="138" t="s">
        <v>219</v>
      </c>
      <c r="G14" s="199" t="s">
        <v>614</v>
      </c>
      <c r="H14" s="339">
        <f>7500-3000</f>
        <v>4500</v>
      </c>
      <c r="I14" s="339">
        <f>1660-I16</f>
        <v>720</v>
      </c>
      <c r="J14" s="620">
        <f t="shared" si="4"/>
        <v>16</v>
      </c>
      <c r="K14" s="139"/>
      <c r="L14" s="150"/>
      <c r="M14" s="335"/>
      <c r="N14" s="626"/>
      <c r="O14" s="139"/>
      <c r="P14" s="756">
        <f t="shared" si="0"/>
        <v>4500</v>
      </c>
      <c r="Q14" s="768">
        <f t="shared" si="1"/>
        <v>720</v>
      </c>
      <c r="R14" s="763">
        <f t="shared" si="3"/>
        <v>16</v>
      </c>
    </row>
    <row r="15" spans="2:18" ht="12.75">
      <c r="B15" s="177">
        <f t="shared" si="2"/>
        <v>8</v>
      </c>
      <c r="C15" s="137"/>
      <c r="D15" s="169"/>
      <c r="E15" s="138" t="s">
        <v>240</v>
      </c>
      <c r="F15" s="141">
        <v>631</v>
      </c>
      <c r="G15" s="199" t="s">
        <v>470</v>
      </c>
      <c r="H15" s="339">
        <v>2000</v>
      </c>
      <c r="I15" s="339">
        <v>69</v>
      </c>
      <c r="J15" s="620">
        <f t="shared" si="4"/>
        <v>3.45</v>
      </c>
      <c r="K15" s="139"/>
      <c r="L15" s="168"/>
      <c r="M15" s="341"/>
      <c r="N15" s="626"/>
      <c r="O15" s="139"/>
      <c r="P15" s="756">
        <f t="shared" si="0"/>
        <v>2000</v>
      </c>
      <c r="Q15" s="768">
        <f t="shared" si="1"/>
        <v>69</v>
      </c>
      <c r="R15" s="763">
        <f t="shared" si="3"/>
        <v>3.45</v>
      </c>
    </row>
    <row r="16" spans="2:18" ht="12.75">
      <c r="B16" s="177">
        <f t="shared" si="2"/>
        <v>9</v>
      </c>
      <c r="C16" s="137"/>
      <c r="D16" s="169"/>
      <c r="E16" s="138" t="s">
        <v>240</v>
      </c>
      <c r="F16" s="141">
        <v>637</v>
      </c>
      <c r="G16" s="199" t="s">
        <v>757</v>
      </c>
      <c r="H16" s="339">
        <v>1790</v>
      </c>
      <c r="I16" s="339">
        <v>940</v>
      </c>
      <c r="J16" s="620">
        <f t="shared" si="4"/>
        <v>52.513966480446925</v>
      </c>
      <c r="K16" s="139"/>
      <c r="L16" s="150"/>
      <c r="M16" s="335"/>
      <c r="N16" s="626"/>
      <c r="O16" s="139"/>
      <c r="P16" s="756">
        <f t="shared" si="0"/>
        <v>1790</v>
      </c>
      <c r="Q16" s="768">
        <f t="shared" si="1"/>
        <v>940</v>
      </c>
      <c r="R16" s="763">
        <f t="shared" si="3"/>
        <v>52.513966480446925</v>
      </c>
    </row>
    <row r="17" spans="2:18" ht="12.75">
      <c r="B17" s="177">
        <f t="shared" si="2"/>
        <v>10</v>
      </c>
      <c r="C17" s="137"/>
      <c r="D17" s="169"/>
      <c r="E17" s="138" t="s">
        <v>240</v>
      </c>
      <c r="F17" s="141">
        <v>633</v>
      </c>
      <c r="G17" s="199" t="s">
        <v>757</v>
      </c>
      <c r="H17" s="339">
        <v>210</v>
      </c>
      <c r="I17" s="339">
        <v>0</v>
      </c>
      <c r="J17" s="620">
        <f t="shared" si="4"/>
        <v>0</v>
      </c>
      <c r="K17" s="139"/>
      <c r="L17" s="150"/>
      <c r="M17" s="335"/>
      <c r="N17" s="626"/>
      <c r="O17" s="139"/>
      <c r="P17" s="756">
        <f t="shared" si="0"/>
        <v>210</v>
      </c>
      <c r="Q17" s="768">
        <f t="shared" si="1"/>
        <v>0</v>
      </c>
      <c r="R17" s="763">
        <f t="shared" si="3"/>
        <v>0</v>
      </c>
    </row>
    <row r="18" spans="2:18" ht="15">
      <c r="B18" s="177">
        <f t="shared" si="2"/>
        <v>11</v>
      </c>
      <c r="C18" s="77"/>
      <c r="D18" s="204" t="s">
        <v>5</v>
      </c>
      <c r="E18" s="1088" t="s">
        <v>332</v>
      </c>
      <c r="F18" s="1089"/>
      <c r="G18" s="1090"/>
      <c r="H18" s="360">
        <v>0</v>
      </c>
      <c r="I18" s="360">
        <v>0</v>
      </c>
      <c r="J18" s="620"/>
      <c r="K18" s="20"/>
      <c r="L18" s="657"/>
      <c r="M18" s="338"/>
      <c r="N18" s="626"/>
      <c r="O18" s="20"/>
      <c r="P18" s="755">
        <f t="shared" si="0"/>
        <v>0</v>
      </c>
      <c r="Q18" s="767">
        <f t="shared" si="1"/>
        <v>0</v>
      </c>
      <c r="R18" s="763"/>
    </row>
    <row r="19" spans="2:18" ht="12.75">
      <c r="B19" s="177">
        <f t="shared" si="2"/>
        <v>12</v>
      </c>
      <c r="C19" s="137"/>
      <c r="D19" s="138"/>
      <c r="E19" s="138" t="s">
        <v>240</v>
      </c>
      <c r="F19" s="138" t="s">
        <v>203</v>
      </c>
      <c r="G19" s="199" t="s">
        <v>533</v>
      </c>
      <c r="H19" s="339">
        <v>0</v>
      </c>
      <c r="I19" s="339">
        <v>0</v>
      </c>
      <c r="J19" s="620"/>
      <c r="K19" s="139"/>
      <c r="L19" s="152"/>
      <c r="M19" s="339"/>
      <c r="N19" s="626"/>
      <c r="O19" s="139"/>
      <c r="P19" s="756">
        <f t="shared" si="0"/>
        <v>0</v>
      </c>
      <c r="Q19" s="768">
        <f t="shared" si="1"/>
        <v>0</v>
      </c>
      <c r="R19" s="763"/>
    </row>
    <row r="20" spans="2:18" ht="15">
      <c r="B20" s="177">
        <f t="shared" si="2"/>
        <v>13</v>
      </c>
      <c r="C20" s="78"/>
      <c r="D20" s="204" t="s">
        <v>6</v>
      </c>
      <c r="E20" s="1088" t="s">
        <v>118</v>
      </c>
      <c r="F20" s="1089"/>
      <c r="G20" s="1090"/>
      <c r="H20" s="360">
        <f>H21</f>
        <v>200</v>
      </c>
      <c r="I20" s="360">
        <f>I21</f>
        <v>18</v>
      </c>
      <c r="J20" s="620">
        <f t="shared" si="4"/>
        <v>9</v>
      </c>
      <c r="K20" s="20"/>
      <c r="L20" s="657"/>
      <c r="M20" s="338"/>
      <c r="N20" s="626"/>
      <c r="O20" s="20"/>
      <c r="P20" s="755">
        <f t="shared" si="0"/>
        <v>200</v>
      </c>
      <c r="Q20" s="767">
        <f t="shared" si="1"/>
        <v>18</v>
      </c>
      <c r="R20" s="763">
        <f t="shared" si="3"/>
        <v>9</v>
      </c>
    </row>
    <row r="21" spans="2:18" ht="12.75">
      <c r="B21" s="177">
        <f t="shared" si="2"/>
        <v>14</v>
      </c>
      <c r="C21" s="137"/>
      <c r="D21" s="137"/>
      <c r="E21" s="138" t="s">
        <v>240</v>
      </c>
      <c r="F21" s="138" t="s">
        <v>203</v>
      </c>
      <c r="G21" s="199" t="s">
        <v>533</v>
      </c>
      <c r="H21" s="339">
        <v>200</v>
      </c>
      <c r="I21" s="339">
        <v>18</v>
      </c>
      <c r="J21" s="620">
        <f t="shared" si="4"/>
        <v>9</v>
      </c>
      <c r="K21" s="139"/>
      <c r="L21" s="152"/>
      <c r="M21" s="339"/>
      <c r="N21" s="626"/>
      <c r="O21" s="139"/>
      <c r="P21" s="756">
        <f t="shared" si="0"/>
        <v>200</v>
      </c>
      <c r="Q21" s="768">
        <f t="shared" si="1"/>
        <v>18</v>
      </c>
      <c r="R21" s="763">
        <f t="shared" si="3"/>
        <v>9</v>
      </c>
    </row>
    <row r="22" spans="2:18" ht="15">
      <c r="B22" s="177">
        <f t="shared" si="2"/>
        <v>15</v>
      </c>
      <c r="C22" s="78"/>
      <c r="D22" s="204" t="s">
        <v>7</v>
      </c>
      <c r="E22" s="1088" t="s">
        <v>167</v>
      </c>
      <c r="F22" s="1089"/>
      <c r="G22" s="1090"/>
      <c r="H22" s="360">
        <f>H23</f>
        <v>1000</v>
      </c>
      <c r="I22" s="360">
        <f>I23</f>
        <v>720</v>
      </c>
      <c r="J22" s="620">
        <f t="shared" si="4"/>
        <v>72</v>
      </c>
      <c r="K22" s="20"/>
      <c r="L22" s="657"/>
      <c r="M22" s="338"/>
      <c r="N22" s="626"/>
      <c r="O22" s="20"/>
      <c r="P22" s="755">
        <f t="shared" si="0"/>
        <v>1000</v>
      </c>
      <c r="Q22" s="767">
        <f t="shared" si="1"/>
        <v>720</v>
      </c>
      <c r="R22" s="763">
        <f t="shared" si="3"/>
        <v>72</v>
      </c>
    </row>
    <row r="23" spans="2:18" ht="12.75">
      <c r="B23" s="177">
        <f t="shared" si="2"/>
        <v>16</v>
      </c>
      <c r="C23" s="142"/>
      <c r="D23" s="138"/>
      <c r="E23" s="138" t="s">
        <v>240</v>
      </c>
      <c r="F23" s="138" t="s">
        <v>219</v>
      </c>
      <c r="G23" s="199" t="s">
        <v>563</v>
      </c>
      <c r="H23" s="339">
        <v>1000</v>
      </c>
      <c r="I23" s="339">
        <v>720</v>
      </c>
      <c r="J23" s="620">
        <f t="shared" si="4"/>
        <v>72</v>
      </c>
      <c r="K23" s="139"/>
      <c r="L23" s="152"/>
      <c r="M23" s="339"/>
      <c r="N23" s="626"/>
      <c r="O23" s="139"/>
      <c r="P23" s="756">
        <f t="shared" si="0"/>
        <v>1000</v>
      </c>
      <c r="Q23" s="768">
        <f t="shared" si="1"/>
        <v>720</v>
      </c>
      <c r="R23" s="763">
        <f t="shared" si="3"/>
        <v>72</v>
      </c>
    </row>
    <row r="24" spans="2:18" ht="15">
      <c r="B24" s="177">
        <f t="shared" si="2"/>
        <v>17</v>
      </c>
      <c r="C24" s="78"/>
      <c r="D24" s="204" t="s">
        <v>8</v>
      </c>
      <c r="E24" s="1088" t="s">
        <v>97</v>
      </c>
      <c r="F24" s="1089"/>
      <c r="G24" s="1090"/>
      <c r="H24" s="360">
        <f>SUM(H25:H28)</f>
        <v>124200</v>
      </c>
      <c r="I24" s="360">
        <f>SUM(I25:I28)</f>
        <v>62839</v>
      </c>
      <c r="J24" s="620">
        <f t="shared" si="4"/>
        <v>50.59500805152979</v>
      </c>
      <c r="K24" s="20"/>
      <c r="L24" s="657"/>
      <c r="M24" s="338"/>
      <c r="N24" s="626"/>
      <c r="O24" s="20"/>
      <c r="P24" s="755">
        <f t="shared" si="0"/>
        <v>124200</v>
      </c>
      <c r="Q24" s="767">
        <f t="shared" si="1"/>
        <v>62839</v>
      </c>
      <c r="R24" s="763">
        <f t="shared" si="3"/>
        <v>50.59500805152979</v>
      </c>
    </row>
    <row r="25" spans="2:18" ht="12.75">
      <c r="B25" s="177">
        <f t="shared" si="2"/>
        <v>18</v>
      </c>
      <c r="C25" s="137"/>
      <c r="D25" s="138"/>
      <c r="E25" s="138" t="s">
        <v>240</v>
      </c>
      <c r="F25" s="138" t="s">
        <v>215</v>
      </c>
      <c r="G25" s="199" t="s">
        <v>244</v>
      </c>
      <c r="H25" s="339">
        <v>30000</v>
      </c>
      <c r="I25" s="339">
        <v>14303</v>
      </c>
      <c r="J25" s="620">
        <f t="shared" si="4"/>
        <v>47.67666666666667</v>
      </c>
      <c r="K25" s="139"/>
      <c r="L25" s="152"/>
      <c r="M25" s="339"/>
      <c r="N25" s="626"/>
      <c r="O25" s="139"/>
      <c r="P25" s="756">
        <f t="shared" si="0"/>
        <v>30000</v>
      </c>
      <c r="Q25" s="768">
        <f t="shared" si="1"/>
        <v>14303</v>
      </c>
      <c r="R25" s="763">
        <f t="shared" si="3"/>
        <v>47.67666666666667</v>
      </c>
    </row>
    <row r="26" spans="2:18" ht="12.75">
      <c r="B26" s="177">
        <f t="shared" si="2"/>
        <v>19</v>
      </c>
      <c r="C26" s="137"/>
      <c r="D26" s="138"/>
      <c r="E26" s="138" t="s">
        <v>240</v>
      </c>
      <c r="F26" s="138" t="s">
        <v>202</v>
      </c>
      <c r="G26" s="199" t="s">
        <v>468</v>
      </c>
      <c r="H26" s="339">
        <v>14000</v>
      </c>
      <c r="I26" s="339">
        <v>6564</v>
      </c>
      <c r="J26" s="620">
        <f t="shared" si="4"/>
        <v>46.885714285714286</v>
      </c>
      <c r="K26" s="139"/>
      <c r="L26" s="152"/>
      <c r="M26" s="339"/>
      <c r="N26" s="626"/>
      <c r="O26" s="139"/>
      <c r="P26" s="756">
        <f t="shared" si="0"/>
        <v>14000</v>
      </c>
      <c r="Q26" s="768">
        <f t="shared" si="1"/>
        <v>6564</v>
      </c>
      <c r="R26" s="763">
        <f t="shared" si="3"/>
        <v>46.885714285714286</v>
      </c>
    </row>
    <row r="27" spans="2:18" ht="12.75">
      <c r="B27" s="177">
        <f t="shared" si="2"/>
        <v>20</v>
      </c>
      <c r="C27" s="137"/>
      <c r="D27" s="138"/>
      <c r="E27" s="138" t="s">
        <v>240</v>
      </c>
      <c r="F27" s="138" t="s">
        <v>203</v>
      </c>
      <c r="G27" s="199" t="s">
        <v>532</v>
      </c>
      <c r="H27" s="339">
        <v>200</v>
      </c>
      <c r="I27" s="339">
        <v>61</v>
      </c>
      <c r="J27" s="620">
        <f t="shared" si="4"/>
        <v>30.5</v>
      </c>
      <c r="K27" s="139"/>
      <c r="L27" s="150"/>
      <c r="M27" s="335"/>
      <c r="N27" s="635"/>
      <c r="O27" s="139"/>
      <c r="P27" s="756">
        <f t="shared" si="0"/>
        <v>200</v>
      </c>
      <c r="Q27" s="768">
        <f t="shared" si="1"/>
        <v>61</v>
      </c>
      <c r="R27" s="763">
        <f t="shared" si="3"/>
        <v>30.5</v>
      </c>
    </row>
    <row r="28" spans="2:18" ht="12.75">
      <c r="B28" s="177">
        <f t="shared" si="2"/>
        <v>21</v>
      </c>
      <c r="C28" s="137"/>
      <c r="D28" s="138"/>
      <c r="E28" s="138" t="s">
        <v>240</v>
      </c>
      <c r="F28" s="138" t="s">
        <v>219</v>
      </c>
      <c r="G28" s="199" t="s">
        <v>469</v>
      </c>
      <c r="H28" s="339">
        <v>80000</v>
      </c>
      <c r="I28" s="339">
        <v>41911</v>
      </c>
      <c r="J28" s="620">
        <f t="shared" si="4"/>
        <v>52.388749999999995</v>
      </c>
      <c r="K28" s="139"/>
      <c r="L28" s="150"/>
      <c r="M28" s="335"/>
      <c r="N28" s="635"/>
      <c r="O28" s="139"/>
      <c r="P28" s="756">
        <f t="shared" si="0"/>
        <v>80000</v>
      </c>
      <c r="Q28" s="768">
        <f t="shared" si="1"/>
        <v>41911</v>
      </c>
      <c r="R28" s="763">
        <f t="shared" si="3"/>
        <v>52.388749999999995</v>
      </c>
    </row>
    <row r="29" spans="2:18" ht="15.75">
      <c r="B29" s="177">
        <f t="shared" si="2"/>
        <v>22</v>
      </c>
      <c r="C29" s="24">
        <v>2</v>
      </c>
      <c r="D29" s="134" t="s">
        <v>175</v>
      </c>
      <c r="E29" s="25"/>
      <c r="F29" s="25"/>
      <c r="G29" s="198"/>
      <c r="H29" s="369">
        <f>SUM(H30:H34)</f>
        <v>39000</v>
      </c>
      <c r="I29" s="369">
        <f>SUM(I30:I34)</f>
        <v>3975</v>
      </c>
      <c r="J29" s="620">
        <f t="shared" si="4"/>
        <v>10.192307692307692</v>
      </c>
      <c r="K29" s="90"/>
      <c r="L29" s="205">
        <f>SUM(L30:L38)</f>
        <v>106200</v>
      </c>
      <c r="M29" s="340">
        <f>SUM(M30:M38)</f>
        <v>23191</v>
      </c>
      <c r="N29" s="635">
        <f>M29/L29*100</f>
        <v>21.837099811676083</v>
      </c>
      <c r="O29" s="90"/>
      <c r="P29" s="757">
        <f t="shared" si="0"/>
        <v>145200</v>
      </c>
      <c r="Q29" s="769">
        <f t="shared" si="1"/>
        <v>27166</v>
      </c>
      <c r="R29" s="763">
        <f t="shared" si="3"/>
        <v>18.709366391184574</v>
      </c>
    </row>
    <row r="30" spans="2:18" ht="12.75">
      <c r="B30" s="177">
        <f t="shared" si="2"/>
        <v>23</v>
      </c>
      <c r="C30" s="137"/>
      <c r="D30" s="137"/>
      <c r="E30" s="143" t="s">
        <v>248</v>
      </c>
      <c r="F30" s="143">
        <v>637</v>
      </c>
      <c r="G30" s="199" t="s">
        <v>246</v>
      </c>
      <c r="H30" s="339">
        <v>17000</v>
      </c>
      <c r="I30" s="339">
        <v>3136</v>
      </c>
      <c r="J30" s="620">
        <f t="shared" si="4"/>
        <v>18.44705882352941</v>
      </c>
      <c r="K30" s="139"/>
      <c r="L30" s="150"/>
      <c r="M30" s="335"/>
      <c r="N30" s="635"/>
      <c r="O30" s="139"/>
      <c r="P30" s="756">
        <f t="shared" si="0"/>
        <v>17000</v>
      </c>
      <c r="Q30" s="768">
        <f t="shared" si="1"/>
        <v>3136</v>
      </c>
      <c r="R30" s="763">
        <f t="shared" si="3"/>
        <v>18.44705882352941</v>
      </c>
    </row>
    <row r="31" spans="2:18" ht="12.75">
      <c r="B31" s="177">
        <f t="shared" si="2"/>
        <v>24</v>
      </c>
      <c r="C31" s="137"/>
      <c r="D31" s="137"/>
      <c r="E31" s="143" t="s">
        <v>248</v>
      </c>
      <c r="F31" s="141">
        <v>635</v>
      </c>
      <c r="G31" s="199" t="s">
        <v>247</v>
      </c>
      <c r="H31" s="339">
        <v>2000</v>
      </c>
      <c r="I31" s="339">
        <v>839</v>
      </c>
      <c r="J31" s="620">
        <f t="shared" si="4"/>
        <v>41.949999999999996</v>
      </c>
      <c r="K31" s="139"/>
      <c r="L31" s="150"/>
      <c r="M31" s="335"/>
      <c r="N31" s="635"/>
      <c r="O31" s="139"/>
      <c r="P31" s="756">
        <f t="shared" si="0"/>
        <v>2000</v>
      </c>
      <c r="Q31" s="768">
        <f t="shared" si="1"/>
        <v>839</v>
      </c>
      <c r="R31" s="763">
        <f t="shared" si="3"/>
        <v>41.949999999999996</v>
      </c>
    </row>
    <row r="32" spans="2:18" ht="12.75">
      <c r="B32" s="177">
        <f t="shared" si="2"/>
        <v>25</v>
      </c>
      <c r="C32" s="137"/>
      <c r="D32" s="137"/>
      <c r="E32" s="143" t="s">
        <v>248</v>
      </c>
      <c r="F32" s="141">
        <v>637</v>
      </c>
      <c r="G32" s="199" t="s">
        <v>562</v>
      </c>
      <c r="H32" s="339">
        <v>3000</v>
      </c>
      <c r="I32" s="339">
        <v>0</v>
      </c>
      <c r="J32" s="620">
        <f t="shared" si="4"/>
        <v>0</v>
      </c>
      <c r="K32" s="139"/>
      <c r="L32" s="168"/>
      <c r="M32" s="341"/>
      <c r="N32" s="635"/>
      <c r="O32" s="139"/>
      <c r="P32" s="756">
        <f t="shared" si="0"/>
        <v>3000</v>
      </c>
      <c r="Q32" s="768">
        <f t="shared" si="1"/>
        <v>0</v>
      </c>
      <c r="R32" s="763">
        <f t="shared" si="3"/>
        <v>0</v>
      </c>
    </row>
    <row r="33" spans="2:18" ht="12.75">
      <c r="B33" s="177">
        <f t="shared" si="2"/>
        <v>26</v>
      </c>
      <c r="C33" s="137"/>
      <c r="D33" s="137"/>
      <c r="E33" s="143" t="s">
        <v>248</v>
      </c>
      <c r="F33" s="141">
        <v>637</v>
      </c>
      <c r="G33" s="199" t="s">
        <v>590</v>
      </c>
      <c r="H33" s="339">
        <v>10000</v>
      </c>
      <c r="I33" s="339">
        <v>0</v>
      </c>
      <c r="J33" s="620">
        <f t="shared" si="4"/>
        <v>0</v>
      </c>
      <c r="K33" s="139"/>
      <c r="L33" s="168"/>
      <c r="M33" s="341"/>
      <c r="N33" s="635"/>
      <c r="O33" s="139"/>
      <c r="P33" s="756">
        <f t="shared" si="0"/>
        <v>10000</v>
      </c>
      <c r="Q33" s="768">
        <f t="shared" si="1"/>
        <v>0</v>
      </c>
      <c r="R33" s="763">
        <f t="shared" si="3"/>
        <v>0</v>
      </c>
    </row>
    <row r="34" spans="2:18" ht="12.75">
      <c r="B34" s="177">
        <f t="shared" si="2"/>
        <v>27</v>
      </c>
      <c r="C34" s="137"/>
      <c r="D34" s="169"/>
      <c r="E34" s="143" t="s">
        <v>248</v>
      </c>
      <c r="F34" s="141">
        <v>637</v>
      </c>
      <c r="G34" s="199" t="s">
        <v>784</v>
      </c>
      <c r="H34" s="339">
        <v>7000</v>
      </c>
      <c r="I34" s="339">
        <v>0</v>
      </c>
      <c r="J34" s="620">
        <f t="shared" si="4"/>
        <v>0</v>
      </c>
      <c r="K34" s="139"/>
      <c r="L34" s="168"/>
      <c r="M34" s="341"/>
      <c r="N34" s="635"/>
      <c r="O34" s="139"/>
      <c r="P34" s="756">
        <f t="shared" si="0"/>
        <v>7000</v>
      </c>
      <c r="Q34" s="768">
        <f t="shared" si="1"/>
        <v>0</v>
      </c>
      <c r="R34" s="763">
        <f t="shared" si="3"/>
        <v>0</v>
      </c>
    </row>
    <row r="35" spans="2:18" ht="12.75">
      <c r="B35" s="177">
        <f t="shared" si="2"/>
        <v>28</v>
      </c>
      <c r="C35" s="137"/>
      <c r="D35" s="169"/>
      <c r="E35" s="143"/>
      <c r="F35" s="141"/>
      <c r="G35" s="199"/>
      <c r="H35" s="339"/>
      <c r="I35" s="339"/>
      <c r="J35" s="620"/>
      <c r="K35" s="139"/>
      <c r="L35" s="168"/>
      <c r="M35" s="341"/>
      <c r="N35" s="635"/>
      <c r="O35" s="139"/>
      <c r="P35" s="756"/>
      <c r="Q35" s="768"/>
      <c r="R35" s="763"/>
    </row>
    <row r="36" spans="2:18" ht="12.75">
      <c r="B36" s="177">
        <f t="shared" si="2"/>
        <v>29</v>
      </c>
      <c r="C36" s="137"/>
      <c r="D36" s="169"/>
      <c r="E36" s="143" t="s">
        <v>248</v>
      </c>
      <c r="F36" s="141">
        <v>711</v>
      </c>
      <c r="G36" s="199" t="s">
        <v>650</v>
      </c>
      <c r="H36" s="339"/>
      <c r="I36" s="339"/>
      <c r="J36" s="620"/>
      <c r="K36" s="139"/>
      <c r="L36" s="168">
        <v>24000</v>
      </c>
      <c r="M36" s="341">
        <v>0</v>
      </c>
      <c r="N36" s="635">
        <f>M36/L36*100</f>
        <v>0</v>
      </c>
      <c r="O36" s="139"/>
      <c r="P36" s="756">
        <f aca="true" t="shared" si="5" ref="P36:P66">H36+L36</f>
        <v>24000</v>
      </c>
      <c r="Q36" s="768">
        <f aca="true" t="shared" si="6" ref="Q36:Q66">I36+M36</f>
        <v>0</v>
      </c>
      <c r="R36" s="763">
        <f t="shared" si="3"/>
        <v>0</v>
      </c>
    </row>
    <row r="37" spans="2:18" ht="12.75">
      <c r="B37" s="177">
        <f t="shared" si="2"/>
        <v>30</v>
      </c>
      <c r="C37" s="137"/>
      <c r="D37" s="169"/>
      <c r="E37" s="143" t="s">
        <v>248</v>
      </c>
      <c r="F37" s="141">
        <v>716</v>
      </c>
      <c r="G37" s="199" t="s">
        <v>246</v>
      </c>
      <c r="H37" s="339"/>
      <c r="I37" s="339"/>
      <c r="J37" s="620"/>
      <c r="K37" s="139"/>
      <c r="L37" s="168">
        <v>70000</v>
      </c>
      <c r="M37" s="341">
        <f>23191-M38</f>
        <v>20000</v>
      </c>
      <c r="N37" s="635">
        <f>M37/L37*100</f>
        <v>28.57142857142857</v>
      </c>
      <c r="O37" s="139"/>
      <c r="P37" s="756">
        <f t="shared" si="5"/>
        <v>70000</v>
      </c>
      <c r="Q37" s="768">
        <f t="shared" si="6"/>
        <v>20000</v>
      </c>
      <c r="R37" s="763">
        <f t="shared" si="3"/>
        <v>28.57142857142857</v>
      </c>
    </row>
    <row r="38" spans="2:18" ht="12.75">
      <c r="B38" s="177">
        <f t="shared" si="2"/>
        <v>31</v>
      </c>
      <c r="C38" s="137"/>
      <c r="D38" s="169"/>
      <c r="E38" s="143" t="s">
        <v>248</v>
      </c>
      <c r="F38" s="141">
        <v>716</v>
      </c>
      <c r="G38" s="199" t="s">
        <v>651</v>
      </c>
      <c r="H38" s="339"/>
      <c r="I38" s="339"/>
      <c r="J38" s="620"/>
      <c r="K38" s="139"/>
      <c r="L38" s="168">
        <f>9000+3200</f>
        <v>12200</v>
      </c>
      <c r="M38" s="341">
        <v>3191</v>
      </c>
      <c r="N38" s="635">
        <f>M38/L38*100</f>
        <v>26.15573770491803</v>
      </c>
      <c r="O38" s="139"/>
      <c r="P38" s="756">
        <f t="shared" si="5"/>
        <v>12200</v>
      </c>
      <c r="Q38" s="768">
        <f t="shared" si="6"/>
        <v>3191</v>
      </c>
      <c r="R38" s="763">
        <f t="shared" si="3"/>
        <v>26.15573770491803</v>
      </c>
    </row>
    <row r="39" spans="2:18" ht="15.75">
      <c r="B39" s="177">
        <f t="shared" si="2"/>
        <v>32</v>
      </c>
      <c r="C39" s="24">
        <v>3</v>
      </c>
      <c r="D39" s="1104" t="s">
        <v>438</v>
      </c>
      <c r="E39" s="1105"/>
      <c r="F39" s="1105"/>
      <c r="G39" s="1106"/>
      <c r="H39" s="468">
        <f>SUM(H40:H43)</f>
        <v>80865</v>
      </c>
      <c r="I39" s="468">
        <f>SUM(I40:I43)</f>
        <v>8695</v>
      </c>
      <c r="J39" s="620">
        <f t="shared" si="4"/>
        <v>10.752488715760835</v>
      </c>
      <c r="K39" s="139"/>
      <c r="L39" s="203">
        <f>SUM(L40:L48)</f>
        <v>25000</v>
      </c>
      <c r="M39" s="337">
        <f>SUM(M40:M48)</f>
        <v>600</v>
      </c>
      <c r="N39" s="635">
        <f>M39/L39*100</f>
        <v>2.4</v>
      </c>
      <c r="O39" s="139"/>
      <c r="P39" s="758">
        <f t="shared" si="5"/>
        <v>105865</v>
      </c>
      <c r="Q39" s="770">
        <f t="shared" si="6"/>
        <v>9295</v>
      </c>
      <c r="R39" s="763">
        <f t="shared" si="3"/>
        <v>8.78005006376045</v>
      </c>
    </row>
    <row r="40" spans="2:18" ht="12.75">
      <c r="B40" s="177">
        <f t="shared" si="2"/>
        <v>33</v>
      </c>
      <c r="C40" s="137"/>
      <c r="D40" s="169"/>
      <c r="E40" s="138" t="s">
        <v>240</v>
      </c>
      <c r="F40" s="143">
        <v>637</v>
      </c>
      <c r="G40" s="199" t="s">
        <v>611</v>
      </c>
      <c r="H40" s="339">
        <f>73365+3298-16561</f>
        <v>60102</v>
      </c>
      <c r="I40" s="339">
        <v>1515</v>
      </c>
      <c r="J40" s="620">
        <f t="shared" si="4"/>
        <v>2.5207147848657283</v>
      </c>
      <c r="K40" s="139"/>
      <c r="L40" s="168"/>
      <c r="M40" s="341"/>
      <c r="N40" s="635"/>
      <c r="O40" s="139"/>
      <c r="P40" s="756">
        <f t="shared" si="5"/>
        <v>60102</v>
      </c>
      <c r="Q40" s="768">
        <f t="shared" si="6"/>
        <v>1515</v>
      </c>
      <c r="R40" s="763">
        <f t="shared" si="3"/>
        <v>2.5207147848657283</v>
      </c>
    </row>
    <row r="41" spans="2:18" ht="12.75">
      <c r="B41" s="177">
        <f t="shared" si="2"/>
        <v>34</v>
      </c>
      <c r="C41" s="137"/>
      <c r="D41" s="169"/>
      <c r="E41" s="138" t="s">
        <v>240</v>
      </c>
      <c r="F41" s="141">
        <v>631</v>
      </c>
      <c r="G41" s="199" t="s">
        <v>559</v>
      </c>
      <c r="H41" s="339">
        <f>3000-2760</f>
        <v>240</v>
      </c>
      <c r="I41" s="752">
        <v>276</v>
      </c>
      <c r="J41" s="620">
        <f t="shared" si="4"/>
        <v>114.99999999999999</v>
      </c>
      <c r="K41" s="139"/>
      <c r="L41" s="168"/>
      <c r="M41" s="341"/>
      <c r="N41" s="635"/>
      <c r="O41" s="139"/>
      <c r="P41" s="756">
        <f t="shared" si="5"/>
        <v>240</v>
      </c>
      <c r="Q41" s="768">
        <f t="shared" si="6"/>
        <v>276</v>
      </c>
      <c r="R41" s="763">
        <f t="shared" si="3"/>
        <v>114.99999999999999</v>
      </c>
    </row>
    <row r="42" spans="2:18" ht="12.75">
      <c r="B42" s="177">
        <f t="shared" si="2"/>
        <v>35</v>
      </c>
      <c r="C42" s="137"/>
      <c r="D42" s="169"/>
      <c r="E42" s="138" t="s">
        <v>240</v>
      </c>
      <c r="F42" s="141">
        <v>620</v>
      </c>
      <c r="G42" s="199" t="s">
        <v>244</v>
      </c>
      <c r="H42" s="339">
        <v>3962</v>
      </c>
      <c r="I42" s="339">
        <v>529</v>
      </c>
      <c r="J42" s="620">
        <f t="shared" si="4"/>
        <v>13.351842503785965</v>
      </c>
      <c r="K42" s="139"/>
      <c r="L42" s="168"/>
      <c r="M42" s="341"/>
      <c r="N42" s="635"/>
      <c r="O42" s="139"/>
      <c r="P42" s="756">
        <f t="shared" si="5"/>
        <v>3962</v>
      </c>
      <c r="Q42" s="768">
        <f t="shared" si="6"/>
        <v>529</v>
      </c>
      <c r="R42" s="763">
        <f t="shared" si="3"/>
        <v>13.351842503785965</v>
      </c>
    </row>
    <row r="43" spans="2:18" ht="12.75">
      <c r="B43" s="177">
        <f t="shared" si="2"/>
        <v>36</v>
      </c>
      <c r="C43" s="137"/>
      <c r="D43" s="169"/>
      <c r="E43" s="138" t="s">
        <v>240</v>
      </c>
      <c r="F43" s="141">
        <v>640</v>
      </c>
      <c r="G43" s="199" t="s">
        <v>768</v>
      </c>
      <c r="H43" s="339">
        <v>16561</v>
      </c>
      <c r="I43" s="339">
        <v>6375</v>
      </c>
      <c r="J43" s="620">
        <f t="shared" si="4"/>
        <v>38.49405229152829</v>
      </c>
      <c r="K43" s="139"/>
      <c r="L43" s="168"/>
      <c r="M43" s="341"/>
      <c r="N43" s="635"/>
      <c r="O43" s="139"/>
      <c r="P43" s="756">
        <f t="shared" si="5"/>
        <v>16561</v>
      </c>
      <c r="Q43" s="768">
        <f t="shared" si="6"/>
        <v>6375</v>
      </c>
      <c r="R43" s="763">
        <f t="shared" si="3"/>
        <v>38.49405229152829</v>
      </c>
    </row>
    <row r="44" spans="2:18" ht="12.75">
      <c r="B44" s="177">
        <f t="shared" si="2"/>
        <v>37</v>
      </c>
      <c r="C44" s="137"/>
      <c r="D44" s="169"/>
      <c r="E44" s="138" t="s">
        <v>240</v>
      </c>
      <c r="F44" s="141">
        <v>716</v>
      </c>
      <c r="G44" s="199" t="s">
        <v>649</v>
      </c>
      <c r="H44" s="339"/>
      <c r="I44" s="339"/>
      <c r="J44" s="620"/>
      <c r="K44" s="139"/>
      <c r="L44" s="168">
        <v>2100</v>
      </c>
      <c r="M44" s="341">
        <v>600</v>
      </c>
      <c r="N44" s="635">
        <f>M44/L44*100</f>
        <v>28.57142857142857</v>
      </c>
      <c r="O44" s="139"/>
      <c r="P44" s="756">
        <f t="shared" si="5"/>
        <v>2100</v>
      </c>
      <c r="Q44" s="768">
        <f t="shared" si="6"/>
        <v>600</v>
      </c>
      <c r="R44" s="763">
        <f t="shared" si="3"/>
        <v>28.57142857142857</v>
      </c>
    </row>
    <row r="45" spans="2:18" ht="12.75">
      <c r="B45" s="177">
        <f t="shared" si="2"/>
        <v>38</v>
      </c>
      <c r="C45" s="137"/>
      <c r="D45" s="169"/>
      <c r="E45" s="138" t="s">
        <v>240</v>
      </c>
      <c r="F45" s="141">
        <v>717</v>
      </c>
      <c r="G45" s="199" t="s">
        <v>649</v>
      </c>
      <c r="H45" s="339"/>
      <c r="I45" s="339"/>
      <c r="J45" s="620"/>
      <c r="K45" s="139"/>
      <c r="L45" s="168">
        <f>15000+10000-2100</f>
        <v>22900</v>
      </c>
      <c r="M45" s="341">
        <v>0</v>
      </c>
      <c r="N45" s="635">
        <f>M45/L45*100</f>
        <v>0</v>
      </c>
      <c r="O45" s="139"/>
      <c r="P45" s="756">
        <f t="shared" si="5"/>
        <v>22900</v>
      </c>
      <c r="Q45" s="768">
        <f t="shared" si="6"/>
        <v>0</v>
      </c>
      <c r="R45" s="763">
        <f t="shared" si="3"/>
        <v>0</v>
      </c>
    </row>
    <row r="46" spans="2:18" ht="15.75">
      <c r="B46" s="177">
        <f t="shared" si="2"/>
        <v>39</v>
      </c>
      <c r="C46" s="21">
        <v>4</v>
      </c>
      <c r="D46" s="133" t="s">
        <v>127</v>
      </c>
      <c r="E46" s="133"/>
      <c r="F46" s="22"/>
      <c r="G46" s="200"/>
      <c r="H46" s="369">
        <v>0</v>
      </c>
      <c r="I46" s="369">
        <v>0</v>
      </c>
      <c r="J46" s="620"/>
      <c r="K46" s="113"/>
      <c r="L46" s="203">
        <v>0</v>
      </c>
      <c r="M46" s="337">
        <v>0</v>
      </c>
      <c r="N46" s="635"/>
      <c r="O46" s="113"/>
      <c r="P46" s="757">
        <f t="shared" si="5"/>
        <v>0</v>
      </c>
      <c r="Q46" s="769">
        <f t="shared" si="6"/>
        <v>0</v>
      </c>
      <c r="R46" s="763"/>
    </row>
    <row r="47" spans="2:18" ht="15.75">
      <c r="B47" s="177">
        <f t="shared" si="2"/>
        <v>40</v>
      </c>
      <c r="C47" s="21">
        <v>5</v>
      </c>
      <c r="D47" s="133" t="s">
        <v>472</v>
      </c>
      <c r="E47" s="133"/>
      <c r="F47" s="22"/>
      <c r="G47" s="200"/>
      <c r="H47" s="369">
        <v>0</v>
      </c>
      <c r="I47" s="369">
        <v>0</v>
      </c>
      <c r="J47" s="620"/>
      <c r="K47" s="113"/>
      <c r="L47" s="203">
        <v>0</v>
      </c>
      <c r="M47" s="337">
        <v>0</v>
      </c>
      <c r="N47" s="635"/>
      <c r="O47" s="113"/>
      <c r="P47" s="757">
        <f t="shared" si="5"/>
        <v>0</v>
      </c>
      <c r="Q47" s="769">
        <f t="shared" si="6"/>
        <v>0</v>
      </c>
      <c r="R47" s="763"/>
    </row>
    <row r="48" spans="2:18" ht="15.75">
      <c r="B48" s="177">
        <f t="shared" si="2"/>
        <v>41</v>
      </c>
      <c r="C48" s="21">
        <v>6</v>
      </c>
      <c r="D48" s="133" t="s">
        <v>128</v>
      </c>
      <c r="E48" s="133"/>
      <c r="F48" s="22"/>
      <c r="G48" s="200"/>
      <c r="H48" s="369">
        <v>0</v>
      </c>
      <c r="I48" s="369">
        <v>0</v>
      </c>
      <c r="J48" s="620"/>
      <c r="K48" s="113"/>
      <c r="L48" s="203">
        <v>0</v>
      </c>
      <c r="M48" s="337">
        <v>0</v>
      </c>
      <c r="N48" s="635"/>
      <c r="O48" s="113"/>
      <c r="P48" s="757">
        <f t="shared" si="5"/>
        <v>0</v>
      </c>
      <c r="Q48" s="769">
        <f t="shared" si="6"/>
        <v>0</v>
      </c>
      <c r="R48" s="763"/>
    </row>
    <row r="49" spans="2:18" ht="15.75">
      <c r="B49" s="177">
        <f t="shared" si="2"/>
        <v>42</v>
      </c>
      <c r="C49" s="21">
        <v>7</v>
      </c>
      <c r="D49" s="133" t="s">
        <v>517</v>
      </c>
      <c r="E49" s="133"/>
      <c r="F49" s="22"/>
      <c r="G49" s="200"/>
      <c r="H49" s="369">
        <f>SUM(H50:H54)</f>
        <v>66000</v>
      </c>
      <c r="I49" s="369">
        <f>SUM(I50:I54)</f>
        <v>19046</v>
      </c>
      <c r="J49" s="620">
        <f t="shared" si="4"/>
        <v>28.85757575757576</v>
      </c>
      <c r="K49" s="113"/>
      <c r="L49" s="203">
        <v>0</v>
      </c>
      <c r="M49" s="337">
        <v>0</v>
      </c>
      <c r="N49" s="626"/>
      <c r="O49" s="113"/>
      <c r="P49" s="757">
        <f t="shared" si="5"/>
        <v>66000</v>
      </c>
      <c r="Q49" s="769">
        <f t="shared" si="6"/>
        <v>19046</v>
      </c>
      <c r="R49" s="763"/>
    </row>
    <row r="50" spans="2:18" ht="12.75">
      <c r="B50" s="177">
        <f t="shared" si="2"/>
        <v>43</v>
      </c>
      <c r="C50" s="137"/>
      <c r="D50" s="137"/>
      <c r="E50" s="143" t="s">
        <v>292</v>
      </c>
      <c r="F50" s="143">
        <v>637</v>
      </c>
      <c r="G50" s="199" t="s">
        <v>695</v>
      </c>
      <c r="H50" s="335">
        <v>8100</v>
      </c>
      <c r="I50" s="335">
        <v>5542</v>
      </c>
      <c r="J50" s="620">
        <f t="shared" si="4"/>
        <v>68.41975308641976</v>
      </c>
      <c r="K50" s="139"/>
      <c r="L50" s="152"/>
      <c r="M50" s="339"/>
      <c r="N50" s="626"/>
      <c r="O50" s="139"/>
      <c r="P50" s="759">
        <f t="shared" si="5"/>
        <v>8100</v>
      </c>
      <c r="Q50" s="771">
        <f t="shared" si="6"/>
        <v>5542</v>
      </c>
      <c r="R50" s="763">
        <f t="shared" si="3"/>
        <v>68.41975308641976</v>
      </c>
    </row>
    <row r="51" spans="2:18" ht="12.75">
      <c r="B51" s="177">
        <f>B50+1</f>
        <v>44</v>
      </c>
      <c r="C51" s="137"/>
      <c r="D51" s="137"/>
      <c r="E51" s="141" t="s">
        <v>293</v>
      </c>
      <c r="F51" s="141">
        <v>637</v>
      </c>
      <c r="G51" s="199" t="s">
        <v>702</v>
      </c>
      <c r="H51" s="335">
        <v>20000</v>
      </c>
      <c r="I51" s="335">
        <v>0</v>
      </c>
      <c r="J51" s="620">
        <f t="shared" si="4"/>
        <v>0</v>
      </c>
      <c r="K51" s="139"/>
      <c r="L51" s="152"/>
      <c r="M51" s="339"/>
      <c r="N51" s="626"/>
      <c r="O51" s="139"/>
      <c r="P51" s="759">
        <f t="shared" si="5"/>
        <v>20000</v>
      </c>
      <c r="Q51" s="771">
        <f t="shared" si="6"/>
        <v>0</v>
      </c>
      <c r="R51" s="763">
        <f t="shared" si="3"/>
        <v>0</v>
      </c>
    </row>
    <row r="52" spans="2:18" ht="12.75">
      <c r="B52" s="177">
        <f aca="true" t="shared" si="7" ref="B52:B57">B51+1</f>
        <v>45</v>
      </c>
      <c r="C52" s="137"/>
      <c r="D52" s="137"/>
      <c r="E52" s="141" t="s">
        <v>293</v>
      </c>
      <c r="F52" s="141">
        <v>620</v>
      </c>
      <c r="G52" s="199" t="s">
        <v>694</v>
      </c>
      <c r="H52" s="335">
        <v>5600</v>
      </c>
      <c r="I52" s="335">
        <v>0</v>
      </c>
      <c r="J52" s="620">
        <f t="shared" si="4"/>
        <v>0</v>
      </c>
      <c r="K52" s="139"/>
      <c r="L52" s="152"/>
      <c r="M52" s="339"/>
      <c r="N52" s="626"/>
      <c r="O52" s="139"/>
      <c r="P52" s="759">
        <f t="shared" si="5"/>
        <v>5600</v>
      </c>
      <c r="Q52" s="771">
        <f t="shared" si="6"/>
        <v>0</v>
      </c>
      <c r="R52" s="763">
        <f t="shared" si="3"/>
        <v>0</v>
      </c>
    </row>
    <row r="53" spans="2:18" ht="12.75">
      <c r="B53" s="177">
        <f t="shared" si="7"/>
        <v>46</v>
      </c>
      <c r="C53" s="137"/>
      <c r="D53" s="137"/>
      <c r="E53" s="141" t="s">
        <v>293</v>
      </c>
      <c r="F53" s="141">
        <v>633</v>
      </c>
      <c r="G53" s="199" t="s">
        <v>534</v>
      </c>
      <c r="H53" s="335">
        <v>7400</v>
      </c>
      <c r="I53" s="335">
        <v>3615</v>
      </c>
      <c r="J53" s="620">
        <f t="shared" si="4"/>
        <v>48.851351351351354</v>
      </c>
      <c r="K53" s="139"/>
      <c r="L53" s="152"/>
      <c r="M53" s="339"/>
      <c r="N53" s="626"/>
      <c r="O53" s="139"/>
      <c r="P53" s="759">
        <f t="shared" si="5"/>
        <v>7400</v>
      </c>
      <c r="Q53" s="771">
        <f t="shared" si="6"/>
        <v>3615</v>
      </c>
      <c r="R53" s="763">
        <f t="shared" si="3"/>
        <v>48.851351351351354</v>
      </c>
    </row>
    <row r="54" spans="2:18" ht="12.75">
      <c r="B54" s="177">
        <f t="shared" si="7"/>
        <v>47</v>
      </c>
      <c r="C54" s="137"/>
      <c r="D54" s="137"/>
      <c r="E54" s="138" t="s">
        <v>240</v>
      </c>
      <c r="F54" s="141">
        <v>632</v>
      </c>
      <c r="G54" s="199" t="s">
        <v>294</v>
      </c>
      <c r="H54" s="335">
        <f>32000-100-7000</f>
        <v>24900</v>
      </c>
      <c r="I54" s="335">
        <v>9889</v>
      </c>
      <c r="J54" s="620">
        <f t="shared" si="4"/>
        <v>39.714859437751</v>
      </c>
      <c r="K54" s="139"/>
      <c r="L54" s="152"/>
      <c r="M54" s="339"/>
      <c r="N54" s="626"/>
      <c r="O54" s="139"/>
      <c r="P54" s="759">
        <f t="shared" si="5"/>
        <v>24900</v>
      </c>
      <c r="Q54" s="771">
        <f t="shared" si="6"/>
        <v>9889</v>
      </c>
      <c r="R54" s="763">
        <f t="shared" si="3"/>
        <v>39.714859437751</v>
      </c>
    </row>
    <row r="55" spans="2:18" ht="15.75">
      <c r="B55" s="177">
        <f t="shared" si="7"/>
        <v>48</v>
      </c>
      <c r="C55" s="21">
        <v>8</v>
      </c>
      <c r="D55" s="133" t="s">
        <v>518</v>
      </c>
      <c r="E55" s="22"/>
      <c r="F55" s="22"/>
      <c r="G55" s="200"/>
      <c r="H55" s="369">
        <f>H56</f>
        <v>15794</v>
      </c>
      <c r="I55" s="369">
        <f>I56</f>
        <v>15121</v>
      </c>
      <c r="J55" s="620">
        <f t="shared" si="4"/>
        <v>95.73888818538686</v>
      </c>
      <c r="K55" s="113"/>
      <c r="L55" s="205">
        <v>0</v>
      </c>
      <c r="M55" s="340">
        <v>0</v>
      </c>
      <c r="N55" s="626"/>
      <c r="O55" s="113"/>
      <c r="P55" s="757">
        <f t="shared" si="5"/>
        <v>15794</v>
      </c>
      <c r="Q55" s="769">
        <f t="shared" si="6"/>
        <v>15121</v>
      </c>
      <c r="R55" s="763">
        <f t="shared" si="3"/>
        <v>95.73888818538686</v>
      </c>
    </row>
    <row r="56" spans="2:18" ht="14.25">
      <c r="B56" s="177">
        <f t="shared" si="7"/>
        <v>49</v>
      </c>
      <c r="C56" s="137"/>
      <c r="D56" s="137"/>
      <c r="E56" s="143" t="s">
        <v>288</v>
      </c>
      <c r="F56" s="143">
        <v>642</v>
      </c>
      <c r="G56" s="199" t="s">
        <v>317</v>
      </c>
      <c r="H56" s="335">
        <f>SUM(H57:H65)</f>
        <v>15794</v>
      </c>
      <c r="I56" s="335">
        <f>SUM(I57:I65)</f>
        <v>15121</v>
      </c>
      <c r="J56" s="620">
        <f t="shared" si="4"/>
        <v>95.73888818538686</v>
      </c>
      <c r="K56" s="139"/>
      <c r="L56" s="658"/>
      <c r="M56" s="342"/>
      <c r="N56" s="626"/>
      <c r="O56" s="139"/>
      <c r="P56" s="759">
        <f t="shared" si="5"/>
        <v>15794</v>
      </c>
      <c r="Q56" s="771">
        <f t="shared" si="6"/>
        <v>15121</v>
      </c>
      <c r="R56" s="763">
        <f t="shared" si="3"/>
        <v>95.73888818538686</v>
      </c>
    </row>
    <row r="57" spans="2:18" ht="14.25">
      <c r="B57" s="177">
        <f t="shared" si="7"/>
        <v>50</v>
      </c>
      <c r="C57" s="137"/>
      <c r="D57" s="137"/>
      <c r="E57" s="143"/>
      <c r="F57" s="143"/>
      <c r="G57" s="199" t="s">
        <v>513</v>
      </c>
      <c r="H57" s="335">
        <v>500</v>
      </c>
      <c r="I57" s="335">
        <v>500</v>
      </c>
      <c r="J57" s="620">
        <f t="shared" si="4"/>
        <v>100</v>
      </c>
      <c r="K57" s="139"/>
      <c r="L57" s="658"/>
      <c r="M57" s="342"/>
      <c r="N57" s="626"/>
      <c r="O57" s="139"/>
      <c r="P57" s="759">
        <f t="shared" si="5"/>
        <v>500</v>
      </c>
      <c r="Q57" s="771">
        <f t="shared" si="6"/>
        <v>500</v>
      </c>
      <c r="R57" s="763">
        <f t="shared" si="3"/>
        <v>100</v>
      </c>
    </row>
    <row r="58" spans="2:18" ht="14.25">
      <c r="B58" s="177">
        <f aca="true" t="shared" si="8" ref="B58:B66">B57+1</f>
        <v>51</v>
      </c>
      <c r="C58" s="137"/>
      <c r="D58" s="137"/>
      <c r="E58" s="143"/>
      <c r="F58" s="143"/>
      <c r="G58" s="199" t="s">
        <v>711</v>
      </c>
      <c r="H58" s="335">
        <f>50+100</f>
        <v>150</v>
      </c>
      <c r="I58" s="335">
        <v>150</v>
      </c>
      <c r="J58" s="620">
        <f t="shared" si="4"/>
        <v>100</v>
      </c>
      <c r="K58" s="139"/>
      <c r="L58" s="658"/>
      <c r="M58" s="342"/>
      <c r="N58" s="626"/>
      <c r="O58" s="139"/>
      <c r="P58" s="759">
        <f t="shared" si="5"/>
        <v>150</v>
      </c>
      <c r="Q58" s="771">
        <f t="shared" si="6"/>
        <v>150</v>
      </c>
      <c r="R58" s="763">
        <f t="shared" si="3"/>
        <v>100</v>
      </c>
    </row>
    <row r="59" spans="2:18" ht="14.25">
      <c r="B59" s="177">
        <f t="shared" si="8"/>
        <v>52</v>
      </c>
      <c r="C59" s="137"/>
      <c r="D59" s="137"/>
      <c r="E59" s="143"/>
      <c r="F59" s="143"/>
      <c r="G59" s="199" t="s">
        <v>308</v>
      </c>
      <c r="H59" s="335">
        <f>6024-10</f>
        <v>6014</v>
      </c>
      <c r="I59" s="335">
        <v>5545</v>
      </c>
      <c r="J59" s="620">
        <f t="shared" si="4"/>
        <v>92.20152976388427</v>
      </c>
      <c r="K59" s="139"/>
      <c r="L59" s="658"/>
      <c r="M59" s="342"/>
      <c r="N59" s="626"/>
      <c r="O59" s="139"/>
      <c r="P59" s="759">
        <f t="shared" si="5"/>
        <v>6014</v>
      </c>
      <c r="Q59" s="771">
        <f t="shared" si="6"/>
        <v>5545</v>
      </c>
      <c r="R59" s="763">
        <f t="shared" si="3"/>
        <v>92.20152976388427</v>
      </c>
    </row>
    <row r="60" spans="2:18" ht="14.25">
      <c r="B60" s="177">
        <f t="shared" si="8"/>
        <v>53</v>
      </c>
      <c r="C60" s="137"/>
      <c r="D60" s="137"/>
      <c r="E60" s="143"/>
      <c r="F60" s="143"/>
      <c r="G60" s="199" t="s">
        <v>439</v>
      </c>
      <c r="H60" s="335">
        <f>140+10</f>
        <v>150</v>
      </c>
      <c r="I60" s="335">
        <v>140</v>
      </c>
      <c r="J60" s="620">
        <f t="shared" si="4"/>
        <v>93.33333333333333</v>
      </c>
      <c r="K60" s="139"/>
      <c r="L60" s="658"/>
      <c r="M60" s="342"/>
      <c r="N60" s="626"/>
      <c r="O60" s="139"/>
      <c r="P60" s="759">
        <f t="shared" si="5"/>
        <v>150</v>
      </c>
      <c r="Q60" s="771">
        <f t="shared" si="6"/>
        <v>140</v>
      </c>
      <c r="R60" s="763">
        <f t="shared" si="3"/>
        <v>93.33333333333333</v>
      </c>
    </row>
    <row r="61" spans="2:18" ht="14.25">
      <c r="B61" s="177">
        <f t="shared" si="8"/>
        <v>54</v>
      </c>
      <c r="C61" s="137"/>
      <c r="D61" s="137"/>
      <c r="E61" s="143"/>
      <c r="F61" s="143"/>
      <c r="G61" s="199" t="s">
        <v>471</v>
      </c>
      <c r="H61" s="335">
        <v>120</v>
      </c>
      <c r="I61" s="335">
        <v>120</v>
      </c>
      <c r="J61" s="620">
        <f t="shared" si="4"/>
        <v>100</v>
      </c>
      <c r="K61" s="139"/>
      <c r="L61" s="658"/>
      <c r="M61" s="342"/>
      <c r="N61" s="626"/>
      <c r="O61" s="139"/>
      <c r="P61" s="759">
        <f t="shared" si="5"/>
        <v>120</v>
      </c>
      <c r="Q61" s="771">
        <f t="shared" si="6"/>
        <v>120</v>
      </c>
      <c r="R61" s="763">
        <f t="shared" si="3"/>
        <v>100</v>
      </c>
    </row>
    <row r="62" spans="2:18" ht="14.25">
      <c r="B62" s="177">
        <f t="shared" si="8"/>
        <v>55</v>
      </c>
      <c r="C62" s="137"/>
      <c r="D62" s="169"/>
      <c r="E62" s="143"/>
      <c r="F62" s="143"/>
      <c r="G62" s="199" t="s">
        <v>309</v>
      </c>
      <c r="H62" s="335">
        <v>200</v>
      </c>
      <c r="I62" s="335">
        <v>200</v>
      </c>
      <c r="J62" s="620">
        <f t="shared" si="4"/>
        <v>100</v>
      </c>
      <c r="K62" s="139"/>
      <c r="L62" s="658"/>
      <c r="M62" s="342"/>
      <c r="N62" s="626"/>
      <c r="O62" s="139"/>
      <c r="P62" s="759">
        <f t="shared" si="5"/>
        <v>200</v>
      </c>
      <c r="Q62" s="771">
        <f t="shared" si="6"/>
        <v>200</v>
      </c>
      <c r="R62" s="763">
        <f t="shared" si="3"/>
        <v>100</v>
      </c>
    </row>
    <row r="63" spans="2:18" ht="14.25">
      <c r="B63" s="177">
        <f t="shared" si="8"/>
        <v>56</v>
      </c>
      <c r="C63" s="142"/>
      <c r="D63" s="328"/>
      <c r="E63" s="143"/>
      <c r="F63" s="143"/>
      <c r="G63" s="209" t="s">
        <v>564</v>
      </c>
      <c r="H63" s="339">
        <v>8300</v>
      </c>
      <c r="I63" s="339">
        <v>8300</v>
      </c>
      <c r="J63" s="620">
        <f t="shared" si="4"/>
        <v>100</v>
      </c>
      <c r="K63" s="139"/>
      <c r="L63" s="658"/>
      <c r="M63" s="342"/>
      <c r="N63" s="626"/>
      <c r="O63" s="139"/>
      <c r="P63" s="756">
        <f t="shared" si="5"/>
        <v>8300</v>
      </c>
      <c r="Q63" s="768">
        <f t="shared" si="6"/>
        <v>8300</v>
      </c>
      <c r="R63" s="763">
        <f t="shared" si="3"/>
        <v>100</v>
      </c>
    </row>
    <row r="64" spans="2:18" ht="14.25">
      <c r="B64" s="177">
        <f t="shared" si="8"/>
        <v>57</v>
      </c>
      <c r="C64" s="142"/>
      <c r="D64" s="328"/>
      <c r="E64" s="143"/>
      <c r="F64" s="143"/>
      <c r="G64" s="209" t="s">
        <v>565</v>
      </c>
      <c r="H64" s="335">
        <v>170</v>
      </c>
      <c r="I64" s="335">
        <v>166</v>
      </c>
      <c r="J64" s="620">
        <f t="shared" si="4"/>
        <v>97.6470588235294</v>
      </c>
      <c r="K64" s="139"/>
      <c r="L64" s="658"/>
      <c r="M64" s="342"/>
      <c r="N64" s="626"/>
      <c r="O64" s="139"/>
      <c r="P64" s="756">
        <f t="shared" si="5"/>
        <v>170</v>
      </c>
      <c r="Q64" s="768">
        <f t="shared" si="6"/>
        <v>166</v>
      </c>
      <c r="R64" s="763">
        <f t="shared" si="3"/>
        <v>97.6470588235294</v>
      </c>
    </row>
    <row r="65" spans="2:18" ht="14.25">
      <c r="B65" s="177">
        <f t="shared" si="8"/>
        <v>58</v>
      </c>
      <c r="C65" s="449"/>
      <c r="D65" s="450"/>
      <c r="E65" s="143"/>
      <c r="F65" s="143"/>
      <c r="G65" s="451" t="s">
        <v>652</v>
      </c>
      <c r="H65" s="437">
        <v>190</v>
      </c>
      <c r="I65" s="437"/>
      <c r="J65" s="620">
        <f t="shared" si="4"/>
        <v>0</v>
      </c>
      <c r="K65" s="139"/>
      <c r="L65" s="658"/>
      <c r="M65" s="342"/>
      <c r="N65" s="626"/>
      <c r="O65" s="139"/>
      <c r="P65" s="756">
        <f t="shared" si="5"/>
        <v>190</v>
      </c>
      <c r="Q65" s="768">
        <f t="shared" si="6"/>
        <v>0</v>
      </c>
      <c r="R65" s="763">
        <f t="shared" si="3"/>
        <v>0</v>
      </c>
    </row>
    <row r="66" spans="2:18" ht="16.5" thickBot="1">
      <c r="B66" s="318">
        <f t="shared" si="8"/>
        <v>59</v>
      </c>
      <c r="C66" s="271">
        <v>9</v>
      </c>
      <c r="D66" s="272" t="s">
        <v>129</v>
      </c>
      <c r="E66" s="273"/>
      <c r="F66" s="273"/>
      <c r="G66" s="274"/>
      <c r="H66" s="370">
        <v>33000</v>
      </c>
      <c r="I66" s="370">
        <v>102712</v>
      </c>
      <c r="J66" s="621">
        <f t="shared" si="4"/>
        <v>311.24848484848485</v>
      </c>
      <c r="K66" s="129"/>
      <c r="L66" s="659">
        <v>0</v>
      </c>
      <c r="M66" s="343">
        <v>0</v>
      </c>
      <c r="N66" s="629"/>
      <c r="O66" s="129"/>
      <c r="P66" s="760">
        <f t="shared" si="5"/>
        <v>33000</v>
      </c>
      <c r="Q66" s="772">
        <f t="shared" si="6"/>
        <v>102712</v>
      </c>
      <c r="R66" s="764">
        <f t="shared" si="3"/>
        <v>311.24848484848485</v>
      </c>
    </row>
    <row r="67" spans="2:17" ht="12.75">
      <c r="B67" s="296"/>
      <c r="C67" s="297"/>
      <c r="D67" s="140"/>
      <c r="E67" s="140"/>
      <c r="F67" s="140"/>
      <c r="G67" s="140"/>
      <c r="H67" s="249"/>
      <c r="I67" s="249"/>
      <c r="J67" s="249"/>
      <c r="K67" s="249"/>
      <c r="L67" s="249"/>
      <c r="M67" s="249"/>
      <c r="N67" s="249"/>
      <c r="O67" s="249"/>
      <c r="P67" s="249"/>
      <c r="Q67" s="249"/>
    </row>
    <row r="68" spans="2:14" ht="27.75" thickBot="1">
      <c r="B68" s="248" t="s">
        <v>205</v>
      </c>
      <c r="C68" s="248"/>
      <c r="D68" s="248"/>
      <c r="E68" s="248"/>
      <c r="F68" s="248"/>
      <c r="G68" s="248"/>
      <c r="H68" s="248"/>
      <c r="I68" s="248"/>
      <c r="J68" s="248"/>
      <c r="K68" s="248"/>
      <c r="L68" s="248"/>
      <c r="M68" s="248"/>
      <c r="N68" s="248"/>
    </row>
    <row r="69" spans="2:18" ht="13.5" thickBot="1">
      <c r="B69" s="1074" t="s">
        <v>778</v>
      </c>
      <c r="C69" s="1075"/>
      <c r="D69" s="1075"/>
      <c r="E69" s="1075"/>
      <c r="F69" s="1075"/>
      <c r="G69" s="1075"/>
      <c r="H69" s="1075"/>
      <c r="I69" s="1075"/>
      <c r="J69" s="1075"/>
      <c r="K69" s="1075"/>
      <c r="L69" s="1075"/>
      <c r="M69" s="599"/>
      <c r="N69" s="628"/>
      <c r="P69" s="1091" t="s">
        <v>811</v>
      </c>
      <c r="Q69" s="1101" t="s">
        <v>836</v>
      </c>
      <c r="R69" s="761"/>
    </row>
    <row r="70" spans="2:18" ht="30.75" customHeight="1" thickTop="1">
      <c r="B70" s="23"/>
      <c r="C70" s="1083" t="s">
        <v>512</v>
      </c>
      <c r="D70" s="1098" t="s">
        <v>511</v>
      </c>
      <c r="E70" s="1098" t="s">
        <v>509</v>
      </c>
      <c r="F70" s="1098" t="s">
        <v>510</v>
      </c>
      <c r="G70" s="517" t="s">
        <v>3</v>
      </c>
      <c r="H70" s="1085" t="s">
        <v>806</v>
      </c>
      <c r="I70" s="1087" t="s">
        <v>836</v>
      </c>
      <c r="J70" s="1072" t="s">
        <v>835</v>
      </c>
      <c r="K70" s="80"/>
      <c r="L70" s="1099" t="s">
        <v>810</v>
      </c>
      <c r="M70" s="1094" t="s">
        <v>836</v>
      </c>
      <c r="N70" s="1072" t="s">
        <v>835</v>
      </c>
      <c r="P70" s="1092"/>
      <c r="Q70" s="1102"/>
      <c r="R70" s="673" t="s">
        <v>835</v>
      </c>
    </row>
    <row r="71" spans="2:18" ht="25.5" customHeight="1" thickBot="1">
      <c r="B71" s="26"/>
      <c r="C71" s="1084"/>
      <c r="D71" s="1084"/>
      <c r="E71" s="1084"/>
      <c r="F71" s="1084"/>
      <c r="G71" s="196"/>
      <c r="H71" s="1086"/>
      <c r="I71" s="1086"/>
      <c r="J71" s="1073"/>
      <c r="K71" s="80"/>
      <c r="L71" s="1100"/>
      <c r="M71" s="1095"/>
      <c r="N71" s="1073"/>
      <c r="P71" s="1093"/>
      <c r="Q71" s="1103"/>
      <c r="R71" s="673"/>
    </row>
    <row r="72" spans="2:18" ht="17.25" thickBot="1" thickTop="1">
      <c r="B72" s="177">
        <v>1</v>
      </c>
      <c r="C72" s="238" t="s">
        <v>206</v>
      </c>
      <c r="D72" s="112"/>
      <c r="E72" s="112"/>
      <c r="F72" s="112"/>
      <c r="G72" s="197"/>
      <c r="H72" s="367">
        <f>H73+H78</f>
        <v>50721</v>
      </c>
      <c r="I72" s="367">
        <f>I73+I78</f>
        <v>18788</v>
      </c>
      <c r="J72" s="598">
        <f>I72/H72*100</f>
        <v>37.04185643027543</v>
      </c>
      <c r="K72" s="114"/>
      <c r="L72" s="773">
        <f>L73+L78</f>
        <v>0</v>
      </c>
      <c r="M72" s="622">
        <f>M73+M78</f>
        <v>0</v>
      </c>
      <c r="N72" s="746"/>
      <c r="P72" s="776">
        <f aca="true" t="shared" si="9" ref="P72:P80">H72+L72</f>
        <v>50721</v>
      </c>
      <c r="Q72" s="780">
        <f aca="true" t="shared" si="10" ref="Q72:Q80">I72+M72</f>
        <v>18788</v>
      </c>
      <c r="R72" s="783">
        <f>Q72/P72*100</f>
        <v>37.04185643027543</v>
      </c>
    </row>
    <row r="73" spans="2:18" ht="16.5" thickTop="1">
      <c r="B73" s="177">
        <f aca="true" t="shared" si="11" ref="B73:B80">B72+1</f>
        <v>2</v>
      </c>
      <c r="C73" s="24">
        <v>1</v>
      </c>
      <c r="D73" s="134" t="s">
        <v>171</v>
      </c>
      <c r="E73" s="25"/>
      <c r="F73" s="25"/>
      <c r="G73" s="198"/>
      <c r="H73" s="369">
        <f>SUM(H74:H77)</f>
        <v>42721</v>
      </c>
      <c r="I73" s="369">
        <f>SUM(I74:I77)</f>
        <v>17761</v>
      </c>
      <c r="J73" s="619">
        <f>I73/H73*100</f>
        <v>41.57440134828305</v>
      </c>
      <c r="K73" s="90"/>
      <c r="L73" s="774">
        <v>0</v>
      </c>
      <c r="M73" s="623">
        <v>0</v>
      </c>
      <c r="N73" s="747"/>
      <c r="P73" s="754">
        <f t="shared" si="9"/>
        <v>42721</v>
      </c>
      <c r="Q73" s="766">
        <f t="shared" si="10"/>
        <v>17761</v>
      </c>
      <c r="R73" s="782">
        <f>Q73/P73*100</f>
        <v>41.57440134828305</v>
      </c>
    </row>
    <row r="74" spans="2:18" ht="12.75">
      <c r="B74" s="177">
        <f t="shared" si="11"/>
        <v>3</v>
      </c>
      <c r="C74" s="137"/>
      <c r="D74" s="138"/>
      <c r="E74" s="138" t="s">
        <v>240</v>
      </c>
      <c r="F74" s="138" t="s">
        <v>219</v>
      </c>
      <c r="G74" s="199" t="s">
        <v>712</v>
      </c>
      <c r="H74" s="339">
        <f>8500-1000</f>
        <v>7500</v>
      </c>
      <c r="I74" s="339">
        <f>43</f>
        <v>43</v>
      </c>
      <c r="J74" s="620">
        <f>I74/H74*100</f>
        <v>0.5733333333333334</v>
      </c>
      <c r="K74" s="139"/>
      <c r="L74" s="647"/>
      <c r="M74" s="573"/>
      <c r="N74" s="748"/>
      <c r="P74" s="756">
        <f t="shared" si="9"/>
        <v>7500</v>
      </c>
      <c r="Q74" s="768">
        <f t="shared" si="10"/>
        <v>43</v>
      </c>
      <c r="R74" s="778">
        <f>Q74/P74*100</f>
        <v>0.5733333333333334</v>
      </c>
    </row>
    <row r="75" spans="2:18" ht="12.75">
      <c r="B75" s="177">
        <f t="shared" si="11"/>
        <v>4</v>
      </c>
      <c r="C75" s="137"/>
      <c r="D75" s="138"/>
      <c r="E75" s="138" t="s">
        <v>447</v>
      </c>
      <c r="F75" s="138" t="s">
        <v>221</v>
      </c>
      <c r="G75" s="199" t="s">
        <v>514</v>
      </c>
      <c r="H75" s="335">
        <f>22300-14000+11000</f>
        <v>19300</v>
      </c>
      <c r="I75" s="335">
        <v>9829</v>
      </c>
      <c r="J75" s="620">
        <f aca="true" t="shared" si="12" ref="J75:J80">I75/H75*100</f>
        <v>50.927461139896366</v>
      </c>
      <c r="K75" s="139"/>
      <c r="L75" s="647"/>
      <c r="M75" s="573"/>
      <c r="N75" s="748"/>
      <c r="P75" s="756">
        <f t="shared" si="9"/>
        <v>19300</v>
      </c>
      <c r="Q75" s="768">
        <f t="shared" si="10"/>
        <v>9829</v>
      </c>
      <c r="R75" s="778">
        <f aca="true" t="shared" si="13" ref="R75:R80">Q75/P75*100</f>
        <v>50.927461139896366</v>
      </c>
    </row>
    <row r="76" spans="2:18" ht="12.75">
      <c r="B76" s="177">
        <f t="shared" si="11"/>
        <v>5</v>
      </c>
      <c r="C76" s="137"/>
      <c r="D76" s="138"/>
      <c r="E76" s="138" t="s">
        <v>271</v>
      </c>
      <c r="F76" s="138" t="s">
        <v>219</v>
      </c>
      <c r="G76" s="199" t="s">
        <v>515</v>
      </c>
      <c r="H76" s="339">
        <f>22000-2000-5500</f>
        <v>14500</v>
      </c>
      <c r="I76" s="339">
        <v>6612</v>
      </c>
      <c r="J76" s="620">
        <f t="shared" si="12"/>
        <v>45.6</v>
      </c>
      <c r="K76" s="139"/>
      <c r="L76" s="647"/>
      <c r="M76" s="573"/>
      <c r="N76" s="748"/>
      <c r="P76" s="756">
        <f t="shared" si="9"/>
        <v>14500</v>
      </c>
      <c r="Q76" s="768">
        <f t="shared" si="10"/>
        <v>6612</v>
      </c>
      <c r="R76" s="778">
        <f t="shared" si="13"/>
        <v>45.6</v>
      </c>
    </row>
    <row r="77" spans="2:18" ht="12.75">
      <c r="B77" s="177">
        <f t="shared" si="11"/>
        <v>6</v>
      </c>
      <c r="C77" s="137"/>
      <c r="D77" s="184"/>
      <c r="E77" s="138" t="s">
        <v>271</v>
      </c>
      <c r="F77" s="138" t="s">
        <v>219</v>
      </c>
      <c r="G77" s="199" t="s">
        <v>758</v>
      </c>
      <c r="H77" s="339">
        <v>1421</v>
      </c>
      <c r="I77" s="339">
        <v>1277</v>
      </c>
      <c r="J77" s="620">
        <f t="shared" si="12"/>
        <v>89.86629134412387</v>
      </c>
      <c r="K77" s="139"/>
      <c r="L77" s="647"/>
      <c r="M77" s="573"/>
      <c r="N77" s="748"/>
      <c r="P77" s="756">
        <f t="shared" si="9"/>
        <v>1421</v>
      </c>
      <c r="Q77" s="768">
        <f t="shared" si="10"/>
        <v>1277</v>
      </c>
      <c r="R77" s="778">
        <f t="shared" si="13"/>
        <v>89.86629134412387</v>
      </c>
    </row>
    <row r="78" spans="2:18" ht="15.75">
      <c r="B78" s="177">
        <f t="shared" si="11"/>
        <v>7</v>
      </c>
      <c r="C78" s="21">
        <v>2</v>
      </c>
      <c r="D78" s="133" t="s">
        <v>157</v>
      </c>
      <c r="E78" s="22"/>
      <c r="F78" s="22"/>
      <c r="G78" s="200"/>
      <c r="H78" s="369">
        <f>SUM(H79:H80)</f>
        <v>8000</v>
      </c>
      <c r="I78" s="369">
        <f>SUM(I79:I80)</f>
        <v>1027</v>
      </c>
      <c r="J78" s="620">
        <f t="shared" si="12"/>
        <v>12.837499999999999</v>
      </c>
      <c r="K78" s="113"/>
      <c r="L78" s="774">
        <v>0</v>
      </c>
      <c r="M78" s="623">
        <v>0</v>
      </c>
      <c r="N78" s="747"/>
      <c r="P78" s="757">
        <f t="shared" si="9"/>
        <v>8000</v>
      </c>
      <c r="Q78" s="769">
        <f t="shared" si="10"/>
        <v>1027</v>
      </c>
      <c r="R78" s="778">
        <f t="shared" si="13"/>
        <v>12.837499999999999</v>
      </c>
    </row>
    <row r="79" spans="2:18" ht="12.75">
      <c r="B79" s="177">
        <f t="shared" si="11"/>
        <v>8</v>
      </c>
      <c r="C79" s="137"/>
      <c r="D79" s="137"/>
      <c r="E79" s="141" t="s">
        <v>446</v>
      </c>
      <c r="F79" s="141">
        <v>637</v>
      </c>
      <c r="G79" s="199" t="s">
        <v>535</v>
      </c>
      <c r="H79" s="335">
        <v>6000</v>
      </c>
      <c r="I79" s="335">
        <f>108+679</f>
        <v>787</v>
      </c>
      <c r="J79" s="620">
        <f t="shared" si="12"/>
        <v>13.116666666666665</v>
      </c>
      <c r="K79" s="139"/>
      <c r="L79" s="649"/>
      <c r="M79" s="574"/>
      <c r="N79" s="749"/>
      <c r="P79" s="759">
        <f t="shared" si="9"/>
        <v>6000</v>
      </c>
      <c r="Q79" s="771">
        <f t="shared" si="10"/>
        <v>787</v>
      </c>
      <c r="R79" s="778">
        <f t="shared" si="13"/>
        <v>13.116666666666665</v>
      </c>
    </row>
    <row r="80" spans="2:18" ht="13.5" thickBot="1">
      <c r="B80" s="214">
        <f t="shared" si="11"/>
        <v>9</v>
      </c>
      <c r="C80" s="147"/>
      <c r="D80" s="147"/>
      <c r="E80" s="148" t="s">
        <v>446</v>
      </c>
      <c r="F80" s="148">
        <v>637</v>
      </c>
      <c r="G80" s="207" t="s">
        <v>516</v>
      </c>
      <c r="H80" s="344">
        <v>2000</v>
      </c>
      <c r="I80" s="344">
        <v>240</v>
      </c>
      <c r="J80" s="621">
        <f t="shared" si="12"/>
        <v>12</v>
      </c>
      <c r="K80" s="149"/>
      <c r="L80" s="775"/>
      <c r="M80" s="624"/>
      <c r="N80" s="750"/>
      <c r="P80" s="777">
        <f t="shared" si="9"/>
        <v>2000</v>
      </c>
      <c r="Q80" s="781">
        <f t="shared" si="10"/>
        <v>240</v>
      </c>
      <c r="R80" s="779">
        <f t="shared" si="13"/>
        <v>12</v>
      </c>
    </row>
    <row r="83" spans="2:16" ht="27.75" thickBot="1">
      <c r="B83" s="248" t="s">
        <v>208</v>
      </c>
      <c r="C83" s="248"/>
      <c r="D83" s="248"/>
      <c r="E83" s="248"/>
      <c r="F83" s="248"/>
      <c r="G83" s="383"/>
      <c r="H83" s="248"/>
      <c r="I83" s="248"/>
      <c r="J83" s="248"/>
      <c r="K83" s="248"/>
      <c r="L83" s="248"/>
      <c r="M83" s="248"/>
      <c r="N83" s="248"/>
      <c r="O83" s="248"/>
      <c r="P83" s="248"/>
    </row>
    <row r="84" spans="2:18" ht="13.5" thickBot="1">
      <c r="B84" s="1074" t="s">
        <v>778</v>
      </c>
      <c r="C84" s="1075"/>
      <c r="D84" s="1075"/>
      <c r="E84" s="1075"/>
      <c r="F84" s="1075"/>
      <c r="G84" s="1075"/>
      <c r="H84" s="1075"/>
      <c r="I84" s="1075"/>
      <c r="J84" s="1075"/>
      <c r="K84" s="1075"/>
      <c r="L84" s="1075"/>
      <c r="M84" s="599"/>
      <c r="N84" s="625"/>
      <c r="O84" s="127"/>
      <c r="P84" s="1091" t="s">
        <v>811</v>
      </c>
      <c r="Q84" s="1101" t="s">
        <v>836</v>
      </c>
      <c r="R84" s="1046" t="s">
        <v>835</v>
      </c>
    </row>
    <row r="85" spans="2:18" ht="33.75" customHeight="1" thickTop="1">
      <c r="B85" s="23"/>
      <c r="C85" s="1083" t="s">
        <v>512</v>
      </c>
      <c r="D85" s="1083" t="s">
        <v>511</v>
      </c>
      <c r="E85" s="1083" t="s">
        <v>509</v>
      </c>
      <c r="F85" s="1083" t="s">
        <v>510</v>
      </c>
      <c r="G85" s="319" t="s">
        <v>3</v>
      </c>
      <c r="H85" s="1085" t="s">
        <v>806</v>
      </c>
      <c r="I85" s="1085" t="s">
        <v>836</v>
      </c>
      <c r="J85" s="1072" t="s">
        <v>835</v>
      </c>
      <c r="K85" s="80"/>
      <c r="L85" s="1107" t="s">
        <v>810</v>
      </c>
      <c r="M85" s="1094" t="s">
        <v>836</v>
      </c>
      <c r="N85" s="1072" t="s">
        <v>835</v>
      </c>
      <c r="O85" s="80"/>
      <c r="P85" s="1092"/>
      <c r="Q85" s="1102"/>
      <c r="R85" s="1047"/>
    </row>
    <row r="86" spans="2:18" ht="30" customHeight="1" thickBot="1">
      <c r="B86" s="26"/>
      <c r="C86" s="1084"/>
      <c r="D86" s="1084"/>
      <c r="E86" s="1084"/>
      <c r="F86" s="1084"/>
      <c r="G86" s="196"/>
      <c r="H86" s="1086"/>
      <c r="I86" s="1086"/>
      <c r="J86" s="1073"/>
      <c r="K86" s="80"/>
      <c r="L86" s="1095"/>
      <c r="M86" s="1095"/>
      <c r="N86" s="1073"/>
      <c r="O86" s="80"/>
      <c r="P86" s="1093"/>
      <c r="Q86" s="1103"/>
      <c r="R86" s="788"/>
    </row>
    <row r="87" spans="2:18" ht="24" customHeight="1" thickBot="1" thickTop="1">
      <c r="B87" s="177">
        <v>1</v>
      </c>
      <c r="C87" s="238" t="s">
        <v>209</v>
      </c>
      <c r="D87" s="112"/>
      <c r="E87" s="112"/>
      <c r="F87" s="112"/>
      <c r="G87" s="208"/>
      <c r="H87" s="367">
        <f>H88+H92+H103+H106+H122+H132+H135+H143</f>
        <v>3278811</v>
      </c>
      <c r="I87" s="367">
        <f>I88+I92+I103+I106+I122+I132+I135+I143</f>
        <v>1561581</v>
      </c>
      <c r="J87" s="598">
        <f aca="true" t="shared" si="14" ref="J87:J96">I87/H87*100</f>
        <v>47.62644141428097</v>
      </c>
      <c r="K87" s="114"/>
      <c r="L87" s="336">
        <f>L88+L92+L103+L106+L122+L132+L135+L143</f>
        <v>228566</v>
      </c>
      <c r="M87" s="336">
        <f>M88+M92+M103+M106+M122+M132+M135+M143</f>
        <v>36822</v>
      </c>
      <c r="N87" s="751">
        <f>M87/L87*100</f>
        <v>16.110007612680803</v>
      </c>
      <c r="O87" s="114"/>
      <c r="P87" s="776">
        <f aca="true" t="shared" si="15" ref="P87:P107">H87+L87</f>
        <v>3507377</v>
      </c>
      <c r="Q87" s="780">
        <f aca="true" t="shared" si="16" ref="Q87:Q107">I87+M87</f>
        <v>1598403</v>
      </c>
      <c r="R87" s="789">
        <f aca="true" t="shared" si="17" ref="R87:R107">Q87/P87*100</f>
        <v>45.572603116231875</v>
      </c>
    </row>
    <row r="88" spans="2:18" ht="16.5" thickTop="1">
      <c r="B88" s="177">
        <f aca="true" t="shared" si="18" ref="B88:B119">B87+1</f>
        <v>2</v>
      </c>
      <c r="C88" s="24">
        <v>1</v>
      </c>
      <c r="D88" s="134" t="s">
        <v>99</v>
      </c>
      <c r="E88" s="25"/>
      <c r="F88" s="25"/>
      <c r="G88" s="198"/>
      <c r="H88" s="372">
        <f>SUM(H89:H91)</f>
        <v>44000</v>
      </c>
      <c r="I88" s="372">
        <f>SUM(I89:I91)</f>
        <v>14017</v>
      </c>
      <c r="J88" s="619">
        <f t="shared" si="14"/>
        <v>31.85681818181818</v>
      </c>
      <c r="K88" s="90"/>
      <c r="L88" s="337">
        <f>L89+L90+L91</f>
        <v>0</v>
      </c>
      <c r="M88" s="337">
        <f>M89+M90+M91</f>
        <v>0</v>
      </c>
      <c r="N88" s="626"/>
      <c r="O88" s="90"/>
      <c r="P88" s="754">
        <f t="shared" si="15"/>
        <v>44000</v>
      </c>
      <c r="Q88" s="766">
        <f t="shared" si="16"/>
        <v>14017</v>
      </c>
      <c r="R88" s="790">
        <f t="shared" si="17"/>
        <v>31.85681818181818</v>
      </c>
    </row>
    <row r="89" spans="2:18" ht="12.75">
      <c r="B89" s="177">
        <f t="shared" si="18"/>
        <v>3</v>
      </c>
      <c r="C89" s="137"/>
      <c r="D89" s="138"/>
      <c r="E89" s="138" t="s">
        <v>240</v>
      </c>
      <c r="F89" s="138" t="s">
        <v>219</v>
      </c>
      <c r="G89" s="199" t="s">
        <v>529</v>
      </c>
      <c r="H89" s="339">
        <f>20000-4000</f>
        <v>16000</v>
      </c>
      <c r="I89" s="339">
        <v>7650</v>
      </c>
      <c r="J89" s="620">
        <f t="shared" si="14"/>
        <v>47.8125</v>
      </c>
      <c r="K89" s="139"/>
      <c r="L89" s="339"/>
      <c r="M89" s="339"/>
      <c r="N89" s="626"/>
      <c r="O89" s="139"/>
      <c r="P89" s="756">
        <f t="shared" si="15"/>
        <v>16000</v>
      </c>
      <c r="Q89" s="768">
        <f t="shared" si="16"/>
        <v>7650</v>
      </c>
      <c r="R89" s="763">
        <f t="shared" si="17"/>
        <v>47.8125</v>
      </c>
    </row>
    <row r="90" spans="2:18" ht="12.75">
      <c r="B90" s="177">
        <f t="shared" si="18"/>
        <v>4</v>
      </c>
      <c r="C90" s="137"/>
      <c r="D90" s="138"/>
      <c r="E90" s="138" t="s">
        <v>240</v>
      </c>
      <c r="F90" s="138" t="s">
        <v>219</v>
      </c>
      <c r="G90" s="199" t="s">
        <v>530</v>
      </c>
      <c r="H90" s="339">
        <v>12000</v>
      </c>
      <c r="I90" s="339">
        <v>3184</v>
      </c>
      <c r="J90" s="620">
        <f t="shared" si="14"/>
        <v>26.53333333333333</v>
      </c>
      <c r="K90" s="139"/>
      <c r="L90" s="339"/>
      <c r="M90" s="339"/>
      <c r="N90" s="626"/>
      <c r="O90" s="139"/>
      <c r="P90" s="756">
        <f t="shared" si="15"/>
        <v>12000</v>
      </c>
      <c r="Q90" s="768">
        <f t="shared" si="16"/>
        <v>3184</v>
      </c>
      <c r="R90" s="763">
        <f t="shared" si="17"/>
        <v>26.53333333333333</v>
      </c>
    </row>
    <row r="91" spans="2:18" ht="12.75">
      <c r="B91" s="177">
        <f t="shared" si="18"/>
        <v>5</v>
      </c>
      <c r="C91" s="137"/>
      <c r="D91" s="138"/>
      <c r="E91" s="138" t="s">
        <v>240</v>
      </c>
      <c r="F91" s="138" t="s">
        <v>219</v>
      </c>
      <c r="G91" s="199" t="s">
        <v>531</v>
      </c>
      <c r="H91" s="339">
        <v>16000</v>
      </c>
      <c r="I91" s="339">
        <v>3183</v>
      </c>
      <c r="J91" s="620">
        <f t="shared" si="14"/>
        <v>19.893749999999997</v>
      </c>
      <c r="K91" s="139"/>
      <c r="L91" s="335"/>
      <c r="M91" s="335"/>
      <c r="N91" s="626"/>
      <c r="O91" s="139"/>
      <c r="P91" s="756">
        <f t="shared" si="15"/>
        <v>16000</v>
      </c>
      <c r="Q91" s="768">
        <f t="shared" si="16"/>
        <v>3183</v>
      </c>
      <c r="R91" s="763">
        <f t="shared" si="17"/>
        <v>19.893749999999997</v>
      </c>
    </row>
    <row r="92" spans="2:18" ht="15.75">
      <c r="B92" s="177">
        <f t="shared" si="18"/>
        <v>6</v>
      </c>
      <c r="C92" s="21">
        <v>2</v>
      </c>
      <c r="D92" s="133" t="s">
        <v>176</v>
      </c>
      <c r="E92" s="22"/>
      <c r="F92" s="22"/>
      <c r="G92" s="200"/>
      <c r="H92" s="369">
        <f>H93+H95+H99</f>
        <v>112830</v>
      </c>
      <c r="I92" s="369">
        <f>I93+I95+I99</f>
        <v>41573</v>
      </c>
      <c r="J92" s="620">
        <f t="shared" si="14"/>
        <v>36.84569706638305</v>
      </c>
      <c r="K92" s="113"/>
      <c r="L92" s="337">
        <f>L93+L95+L99</f>
        <v>96116</v>
      </c>
      <c r="M92" s="337">
        <f>M93+M95+M99</f>
        <v>3806</v>
      </c>
      <c r="N92" s="635">
        <f>M92/L92*100</f>
        <v>3.9597985767197965</v>
      </c>
      <c r="O92" s="113"/>
      <c r="P92" s="757">
        <f t="shared" si="15"/>
        <v>208946</v>
      </c>
      <c r="Q92" s="769">
        <f t="shared" si="16"/>
        <v>45379</v>
      </c>
      <c r="R92" s="763">
        <f t="shared" si="17"/>
        <v>21.718051553990026</v>
      </c>
    </row>
    <row r="93" spans="2:18" ht="12.75">
      <c r="B93" s="177">
        <f t="shared" si="18"/>
        <v>7</v>
      </c>
      <c r="C93" s="77"/>
      <c r="D93" s="204" t="s">
        <v>4</v>
      </c>
      <c r="E93" s="211" t="s">
        <v>130</v>
      </c>
      <c r="F93" s="212"/>
      <c r="G93" s="213"/>
      <c r="H93" s="360">
        <f>H94</f>
        <v>3100</v>
      </c>
      <c r="I93" s="360">
        <f>I94</f>
        <v>1714</v>
      </c>
      <c r="J93" s="620">
        <f t="shared" si="14"/>
        <v>55.29032258064516</v>
      </c>
      <c r="K93" s="20"/>
      <c r="L93" s="338"/>
      <c r="M93" s="338"/>
      <c r="N93" s="635"/>
      <c r="O93" s="20"/>
      <c r="P93" s="755">
        <f t="shared" si="15"/>
        <v>3100</v>
      </c>
      <c r="Q93" s="767">
        <f t="shared" si="16"/>
        <v>1714</v>
      </c>
      <c r="R93" s="763">
        <f t="shared" si="17"/>
        <v>55.29032258064516</v>
      </c>
    </row>
    <row r="94" spans="2:18" ht="12.75">
      <c r="B94" s="177">
        <f t="shared" si="18"/>
        <v>8</v>
      </c>
      <c r="C94" s="137"/>
      <c r="D94" s="137"/>
      <c r="E94" s="138" t="s">
        <v>240</v>
      </c>
      <c r="F94" s="141">
        <v>637</v>
      </c>
      <c r="G94" s="199" t="s">
        <v>743</v>
      </c>
      <c r="H94" s="335">
        <v>3100</v>
      </c>
      <c r="I94" s="335">
        <v>1714</v>
      </c>
      <c r="J94" s="620">
        <f t="shared" si="14"/>
        <v>55.29032258064516</v>
      </c>
      <c r="K94" s="139"/>
      <c r="L94" s="335"/>
      <c r="M94" s="335"/>
      <c r="N94" s="635"/>
      <c r="O94" s="139"/>
      <c r="P94" s="759">
        <f t="shared" si="15"/>
        <v>3100</v>
      </c>
      <c r="Q94" s="771">
        <f t="shared" si="16"/>
        <v>1714</v>
      </c>
      <c r="R94" s="763">
        <f t="shared" si="17"/>
        <v>55.29032258064516</v>
      </c>
    </row>
    <row r="95" spans="2:18" ht="12.75">
      <c r="B95" s="177">
        <f t="shared" si="18"/>
        <v>9</v>
      </c>
      <c r="C95" s="77"/>
      <c r="D95" s="204" t="s">
        <v>5</v>
      </c>
      <c r="E95" s="211" t="s">
        <v>131</v>
      </c>
      <c r="F95" s="212"/>
      <c r="G95" s="213"/>
      <c r="H95" s="334">
        <f>H96+H97</f>
        <v>25100</v>
      </c>
      <c r="I95" s="334">
        <f>I96+I97</f>
        <v>10886</v>
      </c>
      <c r="J95" s="620">
        <f t="shared" si="14"/>
        <v>43.37051792828685</v>
      </c>
      <c r="K95" s="20"/>
      <c r="L95" s="362">
        <f>L98</f>
        <v>100</v>
      </c>
      <c r="M95" s="362">
        <f>M98</f>
        <v>5</v>
      </c>
      <c r="N95" s="635">
        <f>M95/L95*100</f>
        <v>5</v>
      </c>
      <c r="O95" s="20"/>
      <c r="P95" s="755">
        <f t="shared" si="15"/>
        <v>25200</v>
      </c>
      <c r="Q95" s="767">
        <f t="shared" si="16"/>
        <v>10891</v>
      </c>
      <c r="R95" s="763">
        <f t="shared" si="17"/>
        <v>43.21825396825397</v>
      </c>
    </row>
    <row r="96" spans="2:18" ht="12.75">
      <c r="B96" s="177">
        <f t="shared" si="18"/>
        <v>10</v>
      </c>
      <c r="C96" s="137"/>
      <c r="D96" s="137"/>
      <c r="E96" s="138" t="s">
        <v>240</v>
      </c>
      <c r="F96" s="141">
        <v>637</v>
      </c>
      <c r="G96" s="199" t="s">
        <v>713</v>
      </c>
      <c r="H96" s="335">
        <f>18690-3000</f>
        <v>15690</v>
      </c>
      <c r="I96" s="335">
        <v>6182</v>
      </c>
      <c r="J96" s="620">
        <f t="shared" si="14"/>
        <v>39.40089228808158</v>
      </c>
      <c r="K96" s="139"/>
      <c r="L96" s="335"/>
      <c r="M96" s="335"/>
      <c r="N96" s="635"/>
      <c r="O96" s="139"/>
      <c r="P96" s="759">
        <f t="shared" si="15"/>
        <v>15690</v>
      </c>
      <c r="Q96" s="771">
        <f t="shared" si="16"/>
        <v>6182</v>
      </c>
      <c r="R96" s="763">
        <f t="shared" si="17"/>
        <v>39.40089228808158</v>
      </c>
    </row>
    <row r="97" spans="2:18" ht="12.75">
      <c r="B97" s="177">
        <f t="shared" si="18"/>
        <v>11</v>
      </c>
      <c r="C97" s="137"/>
      <c r="D97" s="137"/>
      <c r="E97" s="138" t="s">
        <v>240</v>
      </c>
      <c r="F97" s="141">
        <v>636</v>
      </c>
      <c r="G97" s="199" t="s">
        <v>267</v>
      </c>
      <c r="H97" s="341">
        <v>9410</v>
      </c>
      <c r="I97" s="341">
        <v>4704</v>
      </c>
      <c r="J97" s="620"/>
      <c r="K97" s="139"/>
      <c r="L97" s="335"/>
      <c r="M97" s="335"/>
      <c r="N97" s="635"/>
      <c r="O97" s="139"/>
      <c r="P97" s="759">
        <f t="shared" si="15"/>
        <v>9410</v>
      </c>
      <c r="Q97" s="771">
        <f t="shared" si="16"/>
        <v>4704</v>
      </c>
      <c r="R97" s="763">
        <f t="shared" si="17"/>
        <v>49.9893730074389</v>
      </c>
    </row>
    <row r="98" spans="2:18" ht="12.75">
      <c r="B98" s="177">
        <f t="shared" si="18"/>
        <v>12</v>
      </c>
      <c r="C98" s="137"/>
      <c r="D98" s="137"/>
      <c r="E98" s="138" t="s">
        <v>240</v>
      </c>
      <c r="F98" s="143">
        <v>712</v>
      </c>
      <c r="G98" s="199" t="s">
        <v>574</v>
      </c>
      <c r="H98" s="341"/>
      <c r="I98" s="341"/>
      <c r="J98" s="620"/>
      <c r="K98" s="139"/>
      <c r="L98" s="335">
        <v>100</v>
      </c>
      <c r="M98" s="335">
        <v>5</v>
      </c>
      <c r="N98" s="635">
        <f>M98/L98*100</f>
        <v>5</v>
      </c>
      <c r="O98" s="139"/>
      <c r="P98" s="759">
        <f t="shared" si="15"/>
        <v>100</v>
      </c>
      <c r="Q98" s="771">
        <f t="shared" si="16"/>
        <v>5</v>
      </c>
      <c r="R98" s="763">
        <f t="shared" si="17"/>
        <v>5</v>
      </c>
    </row>
    <row r="99" spans="2:18" ht="12.75">
      <c r="B99" s="177">
        <f t="shared" si="18"/>
        <v>13</v>
      </c>
      <c r="C99" s="77"/>
      <c r="D99" s="204" t="s">
        <v>6</v>
      </c>
      <c r="E99" s="211" t="s">
        <v>132</v>
      </c>
      <c r="F99" s="212"/>
      <c r="G99" s="213"/>
      <c r="H99" s="469">
        <f>H100+H101</f>
        <v>84630</v>
      </c>
      <c r="I99" s="469">
        <f>I100+I101</f>
        <v>28973</v>
      </c>
      <c r="J99" s="620">
        <f>I99/H99*100</f>
        <v>34.23490488006617</v>
      </c>
      <c r="K99" s="20"/>
      <c r="L99" s="441">
        <f>L102</f>
        <v>96016</v>
      </c>
      <c r="M99" s="441">
        <f>M102</f>
        <v>3801</v>
      </c>
      <c r="N99" s="635">
        <f>M99/L99*100</f>
        <v>3.9587152141309785</v>
      </c>
      <c r="O99" s="20"/>
      <c r="P99" s="784">
        <f t="shared" si="15"/>
        <v>180646</v>
      </c>
      <c r="Q99" s="791">
        <f t="shared" si="16"/>
        <v>32774</v>
      </c>
      <c r="R99" s="763">
        <f t="shared" si="17"/>
        <v>18.142665766194657</v>
      </c>
    </row>
    <row r="100" spans="2:18" ht="12.75">
      <c r="B100" s="177">
        <f t="shared" si="18"/>
        <v>14</v>
      </c>
      <c r="C100" s="137"/>
      <c r="D100" s="137"/>
      <c r="E100" s="138" t="s">
        <v>240</v>
      </c>
      <c r="F100" s="166">
        <v>637</v>
      </c>
      <c r="G100" s="199" t="s">
        <v>528</v>
      </c>
      <c r="H100" s="335">
        <f>13560-4000</f>
        <v>9560</v>
      </c>
      <c r="I100" s="335">
        <v>4031</v>
      </c>
      <c r="J100" s="620">
        <f>I100/H100*100</f>
        <v>42.16527196652719</v>
      </c>
      <c r="K100" s="139"/>
      <c r="L100" s="335"/>
      <c r="M100" s="335"/>
      <c r="N100" s="635"/>
      <c r="O100" s="139"/>
      <c r="P100" s="759">
        <f t="shared" si="15"/>
        <v>9560</v>
      </c>
      <c r="Q100" s="771">
        <f t="shared" si="16"/>
        <v>4031</v>
      </c>
      <c r="R100" s="763">
        <f t="shared" si="17"/>
        <v>42.16527196652719</v>
      </c>
    </row>
    <row r="101" spans="2:18" ht="12.75">
      <c r="B101" s="177">
        <f t="shared" si="18"/>
        <v>15</v>
      </c>
      <c r="C101" s="142"/>
      <c r="D101" s="142"/>
      <c r="E101" s="138" t="s">
        <v>240</v>
      </c>
      <c r="F101" s="167">
        <v>636</v>
      </c>
      <c r="G101" s="209" t="s">
        <v>267</v>
      </c>
      <c r="H101" s="335">
        <f>70240+4830</f>
        <v>75070</v>
      </c>
      <c r="I101" s="335">
        <v>24942</v>
      </c>
      <c r="J101" s="620">
        <f>I101/H101*100</f>
        <v>33.22499000932463</v>
      </c>
      <c r="K101" s="139"/>
      <c r="L101" s="335"/>
      <c r="M101" s="335"/>
      <c r="N101" s="635"/>
      <c r="O101" s="139"/>
      <c r="P101" s="759">
        <f t="shared" si="15"/>
        <v>75070</v>
      </c>
      <c r="Q101" s="771">
        <f t="shared" si="16"/>
        <v>24942</v>
      </c>
      <c r="R101" s="763">
        <f t="shared" si="17"/>
        <v>33.22499000932463</v>
      </c>
    </row>
    <row r="102" spans="2:18" ht="12.75">
      <c r="B102" s="177">
        <f t="shared" si="18"/>
        <v>16</v>
      </c>
      <c r="C102" s="137"/>
      <c r="D102" s="169"/>
      <c r="E102" s="138" t="s">
        <v>240</v>
      </c>
      <c r="F102" s="331">
        <v>711</v>
      </c>
      <c r="G102" s="332" t="s">
        <v>465</v>
      </c>
      <c r="H102" s="341"/>
      <c r="I102" s="341"/>
      <c r="J102" s="620"/>
      <c r="K102" s="139"/>
      <c r="L102" s="341">
        <f>100000+61476-50460-15000</f>
        <v>96016</v>
      </c>
      <c r="M102" s="341">
        <v>3801</v>
      </c>
      <c r="N102" s="635">
        <f>M102/L102*100</f>
        <v>3.9587152141309785</v>
      </c>
      <c r="O102" s="139"/>
      <c r="P102" s="759">
        <f t="shared" si="15"/>
        <v>96016</v>
      </c>
      <c r="Q102" s="771">
        <f t="shared" si="16"/>
        <v>3801</v>
      </c>
      <c r="R102" s="763">
        <f t="shared" si="17"/>
        <v>3.9587152141309785</v>
      </c>
    </row>
    <row r="103" spans="2:18" ht="15.75">
      <c r="B103" s="177">
        <f t="shared" si="18"/>
        <v>17</v>
      </c>
      <c r="C103" s="24">
        <v>3</v>
      </c>
      <c r="D103" s="134" t="s">
        <v>136</v>
      </c>
      <c r="E103" s="25"/>
      <c r="F103" s="25"/>
      <c r="G103" s="198"/>
      <c r="H103" s="372">
        <f>SUM(H104:H105)</f>
        <v>7200</v>
      </c>
      <c r="I103" s="372">
        <f>SUM(I104:I105)</f>
        <v>3383</v>
      </c>
      <c r="J103" s="620">
        <f>I103/H103*100</f>
        <v>46.986111111111114</v>
      </c>
      <c r="K103" s="90"/>
      <c r="L103" s="337">
        <v>0</v>
      </c>
      <c r="M103" s="337">
        <v>0</v>
      </c>
      <c r="N103" s="635"/>
      <c r="O103" s="90"/>
      <c r="P103" s="754">
        <f t="shared" si="15"/>
        <v>7200</v>
      </c>
      <c r="Q103" s="766">
        <f t="shared" si="16"/>
        <v>3383</v>
      </c>
      <c r="R103" s="763">
        <f t="shared" si="17"/>
        <v>46.986111111111114</v>
      </c>
    </row>
    <row r="104" spans="2:18" ht="12.75">
      <c r="B104" s="177">
        <f t="shared" si="18"/>
        <v>18</v>
      </c>
      <c r="C104" s="142"/>
      <c r="D104" s="142"/>
      <c r="E104" s="143" t="s">
        <v>240</v>
      </c>
      <c r="F104" s="143">
        <v>633</v>
      </c>
      <c r="G104" s="209" t="s">
        <v>653</v>
      </c>
      <c r="H104" s="339">
        <v>1400</v>
      </c>
      <c r="I104" s="339">
        <v>0</v>
      </c>
      <c r="J104" s="620">
        <f>I104/H104*100</f>
        <v>0</v>
      </c>
      <c r="K104" s="139"/>
      <c r="L104" s="339"/>
      <c r="M104" s="339"/>
      <c r="N104" s="635"/>
      <c r="O104" s="139"/>
      <c r="P104" s="756">
        <f t="shared" si="15"/>
        <v>1400</v>
      </c>
      <c r="Q104" s="768">
        <f t="shared" si="16"/>
        <v>0</v>
      </c>
      <c r="R104" s="763">
        <f t="shared" si="17"/>
        <v>0</v>
      </c>
    </row>
    <row r="105" spans="2:18" ht="12.75">
      <c r="B105" s="177">
        <f t="shared" si="18"/>
        <v>19</v>
      </c>
      <c r="C105" s="143"/>
      <c r="D105" s="142"/>
      <c r="E105" s="143" t="s">
        <v>240</v>
      </c>
      <c r="F105" s="143">
        <v>637</v>
      </c>
      <c r="G105" s="209" t="s">
        <v>252</v>
      </c>
      <c r="H105" s="339">
        <v>5800</v>
      </c>
      <c r="I105" s="339">
        <v>3383</v>
      </c>
      <c r="J105" s="620">
        <f>I105/H105*100</f>
        <v>58.327586206896555</v>
      </c>
      <c r="K105" s="139"/>
      <c r="L105" s="339"/>
      <c r="M105" s="339"/>
      <c r="N105" s="635"/>
      <c r="O105" s="139"/>
      <c r="P105" s="756">
        <f t="shared" si="15"/>
        <v>5800</v>
      </c>
      <c r="Q105" s="768">
        <f t="shared" si="16"/>
        <v>3383</v>
      </c>
      <c r="R105" s="763">
        <f t="shared" si="17"/>
        <v>58.327586206896555</v>
      </c>
    </row>
    <row r="106" spans="2:18" ht="15.75">
      <c r="B106" s="177">
        <f t="shared" si="18"/>
        <v>20</v>
      </c>
      <c r="C106" s="21">
        <v>4</v>
      </c>
      <c r="D106" s="133" t="s">
        <v>133</v>
      </c>
      <c r="E106" s="22"/>
      <c r="F106" s="22"/>
      <c r="G106" s="200"/>
      <c r="H106" s="371">
        <f>H107+H109</f>
        <v>251900</v>
      </c>
      <c r="I106" s="371">
        <f>I107+I109</f>
        <v>108011</v>
      </c>
      <c r="J106" s="620">
        <f>I106/H106*100</f>
        <v>42.87852322350139</v>
      </c>
      <c r="K106" s="247"/>
      <c r="L106" s="340">
        <f>L109+L121</f>
        <v>76500</v>
      </c>
      <c r="M106" s="340">
        <f>M109+M121</f>
        <v>33016</v>
      </c>
      <c r="N106" s="635">
        <f>M106/L106*100</f>
        <v>43.158169934640526</v>
      </c>
      <c r="O106" s="247"/>
      <c r="P106" s="757">
        <f t="shared" si="15"/>
        <v>328400</v>
      </c>
      <c r="Q106" s="769">
        <f t="shared" si="16"/>
        <v>141027</v>
      </c>
      <c r="R106" s="763">
        <f t="shared" si="17"/>
        <v>42.943666260657736</v>
      </c>
    </row>
    <row r="107" spans="2:18" ht="12.75">
      <c r="B107" s="177">
        <f t="shared" si="18"/>
        <v>21</v>
      </c>
      <c r="C107" s="137"/>
      <c r="D107" s="137"/>
      <c r="E107" s="141" t="s">
        <v>240</v>
      </c>
      <c r="F107" s="141">
        <v>635</v>
      </c>
      <c r="G107" s="199" t="s">
        <v>284</v>
      </c>
      <c r="H107" s="341">
        <v>8000</v>
      </c>
      <c r="I107" s="341">
        <v>0</v>
      </c>
      <c r="J107" s="620">
        <f>I107/H107*100</f>
        <v>0</v>
      </c>
      <c r="K107" s="139"/>
      <c r="L107" s="341"/>
      <c r="M107" s="341"/>
      <c r="N107" s="635"/>
      <c r="O107" s="139"/>
      <c r="P107" s="785">
        <f t="shared" si="15"/>
        <v>8000</v>
      </c>
      <c r="Q107" s="792">
        <f t="shared" si="16"/>
        <v>0</v>
      </c>
      <c r="R107" s="763">
        <f t="shared" si="17"/>
        <v>0</v>
      </c>
    </row>
    <row r="108" spans="2:18" ht="12.75">
      <c r="B108" s="177">
        <f t="shared" si="18"/>
        <v>22</v>
      </c>
      <c r="C108" s="137"/>
      <c r="D108" s="137"/>
      <c r="E108" s="141"/>
      <c r="F108" s="141"/>
      <c r="G108" s="199"/>
      <c r="H108" s="335"/>
      <c r="I108" s="335"/>
      <c r="J108" s="620"/>
      <c r="K108" s="139"/>
      <c r="L108" s="335"/>
      <c r="M108" s="335"/>
      <c r="N108" s="635"/>
      <c r="O108" s="139"/>
      <c r="P108" s="759"/>
      <c r="Q108" s="771"/>
      <c r="R108" s="763"/>
    </row>
    <row r="109" spans="2:18" ht="12.75">
      <c r="B109" s="177">
        <f t="shared" si="18"/>
        <v>23</v>
      </c>
      <c r="C109" s="137"/>
      <c r="D109" s="137"/>
      <c r="E109" s="165" t="s">
        <v>263</v>
      </c>
      <c r="F109" s="165"/>
      <c r="G109" s="229" t="s">
        <v>473</v>
      </c>
      <c r="H109" s="345">
        <f>H110+H111+H112+H119</f>
        <v>243900</v>
      </c>
      <c r="I109" s="345">
        <f>I110+I111+I112+I119</f>
        <v>108011</v>
      </c>
      <c r="J109" s="620">
        <f aca="true" t="shared" si="19" ref="J109:J119">I109/H109*100</f>
        <v>44.284952849528494</v>
      </c>
      <c r="K109" s="139"/>
      <c r="L109" s="335"/>
      <c r="M109" s="335"/>
      <c r="N109" s="635"/>
      <c r="O109" s="139"/>
      <c r="P109" s="786">
        <f aca="true" t="shared" si="20" ref="P109:P119">H109+L109</f>
        <v>243900</v>
      </c>
      <c r="Q109" s="793">
        <f aca="true" t="shared" si="21" ref="Q109:Q119">I109+M109</f>
        <v>108011</v>
      </c>
      <c r="R109" s="763">
        <f aca="true" t="shared" si="22" ref="R109:R119">Q109/P109*100</f>
        <v>44.284952849528494</v>
      </c>
    </row>
    <row r="110" spans="2:18" ht="12.75">
      <c r="B110" s="177">
        <f t="shared" si="18"/>
        <v>24</v>
      </c>
      <c r="C110" s="153"/>
      <c r="D110" s="153"/>
      <c r="E110" s="141"/>
      <c r="F110" s="160">
        <v>610</v>
      </c>
      <c r="G110" s="206" t="s">
        <v>262</v>
      </c>
      <c r="H110" s="346">
        <v>63000</v>
      </c>
      <c r="I110" s="346">
        <v>31432</v>
      </c>
      <c r="J110" s="620">
        <f t="shared" si="19"/>
        <v>49.89206349206349</v>
      </c>
      <c r="K110" s="156"/>
      <c r="L110" s="346"/>
      <c r="M110" s="346"/>
      <c r="N110" s="635"/>
      <c r="O110" s="156"/>
      <c r="P110" s="786">
        <f t="shared" si="20"/>
        <v>63000</v>
      </c>
      <c r="Q110" s="793">
        <f t="shared" si="21"/>
        <v>31432</v>
      </c>
      <c r="R110" s="763">
        <f t="shared" si="22"/>
        <v>49.89206349206349</v>
      </c>
    </row>
    <row r="111" spans="2:18" ht="12.75">
      <c r="B111" s="177">
        <f t="shared" si="18"/>
        <v>25</v>
      </c>
      <c r="C111" s="137"/>
      <c r="D111" s="137"/>
      <c r="E111" s="141"/>
      <c r="F111" s="160">
        <v>620</v>
      </c>
      <c r="G111" s="206" t="s">
        <v>264</v>
      </c>
      <c r="H111" s="346">
        <v>23750</v>
      </c>
      <c r="I111" s="346">
        <v>11778</v>
      </c>
      <c r="J111" s="620">
        <f t="shared" si="19"/>
        <v>49.59157894736842</v>
      </c>
      <c r="K111" s="139"/>
      <c r="L111" s="335"/>
      <c r="M111" s="335"/>
      <c r="N111" s="635"/>
      <c r="O111" s="139"/>
      <c r="P111" s="786">
        <f t="shared" si="20"/>
        <v>23750</v>
      </c>
      <c r="Q111" s="793">
        <f t="shared" si="21"/>
        <v>11778</v>
      </c>
      <c r="R111" s="763">
        <f t="shared" si="22"/>
        <v>49.59157894736842</v>
      </c>
    </row>
    <row r="112" spans="2:18" ht="12.75">
      <c r="B112" s="177">
        <f t="shared" si="18"/>
        <v>26</v>
      </c>
      <c r="C112" s="137"/>
      <c r="D112" s="137"/>
      <c r="E112" s="141"/>
      <c r="F112" s="160">
        <v>630</v>
      </c>
      <c r="G112" s="206" t="s">
        <v>254</v>
      </c>
      <c r="H112" s="346">
        <f>SUM(H113:H118)</f>
        <v>156950</v>
      </c>
      <c r="I112" s="346">
        <f>SUM(I113:I118)</f>
        <v>64784</v>
      </c>
      <c r="J112" s="620">
        <f t="shared" si="19"/>
        <v>41.27683975788467</v>
      </c>
      <c r="K112" s="139"/>
      <c r="L112" s="335"/>
      <c r="M112" s="335"/>
      <c r="N112" s="635"/>
      <c r="O112" s="139"/>
      <c r="P112" s="786">
        <f t="shared" si="20"/>
        <v>156950</v>
      </c>
      <c r="Q112" s="793">
        <f t="shared" si="21"/>
        <v>64784</v>
      </c>
      <c r="R112" s="763">
        <f t="shared" si="22"/>
        <v>41.27683975788467</v>
      </c>
    </row>
    <row r="113" spans="2:18" ht="12.75">
      <c r="B113" s="177">
        <f t="shared" si="18"/>
        <v>27</v>
      </c>
      <c r="C113" s="137"/>
      <c r="D113" s="137"/>
      <c r="E113" s="141"/>
      <c r="F113" s="141">
        <v>632</v>
      </c>
      <c r="G113" s="199" t="s">
        <v>250</v>
      </c>
      <c r="H113" s="335">
        <f>107800-10000</f>
        <v>97800</v>
      </c>
      <c r="I113" s="335">
        <v>44412</v>
      </c>
      <c r="J113" s="620">
        <f t="shared" si="19"/>
        <v>45.41104294478527</v>
      </c>
      <c r="K113" s="139"/>
      <c r="L113" s="335"/>
      <c r="M113" s="335"/>
      <c r="N113" s="635"/>
      <c r="O113" s="139"/>
      <c r="P113" s="759">
        <f t="shared" si="20"/>
        <v>97800</v>
      </c>
      <c r="Q113" s="771">
        <f t="shared" si="21"/>
        <v>44412</v>
      </c>
      <c r="R113" s="763">
        <f t="shared" si="22"/>
        <v>45.41104294478527</v>
      </c>
    </row>
    <row r="114" spans="2:18" ht="12.75">
      <c r="B114" s="177">
        <f t="shared" si="18"/>
        <v>28</v>
      </c>
      <c r="C114" s="137"/>
      <c r="D114" s="137"/>
      <c r="E114" s="141"/>
      <c r="F114" s="141">
        <v>633</v>
      </c>
      <c r="G114" s="199" t="s">
        <v>251</v>
      </c>
      <c r="H114" s="335">
        <v>4550</v>
      </c>
      <c r="I114" s="335">
        <v>1383</v>
      </c>
      <c r="J114" s="620">
        <f t="shared" si="19"/>
        <v>30.395604395604398</v>
      </c>
      <c r="K114" s="139"/>
      <c r="L114" s="335"/>
      <c r="M114" s="335"/>
      <c r="N114" s="635"/>
      <c r="O114" s="139"/>
      <c r="P114" s="759">
        <f t="shared" si="20"/>
        <v>4550</v>
      </c>
      <c r="Q114" s="771">
        <f t="shared" si="21"/>
        <v>1383</v>
      </c>
      <c r="R114" s="763">
        <f t="shared" si="22"/>
        <v>30.395604395604398</v>
      </c>
    </row>
    <row r="115" spans="2:18" ht="12.75">
      <c r="B115" s="177">
        <f t="shared" si="18"/>
        <v>29</v>
      </c>
      <c r="C115" s="137"/>
      <c r="D115" s="137"/>
      <c r="E115" s="141"/>
      <c r="F115" s="141">
        <v>634</v>
      </c>
      <c r="G115" s="199" t="s">
        <v>265</v>
      </c>
      <c r="H115" s="335">
        <v>4250</v>
      </c>
      <c r="I115" s="335">
        <v>1190</v>
      </c>
      <c r="J115" s="620">
        <f t="shared" si="19"/>
        <v>28.000000000000004</v>
      </c>
      <c r="K115" s="139"/>
      <c r="L115" s="335"/>
      <c r="M115" s="335"/>
      <c r="N115" s="635"/>
      <c r="O115" s="139"/>
      <c r="P115" s="759">
        <f t="shared" si="20"/>
        <v>4250</v>
      </c>
      <c r="Q115" s="771">
        <f t="shared" si="21"/>
        <v>1190</v>
      </c>
      <c r="R115" s="763">
        <f t="shared" si="22"/>
        <v>28.000000000000004</v>
      </c>
    </row>
    <row r="116" spans="2:18" ht="12.75">
      <c r="B116" s="177">
        <f t="shared" si="18"/>
        <v>30</v>
      </c>
      <c r="C116" s="137"/>
      <c r="D116" s="137"/>
      <c r="E116" s="141"/>
      <c r="F116" s="141">
        <v>636</v>
      </c>
      <c r="G116" s="199" t="s">
        <v>366</v>
      </c>
      <c r="H116" s="335">
        <v>50</v>
      </c>
      <c r="I116" s="335">
        <v>0</v>
      </c>
      <c r="J116" s="620">
        <f t="shared" si="19"/>
        <v>0</v>
      </c>
      <c r="K116" s="139"/>
      <c r="L116" s="335"/>
      <c r="M116" s="335"/>
      <c r="N116" s="635"/>
      <c r="O116" s="139"/>
      <c r="P116" s="759">
        <f t="shared" si="20"/>
        <v>50</v>
      </c>
      <c r="Q116" s="771">
        <f t="shared" si="21"/>
        <v>0</v>
      </c>
      <c r="R116" s="763">
        <f t="shared" si="22"/>
        <v>0</v>
      </c>
    </row>
    <row r="117" spans="2:18" ht="12.75">
      <c r="B117" s="177">
        <f t="shared" si="18"/>
        <v>31</v>
      </c>
      <c r="C117" s="137"/>
      <c r="D117" s="137"/>
      <c r="E117" s="141"/>
      <c r="F117" s="141">
        <v>635</v>
      </c>
      <c r="G117" s="199" t="s">
        <v>266</v>
      </c>
      <c r="H117" s="335">
        <v>35000</v>
      </c>
      <c r="I117" s="335">
        <v>11619</v>
      </c>
      <c r="J117" s="620">
        <f t="shared" si="19"/>
        <v>33.19714285714286</v>
      </c>
      <c r="K117" s="139"/>
      <c r="L117" s="335"/>
      <c r="M117" s="335"/>
      <c r="N117" s="635"/>
      <c r="O117" s="139"/>
      <c r="P117" s="759">
        <f t="shared" si="20"/>
        <v>35000</v>
      </c>
      <c r="Q117" s="771">
        <f t="shared" si="21"/>
        <v>11619</v>
      </c>
      <c r="R117" s="763">
        <f t="shared" si="22"/>
        <v>33.19714285714286</v>
      </c>
    </row>
    <row r="118" spans="2:18" ht="12.75">
      <c r="B118" s="177">
        <f t="shared" si="18"/>
        <v>32</v>
      </c>
      <c r="C118" s="137"/>
      <c r="D118" s="137"/>
      <c r="E118" s="141"/>
      <c r="F118" s="141">
        <v>637</v>
      </c>
      <c r="G118" s="199" t="s">
        <v>252</v>
      </c>
      <c r="H118" s="335">
        <v>15300</v>
      </c>
      <c r="I118" s="335">
        <v>6180</v>
      </c>
      <c r="J118" s="620">
        <f t="shared" si="19"/>
        <v>40.3921568627451</v>
      </c>
      <c r="K118" s="139"/>
      <c r="L118" s="335"/>
      <c r="M118" s="335"/>
      <c r="N118" s="635"/>
      <c r="O118" s="139"/>
      <c r="P118" s="759">
        <f t="shared" si="20"/>
        <v>15300</v>
      </c>
      <c r="Q118" s="771">
        <f t="shared" si="21"/>
        <v>6180</v>
      </c>
      <c r="R118" s="763">
        <f t="shared" si="22"/>
        <v>40.3921568627451</v>
      </c>
    </row>
    <row r="119" spans="2:18" ht="12.75">
      <c r="B119" s="177">
        <f t="shared" si="18"/>
        <v>33</v>
      </c>
      <c r="C119" s="137"/>
      <c r="D119" s="169"/>
      <c r="E119" s="141"/>
      <c r="F119" s="163">
        <v>640</v>
      </c>
      <c r="G119" s="206" t="s">
        <v>273</v>
      </c>
      <c r="H119" s="398">
        <v>200</v>
      </c>
      <c r="I119" s="398">
        <v>17</v>
      </c>
      <c r="J119" s="620">
        <f t="shared" si="19"/>
        <v>8.5</v>
      </c>
      <c r="K119" s="139"/>
      <c r="L119" s="341"/>
      <c r="M119" s="341"/>
      <c r="N119" s="635"/>
      <c r="O119" s="139"/>
      <c r="P119" s="786">
        <f t="shared" si="20"/>
        <v>200</v>
      </c>
      <c r="Q119" s="793">
        <f t="shared" si="21"/>
        <v>17</v>
      </c>
      <c r="R119" s="763">
        <f t="shared" si="22"/>
        <v>8.5</v>
      </c>
    </row>
    <row r="120" spans="2:18" ht="12.75">
      <c r="B120" s="177">
        <f aca="true" t="shared" si="23" ref="B120:B146">B119+1</f>
        <v>34</v>
      </c>
      <c r="C120" s="137"/>
      <c r="D120" s="169"/>
      <c r="E120" s="141"/>
      <c r="F120" s="160"/>
      <c r="G120" s="206"/>
      <c r="H120" s="341"/>
      <c r="I120" s="341"/>
      <c r="J120" s="620"/>
      <c r="K120" s="139"/>
      <c r="L120" s="341"/>
      <c r="M120" s="341"/>
      <c r="N120" s="635"/>
      <c r="O120" s="139"/>
      <c r="P120" s="759"/>
      <c r="Q120" s="771"/>
      <c r="R120" s="763"/>
    </row>
    <row r="121" spans="2:18" ht="12.75">
      <c r="B121" s="177">
        <f t="shared" si="23"/>
        <v>35</v>
      </c>
      <c r="C121" s="137"/>
      <c r="D121" s="169"/>
      <c r="E121" s="143"/>
      <c r="F121" s="143">
        <v>717</v>
      </c>
      <c r="G121" s="199" t="s">
        <v>603</v>
      </c>
      <c r="H121" s="341"/>
      <c r="I121" s="341"/>
      <c r="J121" s="620"/>
      <c r="K121" s="139"/>
      <c r="L121" s="341">
        <v>76500</v>
      </c>
      <c r="M121" s="341">
        <v>33016</v>
      </c>
      <c r="N121" s="635">
        <f>M121/L121*100</f>
        <v>43.158169934640526</v>
      </c>
      <c r="O121" s="139"/>
      <c r="P121" s="759">
        <f aca="true" t="shared" si="24" ref="P121:P139">H121+L121</f>
        <v>76500</v>
      </c>
      <c r="Q121" s="771">
        <f aca="true" t="shared" si="25" ref="Q121:Q139">I121+M121</f>
        <v>33016</v>
      </c>
      <c r="R121" s="763">
        <f aca="true" t="shared" si="26" ref="R121:R139">Q121/P121*100</f>
        <v>43.158169934640526</v>
      </c>
    </row>
    <row r="122" spans="2:18" ht="15.75">
      <c r="B122" s="177">
        <f t="shared" si="23"/>
        <v>36</v>
      </c>
      <c r="C122" s="24">
        <v>5</v>
      </c>
      <c r="D122" s="134" t="s">
        <v>210</v>
      </c>
      <c r="E122" s="25"/>
      <c r="F122" s="25"/>
      <c r="G122" s="198"/>
      <c r="H122" s="369">
        <f>H123+H124+H125+H130+H131</f>
        <v>2748881</v>
      </c>
      <c r="I122" s="369">
        <f>I123+I124+I125+I130+I131</f>
        <v>1342402</v>
      </c>
      <c r="J122" s="620">
        <f aca="true" t="shared" si="27" ref="J122:J139">I122/H122*100</f>
        <v>48.8344893794966</v>
      </c>
      <c r="K122" s="90"/>
      <c r="L122" s="337">
        <v>0</v>
      </c>
      <c r="M122" s="337">
        <v>0</v>
      </c>
      <c r="N122" s="635"/>
      <c r="O122" s="90"/>
      <c r="P122" s="754">
        <f t="shared" si="24"/>
        <v>2748881</v>
      </c>
      <c r="Q122" s="766">
        <f t="shared" si="25"/>
        <v>1342402</v>
      </c>
      <c r="R122" s="763">
        <f t="shared" si="26"/>
        <v>48.8344893794966</v>
      </c>
    </row>
    <row r="123" spans="2:18" ht="12.75">
      <c r="B123" s="177">
        <f t="shared" si="23"/>
        <v>37</v>
      </c>
      <c r="C123" s="142"/>
      <c r="D123" s="142"/>
      <c r="E123" s="141" t="s">
        <v>240</v>
      </c>
      <c r="F123" s="160">
        <v>610</v>
      </c>
      <c r="G123" s="206" t="s">
        <v>262</v>
      </c>
      <c r="H123" s="346">
        <f>1370000-70000+70000-70000+70000</f>
        <v>1370000</v>
      </c>
      <c r="I123" s="346">
        <v>673797</v>
      </c>
      <c r="J123" s="620">
        <f t="shared" si="27"/>
        <v>49.18226277372263</v>
      </c>
      <c r="K123" s="139"/>
      <c r="L123" s="335"/>
      <c r="M123" s="335"/>
      <c r="N123" s="635"/>
      <c r="O123" s="139"/>
      <c r="P123" s="786">
        <f t="shared" si="24"/>
        <v>1370000</v>
      </c>
      <c r="Q123" s="793">
        <f t="shared" si="25"/>
        <v>673797</v>
      </c>
      <c r="R123" s="763">
        <f t="shared" si="26"/>
        <v>49.18226277372263</v>
      </c>
    </row>
    <row r="124" spans="2:18" ht="12.75">
      <c r="B124" s="177">
        <f t="shared" si="23"/>
        <v>38</v>
      </c>
      <c r="C124" s="137"/>
      <c r="D124" s="137"/>
      <c r="E124" s="141" t="s">
        <v>240</v>
      </c>
      <c r="F124" s="160">
        <v>620</v>
      </c>
      <c r="G124" s="206" t="s">
        <v>264</v>
      </c>
      <c r="H124" s="346">
        <f>560000-24000</f>
        <v>536000</v>
      </c>
      <c r="I124" s="346">
        <v>260819</v>
      </c>
      <c r="J124" s="620">
        <f t="shared" si="27"/>
        <v>48.66026119402985</v>
      </c>
      <c r="K124" s="139"/>
      <c r="L124" s="335"/>
      <c r="M124" s="335"/>
      <c r="N124" s="635"/>
      <c r="O124" s="139"/>
      <c r="P124" s="786">
        <f t="shared" si="24"/>
        <v>536000</v>
      </c>
      <c r="Q124" s="793">
        <f t="shared" si="25"/>
        <v>260819</v>
      </c>
      <c r="R124" s="763">
        <f t="shared" si="26"/>
        <v>48.66026119402985</v>
      </c>
    </row>
    <row r="125" spans="2:18" ht="12.75">
      <c r="B125" s="177">
        <f t="shared" si="23"/>
        <v>39</v>
      </c>
      <c r="C125" s="137"/>
      <c r="D125" s="137"/>
      <c r="E125" s="141" t="s">
        <v>240</v>
      </c>
      <c r="F125" s="160">
        <v>630</v>
      </c>
      <c r="G125" s="206" t="s">
        <v>239</v>
      </c>
      <c r="H125" s="346">
        <f>H126+H127+H128+H129</f>
        <v>425300</v>
      </c>
      <c r="I125" s="346">
        <f>I126+I127+I128+I129</f>
        <v>249033</v>
      </c>
      <c r="J125" s="620">
        <f t="shared" si="27"/>
        <v>58.55466729367505</v>
      </c>
      <c r="K125" s="139"/>
      <c r="L125" s="335"/>
      <c r="M125" s="335"/>
      <c r="N125" s="635"/>
      <c r="O125" s="139"/>
      <c r="P125" s="786">
        <f t="shared" si="24"/>
        <v>425300</v>
      </c>
      <c r="Q125" s="793">
        <f t="shared" si="25"/>
        <v>249033</v>
      </c>
      <c r="R125" s="763">
        <f t="shared" si="26"/>
        <v>58.55466729367505</v>
      </c>
    </row>
    <row r="126" spans="2:18" ht="12.75">
      <c r="B126" s="177">
        <f t="shared" si="23"/>
        <v>40</v>
      </c>
      <c r="C126" s="137"/>
      <c r="D126" s="137"/>
      <c r="E126" s="141"/>
      <c r="F126" s="141">
        <v>632</v>
      </c>
      <c r="G126" s="199" t="s">
        <v>250</v>
      </c>
      <c r="H126" s="335">
        <f>170000-10000+10000-10000</f>
        <v>160000</v>
      </c>
      <c r="I126" s="335">
        <v>88175</v>
      </c>
      <c r="J126" s="620">
        <f t="shared" si="27"/>
        <v>55.10937500000001</v>
      </c>
      <c r="K126" s="139"/>
      <c r="L126" s="335"/>
      <c r="M126" s="335"/>
      <c r="N126" s="635"/>
      <c r="O126" s="139"/>
      <c r="P126" s="759">
        <f t="shared" si="24"/>
        <v>160000</v>
      </c>
      <c r="Q126" s="771">
        <f t="shared" si="25"/>
        <v>88175</v>
      </c>
      <c r="R126" s="763">
        <f t="shared" si="26"/>
        <v>55.10937500000001</v>
      </c>
    </row>
    <row r="127" spans="2:18" ht="12.75">
      <c r="B127" s="177">
        <f t="shared" si="23"/>
        <v>41</v>
      </c>
      <c r="C127" s="137"/>
      <c r="D127" s="137"/>
      <c r="E127" s="141"/>
      <c r="F127" s="141">
        <v>633</v>
      </c>
      <c r="G127" s="199" t="s">
        <v>251</v>
      </c>
      <c r="H127" s="335">
        <v>35000</v>
      </c>
      <c r="I127" s="335">
        <v>21410</v>
      </c>
      <c r="J127" s="620">
        <f t="shared" si="27"/>
        <v>61.17142857142858</v>
      </c>
      <c r="K127" s="139"/>
      <c r="L127" s="335"/>
      <c r="M127" s="335"/>
      <c r="N127" s="635"/>
      <c r="O127" s="139"/>
      <c r="P127" s="759">
        <f t="shared" si="24"/>
        <v>35000</v>
      </c>
      <c r="Q127" s="771">
        <f t="shared" si="25"/>
        <v>21410</v>
      </c>
      <c r="R127" s="763">
        <f t="shared" si="26"/>
        <v>61.17142857142858</v>
      </c>
    </row>
    <row r="128" spans="2:18" ht="12.75">
      <c r="B128" s="177">
        <f t="shared" si="23"/>
        <v>42</v>
      </c>
      <c r="C128" s="137"/>
      <c r="D128" s="137"/>
      <c r="E128" s="141"/>
      <c r="F128" s="141">
        <v>635</v>
      </c>
      <c r="G128" s="199" t="s">
        <v>266</v>
      </c>
      <c r="H128" s="335">
        <f>18000+1300</f>
        <v>19300</v>
      </c>
      <c r="I128" s="335">
        <v>13465</v>
      </c>
      <c r="J128" s="620">
        <f t="shared" si="27"/>
        <v>69.76683937823834</v>
      </c>
      <c r="K128" s="139"/>
      <c r="L128" s="335"/>
      <c r="M128" s="335"/>
      <c r="N128" s="635"/>
      <c r="O128" s="139"/>
      <c r="P128" s="759">
        <f t="shared" si="24"/>
        <v>19300</v>
      </c>
      <c r="Q128" s="771">
        <f t="shared" si="25"/>
        <v>13465</v>
      </c>
      <c r="R128" s="763">
        <f t="shared" si="26"/>
        <v>69.76683937823834</v>
      </c>
    </row>
    <row r="129" spans="2:18" ht="12.75">
      <c r="B129" s="177">
        <f t="shared" si="23"/>
        <v>43</v>
      </c>
      <c r="C129" s="137"/>
      <c r="D129" s="137"/>
      <c r="E129" s="141"/>
      <c r="F129" s="141">
        <v>637</v>
      </c>
      <c r="G129" s="199" t="s">
        <v>252</v>
      </c>
      <c r="H129" s="335">
        <f>220000-30000+21000</f>
        <v>211000</v>
      </c>
      <c r="I129" s="335">
        <v>125983</v>
      </c>
      <c r="J129" s="620">
        <f t="shared" si="27"/>
        <v>59.707582938388626</v>
      </c>
      <c r="K129" s="139"/>
      <c r="L129" s="335"/>
      <c r="M129" s="335"/>
      <c r="N129" s="635"/>
      <c r="O129" s="139"/>
      <c r="P129" s="759">
        <f t="shared" si="24"/>
        <v>211000</v>
      </c>
      <c r="Q129" s="771">
        <f t="shared" si="25"/>
        <v>125983</v>
      </c>
      <c r="R129" s="763">
        <f t="shared" si="26"/>
        <v>59.707582938388626</v>
      </c>
    </row>
    <row r="130" spans="2:18" ht="12.75">
      <c r="B130" s="177">
        <f t="shared" si="23"/>
        <v>44</v>
      </c>
      <c r="C130" s="137"/>
      <c r="D130" s="137"/>
      <c r="E130" s="141" t="s">
        <v>240</v>
      </c>
      <c r="F130" s="163">
        <v>640</v>
      </c>
      <c r="G130" s="206" t="s">
        <v>318</v>
      </c>
      <c r="H130" s="346">
        <f>60000-40000+60000-60000</f>
        <v>20000</v>
      </c>
      <c r="I130" s="346">
        <v>5968</v>
      </c>
      <c r="J130" s="620">
        <f t="shared" si="27"/>
        <v>29.84</v>
      </c>
      <c r="K130" s="139"/>
      <c r="L130" s="335"/>
      <c r="M130" s="335"/>
      <c r="N130" s="635"/>
      <c r="O130" s="139"/>
      <c r="P130" s="786">
        <f t="shared" si="24"/>
        <v>20000</v>
      </c>
      <c r="Q130" s="793">
        <f t="shared" si="25"/>
        <v>5968</v>
      </c>
      <c r="R130" s="763">
        <f t="shared" si="26"/>
        <v>29.84</v>
      </c>
    </row>
    <row r="131" spans="2:18" ht="12.75">
      <c r="B131" s="177">
        <f t="shared" si="23"/>
        <v>45</v>
      </c>
      <c r="C131" s="137"/>
      <c r="D131" s="137"/>
      <c r="E131" s="141" t="s">
        <v>608</v>
      </c>
      <c r="F131" s="160">
        <v>650</v>
      </c>
      <c r="G131" s="206" t="s">
        <v>607</v>
      </c>
      <c r="H131" s="346">
        <f>404050-2000-3169-1300</f>
        <v>397581</v>
      </c>
      <c r="I131" s="346">
        <v>152785</v>
      </c>
      <c r="J131" s="620">
        <f t="shared" si="27"/>
        <v>38.42864724420936</v>
      </c>
      <c r="K131" s="139"/>
      <c r="L131" s="335"/>
      <c r="M131" s="335"/>
      <c r="N131" s="635"/>
      <c r="O131" s="139"/>
      <c r="P131" s="786">
        <f t="shared" si="24"/>
        <v>397581</v>
      </c>
      <c r="Q131" s="793">
        <f t="shared" si="25"/>
        <v>152785</v>
      </c>
      <c r="R131" s="763">
        <f t="shared" si="26"/>
        <v>38.42864724420936</v>
      </c>
    </row>
    <row r="132" spans="2:18" ht="15.75">
      <c r="B132" s="177">
        <f t="shared" si="23"/>
        <v>46</v>
      </c>
      <c r="C132" s="24">
        <v>6</v>
      </c>
      <c r="D132" s="134" t="s">
        <v>241</v>
      </c>
      <c r="E132" s="25"/>
      <c r="F132" s="25"/>
      <c r="G132" s="198"/>
      <c r="H132" s="372">
        <f>SUM(H133:H134)</f>
        <v>7000</v>
      </c>
      <c r="I132" s="372">
        <f>SUM(I133:I134)</f>
        <v>2879</v>
      </c>
      <c r="J132" s="620">
        <f t="shared" si="27"/>
        <v>41.12857142857143</v>
      </c>
      <c r="K132" s="90"/>
      <c r="L132" s="337">
        <v>0</v>
      </c>
      <c r="M132" s="337">
        <v>0</v>
      </c>
      <c r="N132" s="635"/>
      <c r="O132" s="90"/>
      <c r="P132" s="754">
        <f t="shared" si="24"/>
        <v>7000</v>
      </c>
      <c r="Q132" s="766">
        <f t="shared" si="25"/>
        <v>2879</v>
      </c>
      <c r="R132" s="763">
        <f t="shared" si="26"/>
        <v>41.12857142857143</v>
      </c>
    </row>
    <row r="133" spans="2:18" ht="12.75">
      <c r="B133" s="177">
        <f t="shared" si="23"/>
        <v>47</v>
      </c>
      <c r="C133" s="142"/>
      <c r="D133" s="142"/>
      <c r="E133" s="143" t="s">
        <v>240</v>
      </c>
      <c r="F133" s="143">
        <v>631</v>
      </c>
      <c r="G133" s="209" t="s">
        <v>519</v>
      </c>
      <c r="H133" s="335">
        <v>2500</v>
      </c>
      <c r="I133" s="335">
        <v>1010</v>
      </c>
      <c r="J133" s="620">
        <f t="shared" si="27"/>
        <v>40.400000000000006</v>
      </c>
      <c r="K133" s="139"/>
      <c r="L133" s="335"/>
      <c r="M133" s="335"/>
      <c r="N133" s="635"/>
      <c r="O133" s="139"/>
      <c r="P133" s="759">
        <f t="shared" si="24"/>
        <v>2500</v>
      </c>
      <c r="Q133" s="771">
        <f t="shared" si="25"/>
        <v>1010</v>
      </c>
      <c r="R133" s="763">
        <f t="shared" si="26"/>
        <v>40.400000000000006</v>
      </c>
    </row>
    <row r="134" spans="2:18" ht="12.75">
      <c r="B134" s="177">
        <f t="shared" si="23"/>
        <v>48</v>
      </c>
      <c r="C134" s="137"/>
      <c r="D134" s="137"/>
      <c r="E134" s="143" t="s">
        <v>448</v>
      </c>
      <c r="F134" s="141">
        <v>637</v>
      </c>
      <c r="G134" s="199" t="s">
        <v>520</v>
      </c>
      <c r="H134" s="335">
        <v>4500</v>
      </c>
      <c r="I134" s="335">
        <v>1869</v>
      </c>
      <c r="J134" s="620">
        <f t="shared" si="27"/>
        <v>41.53333333333333</v>
      </c>
      <c r="K134" s="159"/>
      <c r="L134" s="335"/>
      <c r="M134" s="335"/>
      <c r="N134" s="635"/>
      <c r="O134" s="159"/>
      <c r="P134" s="759">
        <f t="shared" si="24"/>
        <v>4500</v>
      </c>
      <c r="Q134" s="771">
        <f t="shared" si="25"/>
        <v>1869</v>
      </c>
      <c r="R134" s="763">
        <f t="shared" si="26"/>
        <v>41.53333333333333</v>
      </c>
    </row>
    <row r="135" spans="2:18" ht="15.75">
      <c r="B135" s="177">
        <f t="shared" si="23"/>
        <v>49</v>
      </c>
      <c r="C135" s="24">
        <v>7</v>
      </c>
      <c r="D135" s="134" t="s">
        <v>134</v>
      </c>
      <c r="E135" s="25"/>
      <c r="F135" s="25"/>
      <c r="G135" s="198"/>
      <c r="H135" s="372">
        <f>H136+H137+H138+H139</f>
        <v>80000</v>
      </c>
      <c r="I135" s="372">
        <f>I136+I137+I138+I139</f>
        <v>35961</v>
      </c>
      <c r="J135" s="620">
        <f t="shared" si="27"/>
        <v>44.95125</v>
      </c>
      <c r="K135" s="90"/>
      <c r="L135" s="337">
        <f>SUM(L136:L142)</f>
        <v>55950</v>
      </c>
      <c r="M135" s="337">
        <f>SUM(M136:M142)</f>
        <v>0</v>
      </c>
      <c r="N135" s="635"/>
      <c r="O135" s="90"/>
      <c r="P135" s="754">
        <f t="shared" si="24"/>
        <v>135950</v>
      </c>
      <c r="Q135" s="766">
        <f t="shared" si="25"/>
        <v>35961</v>
      </c>
      <c r="R135" s="763">
        <f t="shared" si="26"/>
        <v>26.45163663111438</v>
      </c>
    </row>
    <row r="136" spans="2:18" ht="12.75">
      <c r="B136" s="177">
        <f t="shared" si="23"/>
        <v>50</v>
      </c>
      <c r="C136" s="137"/>
      <c r="D136" s="137"/>
      <c r="E136" s="141" t="s">
        <v>240</v>
      </c>
      <c r="F136" s="141">
        <v>632</v>
      </c>
      <c r="G136" s="199" t="s">
        <v>521</v>
      </c>
      <c r="H136" s="335">
        <v>4700</v>
      </c>
      <c r="I136" s="335">
        <v>1567</v>
      </c>
      <c r="J136" s="620">
        <f t="shared" si="27"/>
        <v>33.34042553191489</v>
      </c>
      <c r="K136" s="139"/>
      <c r="L136" s="335"/>
      <c r="M136" s="335"/>
      <c r="N136" s="635"/>
      <c r="O136" s="139"/>
      <c r="P136" s="759">
        <f t="shared" si="24"/>
        <v>4700</v>
      </c>
      <c r="Q136" s="771">
        <f t="shared" si="25"/>
        <v>1567</v>
      </c>
      <c r="R136" s="763">
        <f t="shared" si="26"/>
        <v>33.34042553191489</v>
      </c>
    </row>
    <row r="137" spans="2:18" ht="12.75">
      <c r="B137" s="177">
        <f t="shared" si="23"/>
        <v>51</v>
      </c>
      <c r="C137" s="137"/>
      <c r="D137" s="137"/>
      <c r="E137" s="141" t="s">
        <v>240</v>
      </c>
      <c r="F137" s="141">
        <v>633</v>
      </c>
      <c r="G137" s="199" t="s">
        <v>522</v>
      </c>
      <c r="H137" s="335">
        <v>19000</v>
      </c>
      <c r="I137" s="335">
        <v>12312</v>
      </c>
      <c r="J137" s="620">
        <f t="shared" si="27"/>
        <v>64.8</v>
      </c>
      <c r="K137" s="139"/>
      <c r="L137" s="335"/>
      <c r="M137" s="335"/>
      <c r="N137" s="635"/>
      <c r="O137" s="139"/>
      <c r="P137" s="759">
        <f t="shared" si="24"/>
        <v>19000</v>
      </c>
      <c r="Q137" s="771">
        <f t="shared" si="25"/>
        <v>12312</v>
      </c>
      <c r="R137" s="763">
        <f t="shared" si="26"/>
        <v>64.8</v>
      </c>
    </row>
    <row r="138" spans="2:18" ht="12.75">
      <c r="B138" s="177">
        <f t="shared" si="23"/>
        <v>52</v>
      </c>
      <c r="C138" s="137"/>
      <c r="D138" s="137"/>
      <c r="E138" s="141" t="s">
        <v>240</v>
      </c>
      <c r="F138" s="141">
        <v>635</v>
      </c>
      <c r="G138" s="199" t="s">
        <v>523</v>
      </c>
      <c r="H138" s="335">
        <v>51600</v>
      </c>
      <c r="I138" s="335">
        <v>22082</v>
      </c>
      <c r="J138" s="620">
        <f t="shared" si="27"/>
        <v>42.79457364341086</v>
      </c>
      <c r="K138" s="139"/>
      <c r="L138" s="335"/>
      <c r="M138" s="335"/>
      <c r="N138" s="635"/>
      <c r="O138" s="139"/>
      <c r="P138" s="759">
        <f t="shared" si="24"/>
        <v>51600</v>
      </c>
      <c r="Q138" s="771">
        <f t="shared" si="25"/>
        <v>22082</v>
      </c>
      <c r="R138" s="763">
        <f t="shared" si="26"/>
        <v>42.79457364341086</v>
      </c>
    </row>
    <row r="139" spans="2:18" ht="12.75">
      <c r="B139" s="177">
        <f t="shared" si="23"/>
        <v>53</v>
      </c>
      <c r="C139" s="137"/>
      <c r="D139" s="137"/>
      <c r="E139" s="141" t="s">
        <v>240</v>
      </c>
      <c r="F139" s="141">
        <v>637</v>
      </c>
      <c r="G139" s="199" t="s">
        <v>668</v>
      </c>
      <c r="H139" s="335">
        <v>4700</v>
      </c>
      <c r="I139" s="335">
        <v>0</v>
      </c>
      <c r="J139" s="620">
        <f t="shared" si="27"/>
        <v>0</v>
      </c>
      <c r="K139" s="139"/>
      <c r="L139" s="335"/>
      <c r="M139" s="335"/>
      <c r="N139" s="635"/>
      <c r="O139" s="139"/>
      <c r="P139" s="759">
        <f t="shared" si="24"/>
        <v>4700</v>
      </c>
      <c r="Q139" s="771">
        <f t="shared" si="25"/>
        <v>0</v>
      </c>
      <c r="R139" s="763">
        <f t="shared" si="26"/>
        <v>0</v>
      </c>
    </row>
    <row r="140" spans="2:18" ht="12.75">
      <c r="B140" s="177">
        <f t="shared" si="23"/>
        <v>54</v>
      </c>
      <c r="C140" s="137"/>
      <c r="D140" s="137"/>
      <c r="E140" s="141"/>
      <c r="F140" s="141"/>
      <c r="G140" s="516"/>
      <c r="H140" s="335"/>
      <c r="I140" s="335"/>
      <c r="J140" s="620"/>
      <c r="K140" s="139"/>
      <c r="L140" s="335"/>
      <c r="M140" s="335"/>
      <c r="N140" s="635"/>
      <c r="O140" s="139"/>
      <c r="P140" s="759"/>
      <c r="Q140" s="771"/>
      <c r="R140" s="763"/>
    </row>
    <row r="141" spans="2:18" ht="12.75">
      <c r="B141" s="177">
        <f t="shared" si="23"/>
        <v>55</v>
      </c>
      <c r="C141" s="137"/>
      <c r="D141" s="137"/>
      <c r="E141" s="141" t="s">
        <v>240</v>
      </c>
      <c r="F141" s="141">
        <v>711</v>
      </c>
      <c r="G141" s="199" t="s">
        <v>700</v>
      </c>
      <c r="H141" s="335"/>
      <c r="I141" s="335"/>
      <c r="J141" s="620"/>
      <c r="K141" s="139"/>
      <c r="L141" s="335">
        <v>40950</v>
      </c>
      <c r="M141" s="335"/>
      <c r="N141" s="635"/>
      <c r="O141" s="139"/>
      <c r="P141" s="759">
        <f aca="true" t="shared" si="28" ref="P141:Q146">H141+L141</f>
        <v>40950</v>
      </c>
      <c r="Q141" s="771">
        <f t="shared" si="28"/>
        <v>0</v>
      </c>
      <c r="R141" s="763">
        <f aca="true" t="shared" si="29" ref="R141:R146">Q141/P141*100</f>
        <v>0</v>
      </c>
    </row>
    <row r="142" spans="2:18" ht="12.75">
      <c r="B142" s="177">
        <f t="shared" si="23"/>
        <v>56</v>
      </c>
      <c r="C142" s="137"/>
      <c r="D142" s="137"/>
      <c r="E142" s="141" t="s">
        <v>240</v>
      </c>
      <c r="F142" s="141">
        <v>711</v>
      </c>
      <c r="G142" s="199" t="s">
        <v>701</v>
      </c>
      <c r="H142" s="335"/>
      <c r="I142" s="335"/>
      <c r="J142" s="620"/>
      <c r="K142" s="139"/>
      <c r="L142" s="335">
        <v>15000</v>
      </c>
      <c r="M142" s="335"/>
      <c r="N142" s="635"/>
      <c r="O142" s="139"/>
      <c r="P142" s="759">
        <f t="shared" si="28"/>
        <v>15000</v>
      </c>
      <c r="Q142" s="771">
        <f t="shared" si="28"/>
        <v>0</v>
      </c>
      <c r="R142" s="763">
        <f t="shared" si="29"/>
        <v>0</v>
      </c>
    </row>
    <row r="143" spans="2:18" ht="15.75">
      <c r="B143" s="177">
        <f t="shared" si="23"/>
        <v>57</v>
      </c>
      <c r="C143" s="24">
        <v>8</v>
      </c>
      <c r="D143" s="134" t="s">
        <v>135</v>
      </c>
      <c r="E143" s="25"/>
      <c r="F143" s="25"/>
      <c r="G143" s="198"/>
      <c r="H143" s="372">
        <f>SUM(H144:H146)</f>
        <v>27000</v>
      </c>
      <c r="I143" s="372">
        <f>SUM(I144:I146)</f>
        <v>13355</v>
      </c>
      <c r="J143" s="620">
        <f>I143/H143*100</f>
        <v>49.46296296296296</v>
      </c>
      <c r="K143" s="90"/>
      <c r="L143" s="337">
        <f>SUM(L144:L146)</f>
        <v>0</v>
      </c>
      <c r="M143" s="337">
        <f>SUM(M144:M146)</f>
        <v>0</v>
      </c>
      <c r="N143" s="626"/>
      <c r="O143" s="90"/>
      <c r="P143" s="754">
        <f t="shared" si="28"/>
        <v>27000</v>
      </c>
      <c r="Q143" s="766">
        <f t="shared" si="28"/>
        <v>13355</v>
      </c>
      <c r="R143" s="763">
        <f t="shared" si="29"/>
        <v>49.46296296296296</v>
      </c>
    </row>
    <row r="144" spans="2:18" ht="12.75">
      <c r="B144" s="177">
        <f t="shared" si="23"/>
        <v>58</v>
      </c>
      <c r="C144" s="137"/>
      <c r="D144" s="137"/>
      <c r="E144" s="141" t="s">
        <v>240</v>
      </c>
      <c r="F144" s="141">
        <v>634</v>
      </c>
      <c r="G144" s="199" t="s">
        <v>571</v>
      </c>
      <c r="H144" s="335">
        <v>20650</v>
      </c>
      <c r="I144" s="335">
        <f>12978-I145</f>
        <v>9763</v>
      </c>
      <c r="J144" s="620">
        <f>I144/H144*100</f>
        <v>47.27845036319613</v>
      </c>
      <c r="K144" s="139"/>
      <c r="L144" s="335"/>
      <c r="M144" s="335"/>
      <c r="N144" s="626"/>
      <c r="O144" s="139"/>
      <c r="P144" s="759">
        <f t="shared" si="28"/>
        <v>20650</v>
      </c>
      <c r="Q144" s="771">
        <f t="shared" si="28"/>
        <v>9763</v>
      </c>
      <c r="R144" s="763">
        <f t="shared" si="29"/>
        <v>47.27845036319613</v>
      </c>
    </row>
    <row r="145" spans="2:18" ht="12.75">
      <c r="B145" s="177">
        <f t="shared" si="23"/>
        <v>59</v>
      </c>
      <c r="C145" s="137"/>
      <c r="D145" s="169"/>
      <c r="E145" s="141" t="s">
        <v>240</v>
      </c>
      <c r="F145" s="143">
        <v>634</v>
      </c>
      <c r="G145" s="199" t="s">
        <v>573</v>
      </c>
      <c r="H145" s="335">
        <v>5800</v>
      </c>
      <c r="I145" s="335">
        <v>3215</v>
      </c>
      <c r="J145" s="620">
        <f>I145/H145*100</f>
        <v>55.431034482758626</v>
      </c>
      <c r="K145" s="139"/>
      <c r="L145" s="341"/>
      <c r="M145" s="341"/>
      <c r="N145" s="626"/>
      <c r="O145" s="139"/>
      <c r="P145" s="785">
        <f t="shared" si="28"/>
        <v>5800</v>
      </c>
      <c r="Q145" s="792">
        <f t="shared" si="28"/>
        <v>3215</v>
      </c>
      <c r="R145" s="763">
        <f t="shared" si="29"/>
        <v>55.431034482758626</v>
      </c>
    </row>
    <row r="146" spans="2:18" ht="13.5" thickBot="1">
      <c r="B146" s="214">
        <f t="shared" si="23"/>
        <v>60</v>
      </c>
      <c r="C146" s="147"/>
      <c r="D146" s="571"/>
      <c r="E146" s="148" t="s">
        <v>240</v>
      </c>
      <c r="F146" s="148">
        <v>637</v>
      </c>
      <c r="G146" s="207" t="s">
        <v>572</v>
      </c>
      <c r="H146" s="347">
        <v>550</v>
      </c>
      <c r="I146" s="347">
        <v>377</v>
      </c>
      <c r="J146" s="621">
        <f>I146/H146*100</f>
        <v>68.54545454545455</v>
      </c>
      <c r="K146" s="149"/>
      <c r="L146" s="347"/>
      <c r="M146" s="347"/>
      <c r="N146" s="629"/>
      <c r="O146" s="149"/>
      <c r="P146" s="787">
        <f t="shared" si="28"/>
        <v>550</v>
      </c>
      <c r="Q146" s="794">
        <f t="shared" si="28"/>
        <v>377</v>
      </c>
      <c r="R146" s="764">
        <f t="shared" si="29"/>
        <v>68.54545454545455</v>
      </c>
    </row>
    <row r="167" spans="2:16" ht="33" customHeight="1" thickBot="1">
      <c r="B167" s="248" t="s">
        <v>211</v>
      </c>
      <c r="C167" s="248"/>
      <c r="D167" s="248"/>
      <c r="E167" s="248"/>
      <c r="F167" s="248"/>
      <c r="G167" s="248"/>
      <c r="H167" s="248"/>
      <c r="I167" s="248"/>
      <c r="J167" s="248"/>
      <c r="K167" s="248"/>
      <c r="L167" s="248"/>
      <c r="M167" s="248"/>
      <c r="N167" s="248"/>
      <c r="O167" s="248"/>
      <c r="P167" s="248"/>
    </row>
    <row r="168" spans="2:18" ht="18.75" customHeight="1" thickBot="1">
      <c r="B168" s="1074" t="s">
        <v>778</v>
      </c>
      <c r="C168" s="1075"/>
      <c r="D168" s="1075"/>
      <c r="E168" s="1075"/>
      <c r="F168" s="1075"/>
      <c r="G168" s="1075"/>
      <c r="H168" s="1075"/>
      <c r="I168" s="1075"/>
      <c r="J168" s="1075"/>
      <c r="K168" s="1075"/>
      <c r="L168" s="1075"/>
      <c r="M168" s="618"/>
      <c r="N168" s="628"/>
      <c r="O168" s="127"/>
      <c r="P168" s="1091" t="s">
        <v>811</v>
      </c>
      <c r="Q168" s="1101" t="s">
        <v>836</v>
      </c>
      <c r="R168" s="1046" t="s">
        <v>835</v>
      </c>
    </row>
    <row r="169" spans="2:18" ht="19.5" customHeight="1" thickTop="1">
      <c r="B169" s="23"/>
      <c r="C169" s="1083" t="s">
        <v>512</v>
      </c>
      <c r="D169" s="1083" t="s">
        <v>511</v>
      </c>
      <c r="E169" s="1083" t="s">
        <v>509</v>
      </c>
      <c r="F169" s="1083" t="s">
        <v>510</v>
      </c>
      <c r="G169" s="319" t="s">
        <v>3</v>
      </c>
      <c r="H169" s="1085" t="s">
        <v>806</v>
      </c>
      <c r="I169" s="1085" t="s">
        <v>836</v>
      </c>
      <c r="J169" s="1072" t="s">
        <v>835</v>
      </c>
      <c r="K169" s="80"/>
      <c r="L169" s="1068" t="s">
        <v>810</v>
      </c>
      <c r="M169" s="1094" t="s">
        <v>836</v>
      </c>
      <c r="N169" s="1072" t="s">
        <v>835</v>
      </c>
      <c r="O169" s="80"/>
      <c r="P169" s="1092"/>
      <c r="Q169" s="1102"/>
      <c r="R169" s="1047"/>
    </row>
    <row r="170" spans="2:18" ht="41.25" customHeight="1" thickBot="1">
      <c r="B170" s="26"/>
      <c r="C170" s="1084"/>
      <c r="D170" s="1084"/>
      <c r="E170" s="1084"/>
      <c r="F170" s="1084"/>
      <c r="G170" s="196"/>
      <c r="H170" s="1086"/>
      <c r="I170" s="1086"/>
      <c r="J170" s="1073"/>
      <c r="K170" s="80"/>
      <c r="L170" s="1069"/>
      <c r="M170" s="1095"/>
      <c r="N170" s="1073"/>
      <c r="O170" s="80"/>
      <c r="P170" s="1093"/>
      <c r="Q170" s="1103"/>
      <c r="R170" s="1048"/>
    </row>
    <row r="171" spans="2:18" ht="19.5" thickBot="1" thickTop="1">
      <c r="B171" s="177">
        <v>1</v>
      </c>
      <c r="C171" s="132" t="s">
        <v>212</v>
      </c>
      <c r="D171" s="112"/>
      <c r="E171" s="112"/>
      <c r="F171" s="112"/>
      <c r="G171" s="208"/>
      <c r="H171" s="373">
        <f>H172+H176+H187+H198+H208+H218+H227+H236</f>
        <v>419318</v>
      </c>
      <c r="I171" s="373">
        <f>I172+I176+I187+I198+I208+I218+I227+I236</f>
        <v>223850</v>
      </c>
      <c r="J171" s="598">
        <f>I171/H171*100</f>
        <v>53.384304990484544</v>
      </c>
      <c r="K171" s="114"/>
      <c r="L171" s="640">
        <f>L172+L176+L187+L198+L208+L218+L227+L236</f>
        <v>262419</v>
      </c>
      <c r="M171" s="795">
        <f>M172+M176+M187+M198+M208+M218+M227+M236</f>
        <v>792</v>
      </c>
      <c r="N171" s="751">
        <f>M171/L171*100</f>
        <v>0.30180741485944235</v>
      </c>
      <c r="O171" s="114"/>
      <c r="P171" s="776">
        <f aca="true" t="shared" si="30" ref="P171:Q205">H171+L171</f>
        <v>681737</v>
      </c>
      <c r="Q171" s="780">
        <f t="shared" si="30"/>
        <v>224642</v>
      </c>
      <c r="R171" s="789">
        <f>Q171/P171*100</f>
        <v>32.95141674868754</v>
      </c>
    </row>
    <row r="172" spans="2:18" ht="16.5" thickTop="1">
      <c r="B172" s="177">
        <f aca="true" t="shared" si="31" ref="B172:B211">B171+1</f>
        <v>2</v>
      </c>
      <c r="C172" s="24">
        <v>1</v>
      </c>
      <c r="D172" s="134" t="s">
        <v>103</v>
      </c>
      <c r="E172" s="25"/>
      <c r="F172" s="25"/>
      <c r="G172" s="198"/>
      <c r="H172" s="372">
        <f>SUM(H173:H175)</f>
        <v>25000</v>
      </c>
      <c r="I172" s="372">
        <f>SUM(I173:I175)</f>
        <v>10294</v>
      </c>
      <c r="J172" s="619">
        <f>I172/H172*100</f>
        <v>41.176</v>
      </c>
      <c r="K172" s="90"/>
      <c r="L172" s="410">
        <v>0</v>
      </c>
      <c r="M172" s="348">
        <v>0</v>
      </c>
      <c r="N172" s="626"/>
      <c r="O172" s="90"/>
      <c r="P172" s="754">
        <f t="shared" si="30"/>
        <v>25000</v>
      </c>
      <c r="Q172" s="766">
        <f t="shared" si="30"/>
        <v>10294</v>
      </c>
      <c r="R172" s="790">
        <f>Q172/P172*100</f>
        <v>41.176</v>
      </c>
    </row>
    <row r="173" spans="2:18" ht="12.75">
      <c r="B173" s="177">
        <f t="shared" si="31"/>
        <v>3</v>
      </c>
      <c r="C173" s="137"/>
      <c r="D173" s="138"/>
      <c r="E173" s="138" t="s">
        <v>271</v>
      </c>
      <c r="F173" s="138" t="s">
        <v>215</v>
      </c>
      <c r="G173" s="199" t="s">
        <v>264</v>
      </c>
      <c r="H173" s="339">
        <v>2500</v>
      </c>
      <c r="I173" s="339">
        <v>1644</v>
      </c>
      <c r="J173" s="620">
        <f>I173/H173*100</f>
        <v>65.75999999999999</v>
      </c>
      <c r="K173" s="139"/>
      <c r="L173" s="152"/>
      <c r="M173" s="339"/>
      <c r="N173" s="626"/>
      <c r="O173" s="139"/>
      <c r="P173" s="756">
        <f t="shared" si="30"/>
        <v>2500</v>
      </c>
      <c r="Q173" s="768">
        <f t="shared" si="30"/>
        <v>1644</v>
      </c>
      <c r="R173" s="763">
        <f aca="true" t="shared" si="32" ref="R173:R235">Q173/P173*100</f>
        <v>65.75999999999999</v>
      </c>
    </row>
    <row r="174" spans="2:18" ht="12.75">
      <c r="B174" s="177">
        <f t="shared" si="31"/>
        <v>4</v>
      </c>
      <c r="C174" s="137"/>
      <c r="D174" s="138"/>
      <c r="E174" s="138" t="s">
        <v>271</v>
      </c>
      <c r="F174" s="138" t="s">
        <v>203</v>
      </c>
      <c r="G174" s="199" t="s">
        <v>570</v>
      </c>
      <c r="H174" s="339">
        <v>3300</v>
      </c>
      <c r="I174" s="339">
        <v>462</v>
      </c>
      <c r="J174" s="620">
        <f aca="true" t="shared" si="33" ref="J174:J235">I174/H174*100</f>
        <v>14.000000000000002</v>
      </c>
      <c r="K174" s="139"/>
      <c r="L174" s="152"/>
      <c r="M174" s="339"/>
      <c r="N174" s="626"/>
      <c r="O174" s="139"/>
      <c r="P174" s="756">
        <f t="shared" si="30"/>
        <v>3300</v>
      </c>
      <c r="Q174" s="768">
        <f t="shared" si="30"/>
        <v>462</v>
      </c>
      <c r="R174" s="763">
        <f t="shared" si="32"/>
        <v>14.000000000000002</v>
      </c>
    </row>
    <row r="175" spans="2:18" ht="12.75">
      <c r="B175" s="177">
        <f t="shared" si="31"/>
        <v>5</v>
      </c>
      <c r="C175" s="137"/>
      <c r="D175" s="138"/>
      <c r="E175" s="138" t="s">
        <v>271</v>
      </c>
      <c r="F175" s="138" t="s">
        <v>219</v>
      </c>
      <c r="G175" s="199" t="s">
        <v>606</v>
      </c>
      <c r="H175" s="339">
        <v>19200</v>
      </c>
      <c r="I175" s="339">
        <v>8188</v>
      </c>
      <c r="J175" s="620">
        <f t="shared" si="33"/>
        <v>42.645833333333336</v>
      </c>
      <c r="K175" s="139"/>
      <c r="L175" s="152"/>
      <c r="M175" s="339"/>
      <c r="N175" s="626"/>
      <c r="O175" s="139"/>
      <c r="P175" s="756">
        <f t="shared" si="30"/>
        <v>19200</v>
      </c>
      <c r="Q175" s="768">
        <f t="shared" si="30"/>
        <v>8188</v>
      </c>
      <c r="R175" s="763">
        <f t="shared" si="32"/>
        <v>42.645833333333336</v>
      </c>
    </row>
    <row r="176" spans="2:18" ht="15.75">
      <c r="B176" s="177">
        <f t="shared" si="31"/>
        <v>6</v>
      </c>
      <c r="C176" s="21">
        <v>2</v>
      </c>
      <c r="D176" s="133" t="s">
        <v>104</v>
      </c>
      <c r="E176" s="22"/>
      <c r="F176" s="22"/>
      <c r="G176" s="200"/>
      <c r="H176" s="369">
        <f>H177+H178+H179+H186</f>
        <v>70225</v>
      </c>
      <c r="I176" s="369">
        <f>I177+I178+I179+I186</f>
        <v>38192</v>
      </c>
      <c r="J176" s="620">
        <f t="shared" si="33"/>
        <v>54.38519045923817</v>
      </c>
      <c r="K176" s="113"/>
      <c r="L176" s="409">
        <v>0</v>
      </c>
      <c r="M176" s="349">
        <v>0</v>
      </c>
      <c r="N176" s="626"/>
      <c r="O176" s="113"/>
      <c r="P176" s="757">
        <f t="shared" si="30"/>
        <v>70225</v>
      </c>
      <c r="Q176" s="769">
        <f t="shared" si="30"/>
        <v>38192</v>
      </c>
      <c r="R176" s="763">
        <f t="shared" si="32"/>
        <v>54.38519045923817</v>
      </c>
    </row>
    <row r="177" spans="2:18" ht="12.75">
      <c r="B177" s="177">
        <f t="shared" si="31"/>
        <v>7</v>
      </c>
      <c r="C177" s="137"/>
      <c r="D177" s="137"/>
      <c r="E177" s="141" t="s">
        <v>280</v>
      </c>
      <c r="F177" s="160">
        <v>610</v>
      </c>
      <c r="G177" s="206" t="s">
        <v>262</v>
      </c>
      <c r="H177" s="346">
        <v>43200</v>
      </c>
      <c r="I177" s="346">
        <v>23398</v>
      </c>
      <c r="J177" s="620">
        <f t="shared" si="33"/>
        <v>54.16203703703704</v>
      </c>
      <c r="K177" s="139"/>
      <c r="L177" s="150"/>
      <c r="M177" s="335"/>
      <c r="N177" s="626"/>
      <c r="O177" s="139"/>
      <c r="P177" s="786">
        <f t="shared" si="30"/>
        <v>43200</v>
      </c>
      <c r="Q177" s="793">
        <f t="shared" si="30"/>
        <v>23398</v>
      </c>
      <c r="R177" s="763">
        <f t="shared" si="32"/>
        <v>54.16203703703704</v>
      </c>
    </row>
    <row r="178" spans="2:18" ht="12.75">
      <c r="B178" s="177">
        <f t="shared" si="31"/>
        <v>8</v>
      </c>
      <c r="C178" s="137"/>
      <c r="D178" s="137"/>
      <c r="E178" s="141" t="s">
        <v>280</v>
      </c>
      <c r="F178" s="160">
        <v>620</v>
      </c>
      <c r="G178" s="206" t="s">
        <v>264</v>
      </c>
      <c r="H178" s="346">
        <v>16800</v>
      </c>
      <c r="I178" s="346">
        <v>9487</v>
      </c>
      <c r="J178" s="620">
        <f t="shared" si="33"/>
        <v>56.47023809523809</v>
      </c>
      <c r="K178" s="139"/>
      <c r="L178" s="150"/>
      <c r="M178" s="335"/>
      <c r="N178" s="626"/>
      <c r="O178" s="139"/>
      <c r="P178" s="786">
        <f t="shared" si="30"/>
        <v>16800</v>
      </c>
      <c r="Q178" s="793">
        <f t="shared" si="30"/>
        <v>9487</v>
      </c>
      <c r="R178" s="763">
        <f t="shared" si="32"/>
        <v>56.47023809523809</v>
      </c>
    </row>
    <row r="179" spans="2:18" ht="12.75">
      <c r="B179" s="177">
        <f t="shared" si="31"/>
        <v>9</v>
      </c>
      <c r="C179" s="137"/>
      <c r="D179" s="137"/>
      <c r="E179" s="141" t="s">
        <v>280</v>
      </c>
      <c r="F179" s="160">
        <v>630</v>
      </c>
      <c r="G179" s="206" t="s">
        <v>477</v>
      </c>
      <c r="H179" s="346">
        <f>SUM(H180:H185)</f>
        <v>10025</v>
      </c>
      <c r="I179" s="346">
        <f>SUM(I180:I185)</f>
        <v>5257</v>
      </c>
      <c r="J179" s="620">
        <f t="shared" si="33"/>
        <v>52.438902743142144</v>
      </c>
      <c r="K179" s="139"/>
      <c r="L179" s="150"/>
      <c r="M179" s="335"/>
      <c r="N179" s="626"/>
      <c r="O179" s="139"/>
      <c r="P179" s="786">
        <f t="shared" si="30"/>
        <v>10025</v>
      </c>
      <c r="Q179" s="793">
        <f t="shared" si="30"/>
        <v>5257</v>
      </c>
      <c r="R179" s="763">
        <f t="shared" si="32"/>
        <v>52.438902743142144</v>
      </c>
    </row>
    <row r="180" spans="2:18" ht="12.75">
      <c r="B180" s="177">
        <f t="shared" si="31"/>
        <v>10</v>
      </c>
      <c r="C180" s="137"/>
      <c r="D180" s="137"/>
      <c r="E180" s="141"/>
      <c r="F180" s="141">
        <v>631</v>
      </c>
      <c r="G180" s="199" t="s">
        <v>307</v>
      </c>
      <c r="H180" s="335">
        <f>200+100</f>
        <v>300</v>
      </c>
      <c r="I180" s="335">
        <v>250</v>
      </c>
      <c r="J180" s="620">
        <f t="shared" si="33"/>
        <v>83.33333333333334</v>
      </c>
      <c r="K180" s="139"/>
      <c r="L180" s="150"/>
      <c r="M180" s="335"/>
      <c r="N180" s="626"/>
      <c r="O180" s="139"/>
      <c r="P180" s="759">
        <f t="shared" si="30"/>
        <v>300</v>
      </c>
      <c r="Q180" s="771">
        <f t="shared" si="30"/>
        <v>250</v>
      </c>
      <c r="R180" s="763">
        <f t="shared" si="32"/>
        <v>83.33333333333334</v>
      </c>
    </row>
    <row r="181" spans="2:18" ht="12.75">
      <c r="B181" s="177">
        <f t="shared" si="31"/>
        <v>11</v>
      </c>
      <c r="C181" s="137"/>
      <c r="D181" s="137"/>
      <c r="E181" s="141"/>
      <c r="F181" s="141">
        <v>632</v>
      </c>
      <c r="G181" s="199" t="s">
        <v>283</v>
      </c>
      <c r="H181" s="335">
        <v>1600</v>
      </c>
      <c r="I181" s="335">
        <v>757</v>
      </c>
      <c r="J181" s="620">
        <f t="shared" si="33"/>
        <v>47.3125</v>
      </c>
      <c r="K181" s="139"/>
      <c r="L181" s="150"/>
      <c r="M181" s="335"/>
      <c r="N181" s="626"/>
      <c r="O181" s="139"/>
      <c r="P181" s="759">
        <f t="shared" si="30"/>
        <v>1600</v>
      </c>
      <c r="Q181" s="771">
        <f t="shared" si="30"/>
        <v>757</v>
      </c>
      <c r="R181" s="763">
        <f t="shared" si="32"/>
        <v>47.3125</v>
      </c>
    </row>
    <row r="182" spans="2:18" ht="12.75">
      <c r="B182" s="177">
        <f t="shared" si="31"/>
        <v>12</v>
      </c>
      <c r="C182" s="137"/>
      <c r="D182" s="137"/>
      <c r="E182" s="141"/>
      <c r="F182" s="141">
        <v>633</v>
      </c>
      <c r="G182" s="199" t="s">
        <v>251</v>
      </c>
      <c r="H182" s="335">
        <f>3500-100</f>
        <v>3400</v>
      </c>
      <c r="I182" s="335">
        <f>1316-225</f>
        <v>1091</v>
      </c>
      <c r="J182" s="620">
        <f t="shared" si="33"/>
        <v>32.088235294117645</v>
      </c>
      <c r="K182" s="139"/>
      <c r="L182" s="150"/>
      <c r="M182" s="335"/>
      <c r="N182" s="626"/>
      <c r="O182" s="139"/>
      <c r="P182" s="759">
        <f t="shared" si="30"/>
        <v>3400</v>
      </c>
      <c r="Q182" s="771">
        <f t="shared" si="30"/>
        <v>1091</v>
      </c>
      <c r="R182" s="763">
        <f t="shared" si="32"/>
        <v>32.088235294117645</v>
      </c>
    </row>
    <row r="183" spans="2:18" ht="12.75">
      <c r="B183" s="177">
        <f t="shared" si="31"/>
        <v>13</v>
      </c>
      <c r="C183" s="137"/>
      <c r="D183" s="137"/>
      <c r="E183" s="141"/>
      <c r="F183" s="141">
        <v>635</v>
      </c>
      <c r="G183" s="199" t="s">
        <v>266</v>
      </c>
      <c r="H183" s="335">
        <v>300</v>
      </c>
      <c r="I183" s="335">
        <v>84</v>
      </c>
      <c r="J183" s="620">
        <f t="shared" si="33"/>
        <v>28.000000000000004</v>
      </c>
      <c r="K183" s="139"/>
      <c r="L183" s="150"/>
      <c r="M183" s="335"/>
      <c r="N183" s="626"/>
      <c r="O183" s="139"/>
      <c r="P183" s="759">
        <f t="shared" si="30"/>
        <v>300</v>
      </c>
      <c r="Q183" s="771">
        <f t="shared" si="30"/>
        <v>84</v>
      </c>
      <c r="R183" s="763">
        <f t="shared" si="32"/>
        <v>28.000000000000004</v>
      </c>
    </row>
    <row r="184" spans="2:18" ht="12.75">
      <c r="B184" s="177">
        <f t="shared" si="31"/>
        <v>14</v>
      </c>
      <c r="C184" s="137"/>
      <c r="D184" s="137"/>
      <c r="E184" s="141"/>
      <c r="F184" s="141">
        <v>637</v>
      </c>
      <c r="G184" s="199" t="s">
        <v>252</v>
      </c>
      <c r="H184" s="335">
        <v>4200</v>
      </c>
      <c r="I184" s="335">
        <v>2850</v>
      </c>
      <c r="J184" s="620">
        <f t="shared" si="33"/>
        <v>67.85714285714286</v>
      </c>
      <c r="K184" s="139"/>
      <c r="L184" s="150"/>
      <c r="M184" s="335"/>
      <c r="N184" s="626"/>
      <c r="O184" s="139"/>
      <c r="P184" s="759">
        <f t="shared" si="30"/>
        <v>4200</v>
      </c>
      <c r="Q184" s="771">
        <f t="shared" si="30"/>
        <v>2850</v>
      </c>
      <c r="R184" s="763">
        <f t="shared" si="32"/>
        <v>67.85714285714286</v>
      </c>
    </row>
    <row r="185" spans="2:18" ht="12.75">
      <c r="B185" s="177">
        <f t="shared" si="31"/>
        <v>15</v>
      </c>
      <c r="C185" s="137"/>
      <c r="D185" s="169"/>
      <c r="E185" s="141"/>
      <c r="F185" s="141">
        <v>630</v>
      </c>
      <c r="G185" s="199" t="s">
        <v>786</v>
      </c>
      <c r="H185" s="341">
        <v>225</v>
      </c>
      <c r="I185" s="341">
        <f>225</f>
        <v>225</v>
      </c>
      <c r="J185" s="620">
        <f t="shared" si="33"/>
        <v>100</v>
      </c>
      <c r="K185" s="139"/>
      <c r="L185" s="168"/>
      <c r="M185" s="341"/>
      <c r="N185" s="626"/>
      <c r="O185" s="139"/>
      <c r="P185" s="785">
        <f t="shared" si="30"/>
        <v>225</v>
      </c>
      <c r="Q185" s="792">
        <f t="shared" si="30"/>
        <v>225</v>
      </c>
      <c r="R185" s="763">
        <f t="shared" si="32"/>
        <v>100</v>
      </c>
    </row>
    <row r="186" spans="2:18" ht="12.75">
      <c r="B186" s="177">
        <f t="shared" si="31"/>
        <v>16</v>
      </c>
      <c r="C186" s="137"/>
      <c r="D186" s="169"/>
      <c r="E186" s="141" t="s">
        <v>280</v>
      </c>
      <c r="F186" s="160">
        <v>640</v>
      </c>
      <c r="G186" s="206" t="s">
        <v>273</v>
      </c>
      <c r="H186" s="398">
        <v>200</v>
      </c>
      <c r="I186" s="398">
        <v>50</v>
      </c>
      <c r="J186" s="620">
        <f t="shared" si="33"/>
        <v>25</v>
      </c>
      <c r="K186" s="156"/>
      <c r="L186" s="590"/>
      <c r="M186" s="398"/>
      <c r="N186" s="626"/>
      <c r="O186" s="156"/>
      <c r="P186" s="796">
        <f t="shared" si="30"/>
        <v>200</v>
      </c>
      <c r="Q186" s="797">
        <f t="shared" si="30"/>
        <v>50</v>
      </c>
      <c r="R186" s="763">
        <f t="shared" si="32"/>
        <v>25</v>
      </c>
    </row>
    <row r="187" spans="2:18" ht="15.75">
      <c r="B187" s="177">
        <f t="shared" si="31"/>
        <v>17</v>
      </c>
      <c r="C187" s="24">
        <v>3</v>
      </c>
      <c r="D187" s="134" t="s">
        <v>137</v>
      </c>
      <c r="E187" s="25"/>
      <c r="F187" s="25"/>
      <c r="G187" s="198"/>
      <c r="H187" s="369">
        <f>H188+H189+H190</f>
        <v>146144</v>
      </c>
      <c r="I187" s="369">
        <f>I188+I189+I190+I197</f>
        <v>72242</v>
      </c>
      <c r="J187" s="620">
        <f t="shared" si="33"/>
        <v>49.43206700240858</v>
      </c>
      <c r="K187" s="90"/>
      <c r="L187" s="410">
        <v>0</v>
      </c>
      <c r="M187" s="348">
        <v>0</v>
      </c>
      <c r="N187" s="626"/>
      <c r="O187" s="90"/>
      <c r="P187" s="754">
        <f t="shared" si="30"/>
        <v>146144</v>
      </c>
      <c r="Q187" s="766">
        <f t="shared" si="30"/>
        <v>72242</v>
      </c>
      <c r="R187" s="763">
        <f t="shared" si="32"/>
        <v>49.43206700240858</v>
      </c>
    </row>
    <row r="188" spans="2:18" ht="12.75">
      <c r="B188" s="177">
        <f t="shared" si="31"/>
        <v>18</v>
      </c>
      <c r="C188" s="142"/>
      <c r="D188" s="142"/>
      <c r="E188" s="141" t="s">
        <v>240</v>
      </c>
      <c r="F188" s="160">
        <v>610</v>
      </c>
      <c r="G188" s="206" t="s">
        <v>262</v>
      </c>
      <c r="H188" s="530">
        <v>94000</v>
      </c>
      <c r="I188" s="530">
        <v>45947</v>
      </c>
      <c r="J188" s="620">
        <f t="shared" si="33"/>
        <v>48.87978723404255</v>
      </c>
      <c r="K188" s="139"/>
      <c r="L188" s="150"/>
      <c r="M188" s="335"/>
      <c r="N188" s="626"/>
      <c r="O188" s="139"/>
      <c r="P188" s="786">
        <f t="shared" si="30"/>
        <v>94000</v>
      </c>
      <c r="Q188" s="793">
        <f t="shared" si="30"/>
        <v>45947</v>
      </c>
      <c r="R188" s="763">
        <f t="shared" si="32"/>
        <v>48.87978723404255</v>
      </c>
    </row>
    <row r="189" spans="2:18" ht="12.75">
      <c r="B189" s="177">
        <f t="shared" si="31"/>
        <v>19</v>
      </c>
      <c r="C189" s="137"/>
      <c r="D189" s="137"/>
      <c r="E189" s="141" t="s">
        <v>240</v>
      </c>
      <c r="F189" s="160">
        <v>620</v>
      </c>
      <c r="G189" s="206" t="s">
        <v>264</v>
      </c>
      <c r="H189" s="530">
        <v>36000</v>
      </c>
      <c r="I189" s="530">
        <v>17191</v>
      </c>
      <c r="J189" s="620">
        <f t="shared" si="33"/>
        <v>47.75277777777778</v>
      </c>
      <c r="K189" s="139"/>
      <c r="L189" s="150"/>
      <c r="M189" s="335"/>
      <c r="N189" s="626"/>
      <c r="O189" s="139"/>
      <c r="P189" s="786">
        <f t="shared" si="30"/>
        <v>36000</v>
      </c>
      <c r="Q189" s="793">
        <f t="shared" si="30"/>
        <v>17191</v>
      </c>
      <c r="R189" s="763">
        <f t="shared" si="32"/>
        <v>47.75277777777778</v>
      </c>
    </row>
    <row r="190" spans="2:18" ht="12.75">
      <c r="B190" s="177">
        <f t="shared" si="31"/>
        <v>20</v>
      </c>
      <c r="C190" s="137"/>
      <c r="D190" s="137"/>
      <c r="E190" s="141" t="s">
        <v>240</v>
      </c>
      <c r="F190" s="160">
        <v>630</v>
      </c>
      <c r="G190" s="206" t="s">
        <v>477</v>
      </c>
      <c r="H190" s="346">
        <f>SUM(H191:H196)</f>
        <v>16144</v>
      </c>
      <c r="I190" s="346">
        <f>SUM(I191:I196)</f>
        <v>8979</v>
      </c>
      <c r="J190" s="620">
        <f t="shared" si="33"/>
        <v>55.61818632309217</v>
      </c>
      <c r="K190" s="139"/>
      <c r="L190" s="150"/>
      <c r="M190" s="335"/>
      <c r="N190" s="626"/>
      <c r="O190" s="139"/>
      <c r="P190" s="786">
        <f t="shared" si="30"/>
        <v>16144</v>
      </c>
      <c r="Q190" s="793">
        <f t="shared" si="30"/>
        <v>8979</v>
      </c>
      <c r="R190" s="763">
        <f t="shared" si="32"/>
        <v>55.61818632309217</v>
      </c>
    </row>
    <row r="191" spans="2:18" ht="12.75">
      <c r="B191" s="177">
        <f t="shared" si="31"/>
        <v>21</v>
      </c>
      <c r="C191" s="137"/>
      <c r="D191" s="137"/>
      <c r="E191" s="141"/>
      <c r="F191" s="141">
        <v>631</v>
      </c>
      <c r="G191" s="199" t="s">
        <v>307</v>
      </c>
      <c r="H191" s="335">
        <v>100</v>
      </c>
      <c r="I191" s="335">
        <v>0</v>
      </c>
      <c r="J191" s="620">
        <f t="shared" si="33"/>
        <v>0</v>
      </c>
      <c r="K191" s="139"/>
      <c r="L191" s="150"/>
      <c r="M191" s="335"/>
      <c r="N191" s="626"/>
      <c r="O191" s="139"/>
      <c r="P191" s="759">
        <f t="shared" si="30"/>
        <v>100</v>
      </c>
      <c r="Q191" s="771">
        <f t="shared" si="30"/>
        <v>0</v>
      </c>
      <c r="R191" s="763">
        <f t="shared" si="32"/>
        <v>0</v>
      </c>
    </row>
    <row r="192" spans="2:18" ht="12.75">
      <c r="B192" s="177">
        <f t="shared" si="31"/>
        <v>22</v>
      </c>
      <c r="C192" s="137"/>
      <c r="D192" s="137"/>
      <c r="E192" s="141"/>
      <c r="F192" s="141">
        <v>632</v>
      </c>
      <c r="G192" s="199" t="s">
        <v>283</v>
      </c>
      <c r="H192" s="335">
        <f>300+1000</f>
        <v>1300</v>
      </c>
      <c r="I192" s="335">
        <v>744</v>
      </c>
      <c r="J192" s="620">
        <f t="shared" si="33"/>
        <v>57.230769230769226</v>
      </c>
      <c r="K192" s="139"/>
      <c r="L192" s="150"/>
      <c r="M192" s="335"/>
      <c r="N192" s="626"/>
      <c r="O192" s="139"/>
      <c r="P192" s="759">
        <f t="shared" si="30"/>
        <v>1300</v>
      </c>
      <c r="Q192" s="771">
        <f t="shared" si="30"/>
        <v>744</v>
      </c>
      <c r="R192" s="763">
        <f t="shared" si="32"/>
        <v>57.230769230769226</v>
      </c>
    </row>
    <row r="193" spans="2:18" ht="12.75">
      <c r="B193" s="177">
        <f t="shared" si="31"/>
        <v>23</v>
      </c>
      <c r="C193" s="137"/>
      <c r="D193" s="137"/>
      <c r="E193" s="141"/>
      <c r="F193" s="141">
        <v>633</v>
      </c>
      <c r="G193" s="199" t="s">
        <v>437</v>
      </c>
      <c r="H193" s="335">
        <v>1900</v>
      </c>
      <c r="I193" s="335">
        <v>1900</v>
      </c>
      <c r="J193" s="620">
        <f t="shared" si="33"/>
        <v>100</v>
      </c>
      <c r="K193" s="139"/>
      <c r="L193" s="150"/>
      <c r="M193" s="335"/>
      <c r="N193" s="626"/>
      <c r="O193" s="139"/>
      <c r="P193" s="759">
        <f t="shared" si="30"/>
        <v>1900</v>
      </c>
      <c r="Q193" s="771">
        <f t="shared" si="30"/>
        <v>1900</v>
      </c>
      <c r="R193" s="763">
        <f t="shared" si="32"/>
        <v>100</v>
      </c>
    </row>
    <row r="194" spans="2:18" ht="12.75">
      <c r="B194" s="177">
        <f t="shared" si="31"/>
        <v>24</v>
      </c>
      <c r="C194" s="137"/>
      <c r="D194" s="137"/>
      <c r="E194" s="141"/>
      <c r="F194" s="141">
        <v>633</v>
      </c>
      <c r="G194" s="199" t="s">
        <v>251</v>
      </c>
      <c r="H194" s="335">
        <v>4200</v>
      </c>
      <c r="I194" s="335">
        <f>4708-I193-I196</f>
        <v>164</v>
      </c>
      <c r="J194" s="620">
        <f t="shared" si="33"/>
        <v>3.9047619047619047</v>
      </c>
      <c r="K194" s="139"/>
      <c r="L194" s="150"/>
      <c r="M194" s="335"/>
      <c r="N194" s="626"/>
      <c r="O194" s="139"/>
      <c r="P194" s="759">
        <f t="shared" si="30"/>
        <v>4200</v>
      </c>
      <c r="Q194" s="771">
        <f t="shared" si="30"/>
        <v>164</v>
      </c>
      <c r="R194" s="763">
        <f t="shared" si="32"/>
        <v>3.9047619047619047</v>
      </c>
    </row>
    <row r="195" spans="2:18" ht="12.75">
      <c r="B195" s="177">
        <f t="shared" si="31"/>
        <v>25</v>
      </c>
      <c r="C195" s="137"/>
      <c r="D195" s="137"/>
      <c r="E195" s="141"/>
      <c r="F195" s="141">
        <v>637</v>
      </c>
      <c r="G195" s="199" t="s">
        <v>252</v>
      </c>
      <c r="H195" s="335">
        <f>7000-1000</f>
        <v>6000</v>
      </c>
      <c r="I195" s="335">
        <v>3527</v>
      </c>
      <c r="J195" s="620">
        <f t="shared" si="33"/>
        <v>58.78333333333333</v>
      </c>
      <c r="K195" s="139"/>
      <c r="L195" s="150"/>
      <c r="M195" s="335"/>
      <c r="N195" s="626"/>
      <c r="O195" s="139"/>
      <c r="P195" s="759">
        <f t="shared" si="30"/>
        <v>6000</v>
      </c>
      <c r="Q195" s="771">
        <f t="shared" si="30"/>
        <v>3527</v>
      </c>
      <c r="R195" s="763">
        <f t="shared" si="32"/>
        <v>58.78333333333333</v>
      </c>
    </row>
    <row r="196" spans="2:18" ht="12.75">
      <c r="B196" s="177">
        <f t="shared" si="31"/>
        <v>26</v>
      </c>
      <c r="C196" s="137"/>
      <c r="D196" s="169"/>
      <c r="E196" s="143" t="s">
        <v>240</v>
      </c>
      <c r="F196" s="143">
        <v>630</v>
      </c>
      <c r="G196" s="199" t="s">
        <v>786</v>
      </c>
      <c r="H196" s="335">
        <v>2644</v>
      </c>
      <c r="I196" s="335">
        <v>2644</v>
      </c>
      <c r="J196" s="620">
        <f t="shared" si="33"/>
        <v>100</v>
      </c>
      <c r="K196" s="139"/>
      <c r="L196" s="168"/>
      <c r="M196" s="341"/>
      <c r="N196" s="626"/>
      <c r="O196" s="139"/>
      <c r="P196" s="759">
        <f t="shared" si="30"/>
        <v>2644</v>
      </c>
      <c r="Q196" s="771">
        <f t="shared" si="30"/>
        <v>2644</v>
      </c>
      <c r="R196" s="763">
        <f t="shared" si="32"/>
        <v>100</v>
      </c>
    </row>
    <row r="197" spans="2:18" ht="12.75">
      <c r="B197" s="177">
        <f t="shared" si="31"/>
        <v>27</v>
      </c>
      <c r="C197" s="137"/>
      <c r="D197" s="169"/>
      <c r="E197" s="141" t="s">
        <v>240</v>
      </c>
      <c r="F197" s="160">
        <v>640</v>
      </c>
      <c r="G197" s="206" t="s">
        <v>273</v>
      </c>
      <c r="H197" s="530">
        <v>0</v>
      </c>
      <c r="I197" s="530">
        <v>125</v>
      </c>
      <c r="J197" s="620"/>
      <c r="K197" s="139"/>
      <c r="L197" s="168"/>
      <c r="M197" s="341"/>
      <c r="N197" s="626"/>
      <c r="O197" s="139"/>
      <c r="P197" s="785"/>
      <c r="Q197" s="792"/>
      <c r="R197" s="763"/>
    </row>
    <row r="198" spans="2:18" ht="15.75">
      <c r="B198" s="177">
        <f t="shared" si="31"/>
        <v>28</v>
      </c>
      <c r="C198" s="24">
        <v>4</v>
      </c>
      <c r="D198" s="134" t="s">
        <v>105</v>
      </c>
      <c r="E198" s="25"/>
      <c r="F198" s="25"/>
      <c r="G198" s="198"/>
      <c r="H198" s="369">
        <f>H199</f>
        <v>37910</v>
      </c>
      <c r="I198" s="369">
        <f>I199</f>
        <v>18142</v>
      </c>
      <c r="J198" s="620">
        <f t="shared" si="33"/>
        <v>47.855447111580055</v>
      </c>
      <c r="K198" s="90"/>
      <c r="L198" s="410">
        <v>0</v>
      </c>
      <c r="M198" s="348">
        <v>0</v>
      </c>
      <c r="N198" s="626"/>
      <c r="O198" s="90"/>
      <c r="P198" s="754">
        <f t="shared" si="30"/>
        <v>37910</v>
      </c>
      <c r="Q198" s="766">
        <f t="shared" si="30"/>
        <v>18142</v>
      </c>
      <c r="R198" s="763">
        <f t="shared" si="32"/>
        <v>47.855447111580055</v>
      </c>
    </row>
    <row r="199" spans="2:18" ht="12.75">
      <c r="B199" s="177">
        <f t="shared" si="31"/>
        <v>29</v>
      </c>
      <c r="C199" s="142"/>
      <c r="D199" s="142"/>
      <c r="E199" s="230" t="s">
        <v>245</v>
      </c>
      <c r="F199" s="230"/>
      <c r="G199" s="229" t="s">
        <v>476</v>
      </c>
      <c r="H199" s="345">
        <f>H200+H201+H202+H207</f>
        <v>37910</v>
      </c>
      <c r="I199" s="345">
        <f>I200+I201+I202+I207</f>
        <v>18142</v>
      </c>
      <c r="J199" s="620">
        <f t="shared" si="33"/>
        <v>47.855447111580055</v>
      </c>
      <c r="K199" s="139"/>
      <c r="L199" s="150"/>
      <c r="M199" s="335"/>
      <c r="N199" s="626"/>
      <c r="O199" s="139"/>
      <c r="P199" s="786">
        <f t="shared" si="30"/>
        <v>37910</v>
      </c>
      <c r="Q199" s="793">
        <f t="shared" si="30"/>
        <v>18142</v>
      </c>
      <c r="R199" s="763">
        <f t="shared" si="32"/>
        <v>47.855447111580055</v>
      </c>
    </row>
    <row r="200" spans="2:18" ht="12.75">
      <c r="B200" s="177">
        <f t="shared" si="31"/>
        <v>30</v>
      </c>
      <c r="C200" s="137"/>
      <c r="D200" s="137"/>
      <c r="E200" s="141"/>
      <c r="F200" s="160">
        <v>610</v>
      </c>
      <c r="G200" s="206" t="s">
        <v>262</v>
      </c>
      <c r="H200" s="346">
        <v>18400</v>
      </c>
      <c r="I200" s="346">
        <v>8804</v>
      </c>
      <c r="J200" s="620">
        <f t="shared" si="33"/>
        <v>47.84782608695652</v>
      </c>
      <c r="K200" s="139"/>
      <c r="L200" s="150"/>
      <c r="M200" s="335"/>
      <c r="N200" s="626"/>
      <c r="O200" s="139"/>
      <c r="P200" s="786">
        <f t="shared" si="30"/>
        <v>18400</v>
      </c>
      <c r="Q200" s="793">
        <f t="shared" si="30"/>
        <v>8804</v>
      </c>
      <c r="R200" s="763">
        <f t="shared" si="32"/>
        <v>47.84782608695652</v>
      </c>
    </row>
    <row r="201" spans="2:18" ht="12.75">
      <c r="B201" s="177">
        <f t="shared" si="31"/>
        <v>31</v>
      </c>
      <c r="C201" s="137"/>
      <c r="D201" s="137"/>
      <c r="E201" s="141"/>
      <c r="F201" s="160">
        <v>620</v>
      </c>
      <c r="G201" s="206" t="s">
        <v>264</v>
      </c>
      <c r="H201" s="346">
        <v>6440</v>
      </c>
      <c r="I201" s="346">
        <v>3027</v>
      </c>
      <c r="J201" s="620">
        <f t="shared" si="33"/>
        <v>47.00310559006211</v>
      </c>
      <c r="K201" s="139"/>
      <c r="L201" s="150"/>
      <c r="M201" s="335"/>
      <c r="N201" s="626"/>
      <c r="O201" s="139"/>
      <c r="P201" s="786">
        <f t="shared" si="30"/>
        <v>6440</v>
      </c>
      <c r="Q201" s="793">
        <f t="shared" si="30"/>
        <v>3027</v>
      </c>
      <c r="R201" s="763">
        <f t="shared" si="32"/>
        <v>47.00310559006211</v>
      </c>
    </row>
    <row r="202" spans="2:18" ht="12.75">
      <c r="B202" s="177">
        <f t="shared" si="31"/>
        <v>32</v>
      </c>
      <c r="C202" s="137"/>
      <c r="D202" s="137"/>
      <c r="E202" s="141"/>
      <c r="F202" s="160">
        <v>630</v>
      </c>
      <c r="G202" s="206" t="s">
        <v>477</v>
      </c>
      <c r="H202" s="346">
        <f>H203+H204+H205+H206</f>
        <v>13020</v>
      </c>
      <c r="I202" s="346">
        <f>I203+I204+I205+I206</f>
        <v>6311</v>
      </c>
      <c r="J202" s="620">
        <f t="shared" si="33"/>
        <v>48.4715821812596</v>
      </c>
      <c r="K202" s="139"/>
      <c r="L202" s="150"/>
      <c r="M202" s="335"/>
      <c r="N202" s="626"/>
      <c r="O202" s="139"/>
      <c r="P202" s="759">
        <f t="shared" si="30"/>
        <v>13020</v>
      </c>
      <c r="Q202" s="771">
        <f t="shared" si="30"/>
        <v>6311</v>
      </c>
      <c r="R202" s="763">
        <f t="shared" si="32"/>
        <v>48.4715821812596</v>
      </c>
    </row>
    <row r="203" spans="2:18" ht="12.75">
      <c r="B203" s="177">
        <f t="shared" si="31"/>
        <v>33</v>
      </c>
      <c r="C203" s="137"/>
      <c r="D203" s="137"/>
      <c r="E203" s="141"/>
      <c r="F203" s="141">
        <v>632</v>
      </c>
      <c r="G203" s="199" t="s">
        <v>250</v>
      </c>
      <c r="H203" s="335">
        <v>6900</v>
      </c>
      <c r="I203" s="335">
        <v>3799</v>
      </c>
      <c r="J203" s="620">
        <f t="shared" si="33"/>
        <v>55.05797101449276</v>
      </c>
      <c r="K203" s="139"/>
      <c r="L203" s="150"/>
      <c r="M203" s="335"/>
      <c r="N203" s="626"/>
      <c r="O203" s="139"/>
      <c r="P203" s="759">
        <f t="shared" si="30"/>
        <v>6900</v>
      </c>
      <c r="Q203" s="771">
        <f t="shared" si="30"/>
        <v>3799</v>
      </c>
      <c r="R203" s="763">
        <f t="shared" si="32"/>
        <v>55.05797101449276</v>
      </c>
    </row>
    <row r="204" spans="2:18" ht="12.75">
      <c r="B204" s="177">
        <f t="shared" si="31"/>
        <v>34</v>
      </c>
      <c r="C204" s="137"/>
      <c r="D204" s="137"/>
      <c r="E204" s="141"/>
      <c r="F204" s="141">
        <v>633</v>
      </c>
      <c r="G204" s="199" t="s">
        <v>251</v>
      </c>
      <c r="H204" s="335">
        <v>2620</v>
      </c>
      <c r="I204" s="335">
        <v>645</v>
      </c>
      <c r="J204" s="620">
        <f t="shared" si="33"/>
        <v>24.61832061068702</v>
      </c>
      <c r="K204" s="139"/>
      <c r="L204" s="150"/>
      <c r="M204" s="335"/>
      <c r="N204" s="626"/>
      <c r="O204" s="139"/>
      <c r="P204" s="759">
        <f t="shared" si="30"/>
        <v>2620</v>
      </c>
      <c r="Q204" s="771">
        <f t="shared" si="30"/>
        <v>645</v>
      </c>
      <c r="R204" s="763">
        <f t="shared" si="32"/>
        <v>24.61832061068702</v>
      </c>
    </row>
    <row r="205" spans="2:18" ht="12.75">
      <c r="B205" s="177">
        <f t="shared" si="31"/>
        <v>35</v>
      </c>
      <c r="C205" s="137"/>
      <c r="D205" s="137"/>
      <c r="E205" s="141"/>
      <c r="F205" s="141">
        <v>635</v>
      </c>
      <c r="G205" s="199" t="s">
        <v>266</v>
      </c>
      <c r="H205" s="335">
        <v>500</v>
      </c>
      <c r="I205" s="335">
        <v>41</v>
      </c>
      <c r="J205" s="620">
        <f t="shared" si="33"/>
        <v>8.200000000000001</v>
      </c>
      <c r="K205" s="139"/>
      <c r="L205" s="150"/>
      <c r="M205" s="335"/>
      <c r="N205" s="626"/>
      <c r="O205" s="139"/>
      <c r="P205" s="759">
        <f t="shared" si="30"/>
        <v>500</v>
      </c>
      <c r="Q205" s="771">
        <f t="shared" si="30"/>
        <v>41</v>
      </c>
      <c r="R205" s="763">
        <f t="shared" si="32"/>
        <v>8.200000000000001</v>
      </c>
    </row>
    <row r="206" spans="2:18" ht="12.75">
      <c r="B206" s="177">
        <f t="shared" si="31"/>
        <v>36</v>
      </c>
      <c r="C206" s="137"/>
      <c r="D206" s="137"/>
      <c r="E206" s="141"/>
      <c r="F206" s="141">
        <v>637</v>
      </c>
      <c r="G206" s="199" t="s">
        <v>252</v>
      </c>
      <c r="H206" s="335">
        <v>3000</v>
      </c>
      <c r="I206" s="335">
        <v>1826</v>
      </c>
      <c r="J206" s="620">
        <f t="shared" si="33"/>
        <v>60.86666666666667</v>
      </c>
      <c r="K206" s="139"/>
      <c r="L206" s="150"/>
      <c r="M206" s="335"/>
      <c r="N206" s="626"/>
      <c r="O206" s="139"/>
      <c r="P206" s="759">
        <f aca="true" t="shared" si="34" ref="P206:Q236">H206+L206</f>
        <v>3000</v>
      </c>
      <c r="Q206" s="771">
        <f t="shared" si="34"/>
        <v>1826</v>
      </c>
      <c r="R206" s="763">
        <f t="shared" si="32"/>
        <v>60.86666666666667</v>
      </c>
    </row>
    <row r="207" spans="2:18" ht="12.75">
      <c r="B207" s="177">
        <f t="shared" si="31"/>
        <v>37</v>
      </c>
      <c r="C207" s="137"/>
      <c r="D207" s="143"/>
      <c r="E207" s="143"/>
      <c r="F207" s="163">
        <v>640</v>
      </c>
      <c r="G207" s="206" t="s">
        <v>318</v>
      </c>
      <c r="H207" s="398">
        <v>50</v>
      </c>
      <c r="I207" s="398">
        <v>0</v>
      </c>
      <c r="J207" s="620">
        <f t="shared" si="33"/>
        <v>0</v>
      </c>
      <c r="K207" s="139"/>
      <c r="L207" s="168"/>
      <c r="M207" s="341"/>
      <c r="N207" s="626"/>
      <c r="O207" s="139"/>
      <c r="P207" s="796">
        <f t="shared" si="34"/>
        <v>50</v>
      </c>
      <c r="Q207" s="797">
        <f t="shared" si="34"/>
        <v>0</v>
      </c>
      <c r="R207" s="763">
        <f t="shared" si="32"/>
        <v>0</v>
      </c>
    </row>
    <row r="208" spans="2:18" ht="15.75">
      <c r="B208" s="177">
        <f t="shared" si="31"/>
        <v>38</v>
      </c>
      <c r="C208" s="24">
        <v>5</v>
      </c>
      <c r="D208" s="134" t="s">
        <v>138</v>
      </c>
      <c r="E208" s="25"/>
      <c r="F208" s="25"/>
      <c r="G208" s="198"/>
      <c r="H208" s="369">
        <f>H209</f>
        <v>22660</v>
      </c>
      <c r="I208" s="369">
        <f>I209</f>
        <v>12602</v>
      </c>
      <c r="J208" s="620">
        <f t="shared" si="33"/>
        <v>55.61341571050309</v>
      </c>
      <c r="K208" s="90"/>
      <c r="L208" s="203">
        <f>SUM(L209:L217)</f>
        <v>39700</v>
      </c>
      <c r="M208" s="337">
        <f>SUM(M209:M217)</f>
        <v>0</v>
      </c>
      <c r="N208" s="626"/>
      <c r="O208" s="90"/>
      <c r="P208" s="754">
        <f t="shared" si="34"/>
        <v>62360</v>
      </c>
      <c r="Q208" s="766">
        <f t="shared" si="34"/>
        <v>12602</v>
      </c>
      <c r="R208" s="763">
        <f t="shared" si="32"/>
        <v>20.20846696600385</v>
      </c>
    </row>
    <row r="209" spans="2:18" ht="12.75">
      <c r="B209" s="177">
        <f t="shared" si="31"/>
        <v>39</v>
      </c>
      <c r="C209" s="137"/>
      <c r="D209" s="137"/>
      <c r="E209" s="230" t="s">
        <v>245</v>
      </c>
      <c r="F209" s="230"/>
      <c r="G209" s="231" t="s">
        <v>475</v>
      </c>
      <c r="H209" s="345">
        <f>H210+H211+H212</f>
        <v>22660</v>
      </c>
      <c r="I209" s="345">
        <f>I210+I211+I212</f>
        <v>12602</v>
      </c>
      <c r="J209" s="620">
        <f t="shared" si="33"/>
        <v>55.61341571050309</v>
      </c>
      <c r="K209" s="139"/>
      <c r="L209" s="150"/>
      <c r="M209" s="335"/>
      <c r="N209" s="626"/>
      <c r="O209" s="139"/>
      <c r="P209" s="786">
        <f t="shared" si="34"/>
        <v>22660</v>
      </c>
      <c r="Q209" s="793">
        <f t="shared" si="34"/>
        <v>12602</v>
      </c>
      <c r="R209" s="763">
        <f t="shared" si="32"/>
        <v>55.61341571050309</v>
      </c>
    </row>
    <row r="210" spans="2:18" ht="12.75">
      <c r="B210" s="177">
        <f t="shared" si="31"/>
        <v>40</v>
      </c>
      <c r="C210" s="153"/>
      <c r="D210" s="153"/>
      <c r="E210" s="141"/>
      <c r="F210" s="160">
        <v>610</v>
      </c>
      <c r="G210" s="206" t="s">
        <v>262</v>
      </c>
      <c r="H210" s="346">
        <v>6600</v>
      </c>
      <c r="I210" s="346">
        <v>3062</v>
      </c>
      <c r="J210" s="620">
        <f t="shared" si="33"/>
        <v>46.39393939393939</v>
      </c>
      <c r="K210" s="156"/>
      <c r="L210" s="155"/>
      <c r="M210" s="346"/>
      <c r="N210" s="626"/>
      <c r="O210" s="156"/>
      <c r="P210" s="786">
        <f t="shared" si="34"/>
        <v>6600</v>
      </c>
      <c r="Q210" s="793">
        <f t="shared" si="34"/>
        <v>3062</v>
      </c>
      <c r="R210" s="763">
        <f t="shared" si="32"/>
        <v>46.39393939393939</v>
      </c>
    </row>
    <row r="211" spans="2:18" ht="12.75">
      <c r="B211" s="177">
        <f t="shared" si="31"/>
        <v>41</v>
      </c>
      <c r="C211" s="137"/>
      <c r="D211" s="137"/>
      <c r="E211" s="141"/>
      <c r="F211" s="160">
        <v>620</v>
      </c>
      <c r="G211" s="206" t="s">
        <v>264</v>
      </c>
      <c r="H211" s="346">
        <v>2310</v>
      </c>
      <c r="I211" s="346">
        <v>1110</v>
      </c>
      <c r="J211" s="620">
        <f t="shared" si="33"/>
        <v>48.05194805194805</v>
      </c>
      <c r="K211" s="139"/>
      <c r="L211" s="150"/>
      <c r="M211" s="335"/>
      <c r="N211" s="626"/>
      <c r="O211" s="139"/>
      <c r="P211" s="786">
        <f t="shared" si="34"/>
        <v>2310</v>
      </c>
      <c r="Q211" s="793">
        <f t="shared" si="34"/>
        <v>1110</v>
      </c>
      <c r="R211" s="763">
        <f t="shared" si="32"/>
        <v>48.05194805194805</v>
      </c>
    </row>
    <row r="212" spans="2:18" ht="12.75">
      <c r="B212" s="177">
        <f>B211+1</f>
        <v>42</v>
      </c>
      <c r="C212" s="137"/>
      <c r="D212" s="137"/>
      <c r="E212" s="143"/>
      <c r="F212" s="215">
        <v>630</v>
      </c>
      <c r="G212" s="206" t="s">
        <v>477</v>
      </c>
      <c r="H212" s="346">
        <f>SUM(H213:H216)</f>
        <v>13750</v>
      </c>
      <c r="I212" s="346">
        <f>SUM(I213:I216)</f>
        <v>8430</v>
      </c>
      <c r="J212" s="620">
        <f t="shared" si="33"/>
        <v>61.30909090909091</v>
      </c>
      <c r="K212" s="139"/>
      <c r="L212" s="150"/>
      <c r="M212" s="335"/>
      <c r="N212" s="626"/>
      <c r="O212" s="139"/>
      <c r="P212" s="786">
        <f t="shared" si="34"/>
        <v>13750</v>
      </c>
      <c r="Q212" s="793">
        <f t="shared" si="34"/>
        <v>8430</v>
      </c>
      <c r="R212" s="763">
        <f t="shared" si="32"/>
        <v>61.30909090909091</v>
      </c>
    </row>
    <row r="213" spans="2:18" ht="12.75">
      <c r="B213" s="177">
        <f>B212+1</f>
        <v>43</v>
      </c>
      <c r="C213" s="137"/>
      <c r="D213" s="137"/>
      <c r="E213" s="141"/>
      <c r="F213" s="141">
        <v>632</v>
      </c>
      <c r="G213" s="199" t="s">
        <v>250</v>
      </c>
      <c r="H213" s="341">
        <f>3000+2000</f>
        <v>5000</v>
      </c>
      <c r="I213" s="341">
        <v>3228</v>
      </c>
      <c r="J213" s="620">
        <f t="shared" si="33"/>
        <v>64.56</v>
      </c>
      <c r="K213" s="139"/>
      <c r="L213" s="150"/>
      <c r="M213" s="335"/>
      <c r="N213" s="626"/>
      <c r="O213" s="139"/>
      <c r="P213" s="759">
        <f t="shared" si="34"/>
        <v>5000</v>
      </c>
      <c r="Q213" s="771">
        <f t="shared" si="34"/>
        <v>3228</v>
      </c>
      <c r="R213" s="763">
        <f t="shared" si="32"/>
        <v>64.56</v>
      </c>
    </row>
    <row r="214" spans="2:18" ht="12.75">
      <c r="B214" s="177">
        <f aca="true" t="shared" si="35" ref="B214:B236">B213+1</f>
        <v>44</v>
      </c>
      <c r="C214" s="137"/>
      <c r="D214" s="137"/>
      <c r="E214" s="141"/>
      <c r="F214" s="141">
        <v>633</v>
      </c>
      <c r="G214" s="199" t="s">
        <v>251</v>
      </c>
      <c r="H214" s="335">
        <f>500+500</f>
        <v>1000</v>
      </c>
      <c r="I214" s="356">
        <v>1053</v>
      </c>
      <c r="J214" s="620">
        <f t="shared" si="33"/>
        <v>105.3</v>
      </c>
      <c r="K214" s="139"/>
      <c r="L214" s="150"/>
      <c r="M214" s="335"/>
      <c r="N214" s="626"/>
      <c r="O214" s="139"/>
      <c r="P214" s="759">
        <f t="shared" si="34"/>
        <v>1000</v>
      </c>
      <c r="Q214" s="771">
        <f t="shared" si="34"/>
        <v>1053</v>
      </c>
      <c r="R214" s="763">
        <f t="shared" si="32"/>
        <v>105.3</v>
      </c>
    </row>
    <row r="215" spans="2:18" ht="12.75">
      <c r="B215" s="177">
        <f t="shared" si="35"/>
        <v>45</v>
      </c>
      <c r="C215" s="137"/>
      <c r="D215" s="137"/>
      <c r="E215" s="141"/>
      <c r="F215" s="141">
        <v>635</v>
      </c>
      <c r="G215" s="199" t="s">
        <v>266</v>
      </c>
      <c r="H215" s="335">
        <v>50</v>
      </c>
      <c r="I215" s="335">
        <v>42</v>
      </c>
      <c r="J215" s="620">
        <f t="shared" si="33"/>
        <v>84</v>
      </c>
      <c r="K215" s="139"/>
      <c r="L215" s="150"/>
      <c r="M215" s="335"/>
      <c r="N215" s="626"/>
      <c r="O215" s="139"/>
      <c r="P215" s="759">
        <f t="shared" si="34"/>
        <v>50</v>
      </c>
      <c r="Q215" s="771">
        <f t="shared" si="34"/>
        <v>42</v>
      </c>
      <c r="R215" s="763">
        <f t="shared" si="32"/>
        <v>84</v>
      </c>
    </row>
    <row r="216" spans="2:18" ht="12.75">
      <c r="B216" s="177">
        <f t="shared" si="35"/>
        <v>46</v>
      </c>
      <c r="C216" s="137"/>
      <c r="D216" s="137"/>
      <c r="E216" s="141"/>
      <c r="F216" s="141">
        <v>637</v>
      </c>
      <c r="G216" s="199" t="s">
        <v>252</v>
      </c>
      <c r="H216" s="335">
        <v>7700</v>
      </c>
      <c r="I216" s="335">
        <v>4107</v>
      </c>
      <c r="J216" s="620">
        <f t="shared" si="33"/>
        <v>53.33766233766234</v>
      </c>
      <c r="K216" s="139"/>
      <c r="L216" s="150"/>
      <c r="M216" s="335"/>
      <c r="N216" s="626"/>
      <c r="O216" s="139"/>
      <c r="P216" s="759">
        <f t="shared" si="34"/>
        <v>7700</v>
      </c>
      <c r="Q216" s="771">
        <f t="shared" si="34"/>
        <v>4107</v>
      </c>
      <c r="R216" s="763">
        <f t="shared" si="32"/>
        <v>53.33766233766234</v>
      </c>
    </row>
    <row r="217" spans="2:18" ht="12.75">
      <c r="B217" s="177">
        <f t="shared" si="35"/>
        <v>47</v>
      </c>
      <c r="C217" s="137"/>
      <c r="D217" s="137"/>
      <c r="E217" s="141"/>
      <c r="F217" s="141">
        <v>717</v>
      </c>
      <c r="G217" s="199" t="s">
        <v>538</v>
      </c>
      <c r="H217" s="335"/>
      <c r="I217" s="335"/>
      <c r="J217" s="620"/>
      <c r="K217" s="139"/>
      <c r="L217" s="150">
        <v>39700</v>
      </c>
      <c r="M217" s="335">
        <v>0</v>
      </c>
      <c r="N217" s="635"/>
      <c r="O217" s="139"/>
      <c r="P217" s="759">
        <f t="shared" si="34"/>
        <v>39700</v>
      </c>
      <c r="Q217" s="771">
        <f t="shared" si="34"/>
        <v>0</v>
      </c>
      <c r="R217" s="763">
        <f t="shared" si="32"/>
        <v>0</v>
      </c>
    </row>
    <row r="218" spans="2:18" ht="15.75">
      <c r="B218" s="177">
        <f t="shared" si="35"/>
        <v>48</v>
      </c>
      <c r="C218" s="24">
        <v>6</v>
      </c>
      <c r="D218" s="134" t="s">
        <v>164</v>
      </c>
      <c r="E218" s="25"/>
      <c r="F218" s="25"/>
      <c r="G218" s="198"/>
      <c r="H218" s="372">
        <f>SUM(H219:H222)</f>
        <v>114504</v>
      </c>
      <c r="I218" s="372">
        <f>SUM(I219:I222)</f>
        <v>71448</v>
      </c>
      <c r="J218" s="620">
        <f t="shared" si="33"/>
        <v>62.39782016348774</v>
      </c>
      <c r="K218" s="90"/>
      <c r="L218" s="203">
        <f>SUM(L219:L226)</f>
        <v>222719</v>
      </c>
      <c r="M218" s="337">
        <f>SUM(M219:M226)</f>
        <v>792</v>
      </c>
      <c r="N218" s="635">
        <f>M218/L218*100</f>
        <v>0.35560504492207673</v>
      </c>
      <c r="O218" s="90"/>
      <c r="P218" s="754">
        <f t="shared" si="34"/>
        <v>337223</v>
      </c>
      <c r="Q218" s="766">
        <f t="shared" si="34"/>
        <v>72240</v>
      </c>
      <c r="R218" s="763">
        <f t="shared" si="32"/>
        <v>21.422026374239007</v>
      </c>
    </row>
    <row r="219" spans="2:18" ht="12.75">
      <c r="B219" s="177">
        <f t="shared" si="35"/>
        <v>49</v>
      </c>
      <c r="C219" s="137"/>
      <c r="D219" s="137"/>
      <c r="E219" s="143" t="s">
        <v>288</v>
      </c>
      <c r="F219" s="141">
        <v>632</v>
      </c>
      <c r="G219" s="199" t="s">
        <v>524</v>
      </c>
      <c r="H219" s="335">
        <f>34000-6000</f>
        <v>28000</v>
      </c>
      <c r="I219" s="335">
        <v>12192</v>
      </c>
      <c r="J219" s="620">
        <f t="shared" si="33"/>
        <v>43.542857142857144</v>
      </c>
      <c r="K219" s="139"/>
      <c r="L219" s="150"/>
      <c r="M219" s="335"/>
      <c r="N219" s="635"/>
      <c r="O219" s="139"/>
      <c r="P219" s="759">
        <f t="shared" si="34"/>
        <v>28000</v>
      </c>
      <c r="Q219" s="771">
        <f t="shared" si="34"/>
        <v>12192</v>
      </c>
      <c r="R219" s="763">
        <f t="shared" si="32"/>
        <v>43.542857142857144</v>
      </c>
    </row>
    <row r="220" spans="2:18" ht="12.75">
      <c r="B220" s="177">
        <f t="shared" si="35"/>
        <v>50</v>
      </c>
      <c r="C220" s="137"/>
      <c r="D220" s="137"/>
      <c r="E220" s="143" t="s">
        <v>288</v>
      </c>
      <c r="F220" s="141">
        <v>637</v>
      </c>
      <c r="G220" s="199" t="s">
        <v>525</v>
      </c>
      <c r="H220" s="335">
        <v>80000</v>
      </c>
      <c r="I220" s="335">
        <v>52829</v>
      </c>
      <c r="J220" s="620">
        <f t="shared" si="33"/>
        <v>66.03625</v>
      </c>
      <c r="K220" s="139"/>
      <c r="L220" s="150"/>
      <c r="M220" s="335"/>
      <c r="N220" s="635"/>
      <c r="O220" s="139"/>
      <c r="P220" s="759">
        <f t="shared" si="34"/>
        <v>80000</v>
      </c>
      <c r="Q220" s="771">
        <f t="shared" si="34"/>
        <v>52829</v>
      </c>
      <c r="R220" s="763">
        <f t="shared" si="32"/>
        <v>66.03625</v>
      </c>
    </row>
    <row r="221" spans="2:18" ht="12.75">
      <c r="B221" s="177">
        <f t="shared" si="35"/>
        <v>51</v>
      </c>
      <c r="C221" s="137"/>
      <c r="D221" s="137"/>
      <c r="E221" s="143" t="s">
        <v>288</v>
      </c>
      <c r="F221" s="141">
        <v>637</v>
      </c>
      <c r="G221" s="199" t="s">
        <v>320</v>
      </c>
      <c r="H221" s="335">
        <f>1000-700</f>
        <v>300</v>
      </c>
      <c r="I221" s="335">
        <v>223</v>
      </c>
      <c r="J221" s="620">
        <f t="shared" si="33"/>
        <v>74.33333333333333</v>
      </c>
      <c r="K221" s="139"/>
      <c r="L221" s="150"/>
      <c r="M221" s="335"/>
      <c r="N221" s="635"/>
      <c r="O221" s="139"/>
      <c r="P221" s="759">
        <f t="shared" si="34"/>
        <v>300</v>
      </c>
      <c r="Q221" s="771">
        <f t="shared" si="34"/>
        <v>223</v>
      </c>
      <c r="R221" s="763">
        <f t="shared" si="32"/>
        <v>74.33333333333333</v>
      </c>
    </row>
    <row r="222" spans="2:18" ht="12.75">
      <c r="B222" s="177">
        <f t="shared" si="35"/>
        <v>52</v>
      </c>
      <c r="C222" s="137"/>
      <c r="D222" s="137"/>
      <c r="E222" s="143" t="s">
        <v>288</v>
      </c>
      <c r="F222" s="141">
        <v>637</v>
      </c>
      <c r="G222" s="199" t="s">
        <v>782</v>
      </c>
      <c r="H222" s="335">
        <v>6204</v>
      </c>
      <c r="I222" s="335">
        <v>6204</v>
      </c>
      <c r="J222" s="620">
        <f t="shared" si="33"/>
        <v>100</v>
      </c>
      <c r="K222" s="139"/>
      <c r="L222" s="150"/>
      <c r="M222" s="335"/>
      <c r="N222" s="635"/>
      <c r="O222" s="139"/>
      <c r="P222" s="759">
        <f t="shared" si="34"/>
        <v>6204</v>
      </c>
      <c r="Q222" s="771">
        <f t="shared" si="34"/>
        <v>6204</v>
      </c>
      <c r="R222" s="763">
        <f t="shared" si="32"/>
        <v>100</v>
      </c>
    </row>
    <row r="223" spans="2:18" ht="12.75">
      <c r="B223" s="177">
        <f t="shared" si="35"/>
        <v>53</v>
      </c>
      <c r="C223" s="137"/>
      <c r="D223" s="137"/>
      <c r="E223" s="143" t="s">
        <v>288</v>
      </c>
      <c r="F223" s="141">
        <v>717</v>
      </c>
      <c r="G223" s="199" t="s">
        <v>589</v>
      </c>
      <c r="H223" s="335"/>
      <c r="I223" s="335"/>
      <c r="J223" s="620"/>
      <c r="K223" s="139"/>
      <c r="L223" s="150">
        <f>231800-17664</f>
        <v>214136</v>
      </c>
      <c r="M223" s="335">
        <v>0</v>
      </c>
      <c r="N223" s="635">
        <f>M223/L223*100</f>
        <v>0</v>
      </c>
      <c r="O223" s="139"/>
      <c r="P223" s="759">
        <f t="shared" si="34"/>
        <v>214136</v>
      </c>
      <c r="Q223" s="771">
        <f t="shared" si="34"/>
        <v>0</v>
      </c>
      <c r="R223" s="763">
        <f t="shared" si="32"/>
        <v>0</v>
      </c>
    </row>
    <row r="224" spans="2:18" ht="12.75">
      <c r="B224" s="177">
        <f t="shared" si="35"/>
        <v>54</v>
      </c>
      <c r="C224" s="137"/>
      <c r="D224" s="137"/>
      <c r="E224" s="143" t="s">
        <v>288</v>
      </c>
      <c r="F224" s="141">
        <v>716</v>
      </c>
      <c r="G224" s="199" t="s">
        <v>474</v>
      </c>
      <c r="H224" s="335"/>
      <c r="I224" s="335"/>
      <c r="J224" s="620"/>
      <c r="K224" s="139"/>
      <c r="L224" s="150">
        <v>1583</v>
      </c>
      <c r="M224" s="335">
        <v>792</v>
      </c>
      <c r="N224" s="635">
        <f>M224/L224*100</f>
        <v>50.03158559696779</v>
      </c>
      <c r="O224" s="139"/>
      <c r="P224" s="759">
        <f t="shared" si="34"/>
        <v>1583</v>
      </c>
      <c r="Q224" s="771">
        <f t="shared" si="34"/>
        <v>792</v>
      </c>
      <c r="R224" s="763">
        <f t="shared" si="32"/>
        <v>50.03158559696779</v>
      </c>
    </row>
    <row r="225" spans="2:18" ht="12.75">
      <c r="B225" s="177">
        <f t="shared" si="35"/>
        <v>55</v>
      </c>
      <c r="C225" s="137"/>
      <c r="D225" s="169"/>
      <c r="E225" s="143" t="s">
        <v>288</v>
      </c>
      <c r="F225" s="143">
        <v>716</v>
      </c>
      <c r="G225" s="199" t="s">
        <v>720</v>
      </c>
      <c r="H225" s="341"/>
      <c r="I225" s="341"/>
      <c r="J225" s="620"/>
      <c r="K225" s="139"/>
      <c r="L225" s="168">
        <v>5000</v>
      </c>
      <c r="M225" s="341">
        <v>0</v>
      </c>
      <c r="N225" s="635"/>
      <c r="O225" s="139"/>
      <c r="P225" s="759">
        <f t="shared" si="34"/>
        <v>5000</v>
      </c>
      <c r="Q225" s="771">
        <f t="shared" si="34"/>
        <v>0</v>
      </c>
      <c r="R225" s="763">
        <f t="shared" si="32"/>
        <v>0</v>
      </c>
    </row>
    <row r="226" spans="2:18" ht="12.75">
      <c r="B226" s="177">
        <f t="shared" si="35"/>
        <v>56</v>
      </c>
      <c r="C226" s="137"/>
      <c r="D226" s="169"/>
      <c r="E226" s="143" t="s">
        <v>288</v>
      </c>
      <c r="F226" s="143">
        <v>716</v>
      </c>
      <c r="G226" s="199" t="s">
        <v>823</v>
      </c>
      <c r="H226" s="341"/>
      <c r="I226" s="341"/>
      <c r="J226" s="620"/>
      <c r="K226" s="139"/>
      <c r="L226" s="168">
        <v>2000</v>
      </c>
      <c r="M226" s="341">
        <v>0</v>
      </c>
      <c r="N226" s="626"/>
      <c r="O226" s="139"/>
      <c r="P226" s="759">
        <f t="shared" si="34"/>
        <v>2000</v>
      </c>
      <c r="Q226" s="771">
        <f t="shared" si="34"/>
        <v>0</v>
      </c>
      <c r="R226" s="763">
        <f t="shared" si="32"/>
        <v>0</v>
      </c>
    </row>
    <row r="227" spans="2:18" ht="15.75">
      <c r="B227" s="177">
        <f t="shared" si="35"/>
        <v>57</v>
      </c>
      <c r="C227" s="24">
        <v>7</v>
      </c>
      <c r="D227" s="134" t="s">
        <v>604</v>
      </c>
      <c r="E227" s="25"/>
      <c r="F227" s="25"/>
      <c r="G227" s="198"/>
      <c r="H227" s="372">
        <f>H228</f>
        <v>2875</v>
      </c>
      <c r="I227" s="372">
        <f>I228</f>
        <v>930</v>
      </c>
      <c r="J227" s="620">
        <f t="shared" si="33"/>
        <v>32.34782608695652</v>
      </c>
      <c r="K227" s="90"/>
      <c r="L227" s="410">
        <v>0</v>
      </c>
      <c r="M227" s="348">
        <v>0</v>
      </c>
      <c r="N227" s="626"/>
      <c r="O227" s="90"/>
      <c r="P227" s="754">
        <f t="shared" si="34"/>
        <v>2875</v>
      </c>
      <c r="Q227" s="766">
        <f t="shared" si="34"/>
        <v>930</v>
      </c>
      <c r="R227" s="763">
        <f t="shared" si="32"/>
        <v>32.34782608695652</v>
      </c>
    </row>
    <row r="228" spans="2:18" ht="12.75">
      <c r="B228" s="177">
        <f t="shared" si="35"/>
        <v>58</v>
      </c>
      <c r="C228" s="137"/>
      <c r="D228" s="137"/>
      <c r="E228" s="232" t="s">
        <v>447</v>
      </c>
      <c r="F228" s="230"/>
      <c r="G228" s="229" t="s">
        <v>475</v>
      </c>
      <c r="H228" s="345">
        <f>H229+H230+H231</f>
        <v>2875</v>
      </c>
      <c r="I228" s="345">
        <f>I229+I230+I231</f>
        <v>930</v>
      </c>
      <c r="J228" s="620">
        <f t="shared" si="33"/>
        <v>32.34782608695652</v>
      </c>
      <c r="K228" s="139"/>
      <c r="L228" s="150"/>
      <c r="M228" s="335"/>
      <c r="N228" s="626"/>
      <c r="O228" s="139"/>
      <c r="P228" s="786">
        <f t="shared" si="34"/>
        <v>2875</v>
      </c>
      <c r="Q228" s="793">
        <f t="shared" si="34"/>
        <v>930</v>
      </c>
      <c r="R228" s="763">
        <f t="shared" si="32"/>
        <v>32.34782608695652</v>
      </c>
    </row>
    <row r="229" spans="2:18" ht="12.75">
      <c r="B229" s="177">
        <f t="shared" si="35"/>
        <v>59</v>
      </c>
      <c r="C229" s="137"/>
      <c r="D229" s="137"/>
      <c r="E229" s="143"/>
      <c r="F229" s="160">
        <v>610</v>
      </c>
      <c r="G229" s="206" t="s">
        <v>262</v>
      </c>
      <c r="H229" s="346">
        <v>700</v>
      </c>
      <c r="I229" s="346">
        <v>300</v>
      </c>
      <c r="J229" s="620">
        <f t="shared" si="33"/>
        <v>42.857142857142854</v>
      </c>
      <c r="K229" s="139"/>
      <c r="L229" s="150"/>
      <c r="M229" s="335"/>
      <c r="N229" s="626"/>
      <c r="O229" s="139"/>
      <c r="P229" s="786">
        <f t="shared" si="34"/>
        <v>700</v>
      </c>
      <c r="Q229" s="793">
        <f t="shared" si="34"/>
        <v>300</v>
      </c>
      <c r="R229" s="763">
        <f t="shared" si="32"/>
        <v>42.857142857142854</v>
      </c>
    </row>
    <row r="230" spans="2:18" ht="12.75">
      <c r="B230" s="177">
        <f t="shared" si="35"/>
        <v>60</v>
      </c>
      <c r="C230" s="137"/>
      <c r="D230" s="137"/>
      <c r="E230" s="143"/>
      <c r="F230" s="160">
        <v>620</v>
      </c>
      <c r="G230" s="206" t="s">
        <v>264</v>
      </c>
      <c r="H230" s="346">
        <v>245</v>
      </c>
      <c r="I230" s="346">
        <v>107</v>
      </c>
      <c r="J230" s="620">
        <f t="shared" si="33"/>
        <v>43.673469387755105</v>
      </c>
      <c r="K230" s="139"/>
      <c r="L230" s="150"/>
      <c r="M230" s="335"/>
      <c r="N230" s="626"/>
      <c r="O230" s="139"/>
      <c r="P230" s="786">
        <f t="shared" si="34"/>
        <v>245</v>
      </c>
      <c r="Q230" s="793">
        <f t="shared" si="34"/>
        <v>107</v>
      </c>
      <c r="R230" s="763">
        <f t="shared" si="32"/>
        <v>43.673469387755105</v>
      </c>
    </row>
    <row r="231" spans="2:18" ht="12.75">
      <c r="B231" s="177">
        <f t="shared" si="35"/>
        <v>61</v>
      </c>
      <c r="C231" s="137"/>
      <c r="D231" s="137"/>
      <c r="E231" s="143"/>
      <c r="F231" s="160">
        <v>630</v>
      </c>
      <c r="G231" s="206" t="s">
        <v>477</v>
      </c>
      <c r="H231" s="346">
        <f>SUM(H232:H235)</f>
        <v>1930</v>
      </c>
      <c r="I231" s="346">
        <f>SUM(I232:I235)</f>
        <v>523</v>
      </c>
      <c r="J231" s="620">
        <f t="shared" si="33"/>
        <v>27.09844559585492</v>
      </c>
      <c r="K231" s="139"/>
      <c r="L231" s="150"/>
      <c r="M231" s="335"/>
      <c r="N231" s="626"/>
      <c r="O231" s="139"/>
      <c r="P231" s="786">
        <f t="shared" si="34"/>
        <v>1930</v>
      </c>
      <c r="Q231" s="793">
        <f t="shared" si="34"/>
        <v>523</v>
      </c>
      <c r="R231" s="763">
        <f t="shared" si="32"/>
        <v>27.09844559585492</v>
      </c>
    </row>
    <row r="232" spans="2:18" ht="12.75">
      <c r="B232" s="177">
        <f t="shared" si="35"/>
        <v>62</v>
      </c>
      <c r="C232" s="137"/>
      <c r="D232" s="137"/>
      <c r="E232" s="143"/>
      <c r="F232" s="141">
        <v>633</v>
      </c>
      <c r="G232" s="199" t="s">
        <v>251</v>
      </c>
      <c r="H232" s="335">
        <v>800</v>
      </c>
      <c r="I232" s="335">
        <v>276</v>
      </c>
      <c r="J232" s="620">
        <f t="shared" si="33"/>
        <v>34.5</v>
      </c>
      <c r="K232" s="139"/>
      <c r="L232" s="150"/>
      <c r="M232" s="335"/>
      <c r="N232" s="626"/>
      <c r="O232" s="139"/>
      <c r="P232" s="759">
        <f t="shared" si="34"/>
        <v>800</v>
      </c>
      <c r="Q232" s="771">
        <f t="shared" si="34"/>
        <v>276</v>
      </c>
      <c r="R232" s="763">
        <f t="shared" si="32"/>
        <v>34.5</v>
      </c>
    </row>
    <row r="233" spans="2:18" ht="12.75">
      <c r="B233" s="177">
        <f t="shared" si="35"/>
        <v>63</v>
      </c>
      <c r="C233" s="137"/>
      <c r="D233" s="137"/>
      <c r="E233" s="143"/>
      <c r="F233" s="141">
        <v>634</v>
      </c>
      <c r="G233" s="199" t="s">
        <v>265</v>
      </c>
      <c r="H233" s="335">
        <v>450</v>
      </c>
      <c r="I233" s="335">
        <v>182</v>
      </c>
      <c r="J233" s="620">
        <f t="shared" si="33"/>
        <v>40.44444444444444</v>
      </c>
      <c r="K233" s="139"/>
      <c r="L233" s="150"/>
      <c r="M233" s="335"/>
      <c r="N233" s="626"/>
      <c r="O233" s="139"/>
      <c r="P233" s="759">
        <f t="shared" si="34"/>
        <v>450</v>
      </c>
      <c r="Q233" s="771">
        <f t="shared" si="34"/>
        <v>182</v>
      </c>
      <c r="R233" s="763">
        <f t="shared" si="32"/>
        <v>40.44444444444444</v>
      </c>
    </row>
    <row r="234" spans="2:18" ht="12.75">
      <c r="B234" s="177">
        <f t="shared" si="35"/>
        <v>64</v>
      </c>
      <c r="C234" s="137"/>
      <c r="D234" s="137"/>
      <c r="E234" s="143"/>
      <c r="F234" s="141">
        <v>635</v>
      </c>
      <c r="G234" s="199" t="s">
        <v>266</v>
      </c>
      <c r="H234" s="335">
        <v>350</v>
      </c>
      <c r="I234" s="335">
        <v>0</v>
      </c>
      <c r="J234" s="620">
        <f t="shared" si="33"/>
        <v>0</v>
      </c>
      <c r="K234" s="139"/>
      <c r="L234" s="150"/>
      <c r="M234" s="335"/>
      <c r="N234" s="626"/>
      <c r="O234" s="139"/>
      <c r="P234" s="759">
        <f t="shared" si="34"/>
        <v>350</v>
      </c>
      <c r="Q234" s="771">
        <f t="shared" si="34"/>
        <v>0</v>
      </c>
      <c r="R234" s="763">
        <f t="shared" si="32"/>
        <v>0</v>
      </c>
    </row>
    <row r="235" spans="2:18" ht="12.75">
      <c r="B235" s="177">
        <f t="shared" si="35"/>
        <v>65</v>
      </c>
      <c r="C235" s="137"/>
      <c r="D235" s="137"/>
      <c r="E235" s="143"/>
      <c r="F235" s="141">
        <v>637</v>
      </c>
      <c r="G235" s="199" t="s">
        <v>252</v>
      </c>
      <c r="H235" s="335">
        <v>330</v>
      </c>
      <c r="I235" s="335">
        <v>65</v>
      </c>
      <c r="J235" s="620">
        <f t="shared" si="33"/>
        <v>19.696969696969695</v>
      </c>
      <c r="K235" s="139"/>
      <c r="L235" s="150"/>
      <c r="M235" s="335"/>
      <c r="N235" s="626"/>
      <c r="O235" s="139"/>
      <c r="P235" s="759">
        <f t="shared" si="34"/>
        <v>330</v>
      </c>
      <c r="Q235" s="771">
        <f t="shared" si="34"/>
        <v>65</v>
      </c>
      <c r="R235" s="763">
        <f t="shared" si="32"/>
        <v>19.696969696969695</v>
      </c>
    </row>
    <row r="236" spans="2:18" ht="16.5" thickBot="1">
      <c r="B236" s="816">
        <f t="shared" si="35"/>
        <v>66</v>
      </c>
      <c r="C236" s="815">
        <v>8</v>
      </c>
      <c r="D236" s="272" t="s">
        <v>587</v>
      </c>
      <c r="E236" s="273"/>
      <c r="F236" s="273"/>
      <c r="G236" s="274"/>
      <c r="H236" s="374">
        <v>0</v>
      </c>
      <c r="I236" s="374">
        <v>0</v>
      </c>
      <c r="J236" s="621"/>
      <c r="K236" s="128"/>
      <c r="L236" s="630">
        <v>0</v>
      </c>
      <c r="M236" s="350">
        <v>0</v>
      </c>
      <c r="N236" s="629"/>
      <c r="O236" s="275"/>
      <c r="P236" s="760">
        <f t="shared" si="34"/>
        <v>0</v>
      </c>
      <c r="Q236" s="772">
        <f t="shared" si="34"/>
        <v>0</v>
      </c>
      <c r="R236" s="764"/>
    </row>
    <row r="252" spans="2:16" ht="31.5" customHeight="1" thickBot="1">
      <c r="B252" s="248" t="s">
        <v>139</v>
      </c>
      <c r="C252" s="248"/>
      <c r="D252" s="248"/>
      <c r="E252" s="248"/>
      <c r="F252" s="248"/>
      <c r="G252" s="248"/>
      <c r="H252" s="248"/>
      <c r="I252" s="248"/>
      <c r="J252" s="248"/>
      <c r="K252" s="248"/>
      <c r="L252" s="248"/>
      <c r="M252" s="248"/>
      <c r="N252" s="248"/>
      <c r="O252" s="248"/>
      <c r="P252" s="248"/>
    </row>
    <row r="253" spans="2:18" ht="13.5" thickBot="1">
      <c r="B253" s="1074" t="s">
        <v>778</v>
      </c>
      <c r="C253" s="1075"/>
      <c r="D253" s="1075"/>
      <c r="E253" s="1075"/>
      <c r="F253" s="1075"/>
      <c r="G253" s="1075"/>
      <c r="H253" s="1075"/>
      <c r="I253" s="1075"/>
      <c r="J253" s="1075"/>
      <c r="K253" s="1075"/>
      <c r="L253" s="1076"/>
      <c r="M253" s="599"/>
      <c r="N253" s="628"/>
      <c r="O253" s="127"/>
      <c r="P253" s="1091" t="s">
        <v>811</v>
      </c>
      <c r="Q253" s="1101" t="s">
        <v>836</v>
      </c>
      <c r="R253" s="761"/>
    </row>
    <row r="254" spans="2:18" ht="23.25" customHeight="1" thickTop="1">
      <c r="B254" s="23"/>
      <c r="C254" s="1083" t="s">
        <v>512</v>
      </c>
      <c r="D254" s="1083" t="s">
        <v>511</v>
      </c>
      <c r="E254" s="1083" t="s">
        <v>509</v>
      </c>
      <c r="F254" s="1083" t="s">
        <v>510</v>
      </c>
      <c r="G254" s="319" t="s">
        <v>3</v>
      </c>
      <c r="H254" s="1085" t="s">
        <v>806</v>
      </c>
      <c r="I254" s="1087" t="s">
        <v>836</v>
      </c>
      <c r="J254" s="1072" t="s">
        <v>835</v>
      </c>
      <c r="K254" s="80"/>
      <c r="L254" s="1094" t="s">
        <v>810</v>
      </c>
      <c r="M254" s="1094" t="s">
        <v>836</v>
      </c>
      <c r="N254" s="1072" t="s">
        <v>835</v>
      </c>
      <c r="O254" s="80"/>
      <c r="P254" s="1092"/>
      <c r="Q254" s="1102"/>
      <c r="R254" s="1047" t="s">
        <v>835</v>
      </c>
    </row>
    <row r="255" spans="2:18" ht="31.5" customHeight="1" thickBot="1">
      <c r="B255" s="26"/>
      <c r="C255" s="1084"/>
      <c r="D255" s="1084"/>
      <c r="E255" s="1084"/>
      <c r="F255" s="1084"/>
      <c r="G255" s="196"/>
      <c r="H255" s="1086"/>
      <c r="I255" s="1086"/>
      <c r="J255" s="1073"/>
      <c r="K255" s="80"/>
      <c r="L255" s="1095"/>
      <c r="M255" s="1095"/>
      <c r="N255" s="1073"/>
      <c r="O255" s="80"/>
      <c r="P255" s="1093"/>
      <c r="Q255" s="1103"/>
      <c r="R255" s="1048"/>
    </row>
    <row r="256" spans="2:18" ht="19.5" thickBot="1" thickTop="1">
      <c r="B256" s="177">
        <v>1</v>
      </c>
      <c r="C256" s="132" t="s">
        <v>213</v>
      </c>
      <c r="D256" s="112"/>
      <c r="E256" s="112"/>
      <c r="F256" s="112"/>
      <c r="G256" s="197"/>
      <c r="H256" s="367">
        <f>H257+H269+H289+H291+H293</f>
        <v>1562500</v>
      </c>
      <c r="I256" s="373">
        <f>I257+I269+I289+I291+I293</f>
        <v>780150</v>
      </c>
      <c r="J256" s="595">
        <f>I256/H256*100</f>
        <v>49.9296</v>
      </c>
      <c r="K256" s="114"/>
      <c r="L256" s="336">
        <f>L257+L269+L289+L291+L293</f>
        <v>1197784</v>
      </c>
      <c r="M256" s="365">
        <f>M257+M269+M289+M291+M293</f>
        <v>587391</v>
      </c>
      <c r="N256" s="595">
        <f>M256/L256*100</f>
        <v>49.039810182804246</v>
      </c>
      <c r="O256" s="114"/>
      <c r="P256" s="799">
        <f aca="true" t="shared" si="36" ref="P256:Q281">H256+L256</f>
        <v>2760284</v>
      </c>
      <c r="Q256" s="807">
        <f t="shared" si="36"/>
        <v>1367541</v>
      </c>
      <c r="R256" s="789">
        <f>Q256/P256*100</f>
        <v>49.54348900330546</v>
      </c>
    </row>
    <row r="257" spans="2:18" ht="16.5" thickTop="1">
      <c r="B257" s="177">
        <f aca="true" t="shared" si="37" ref="B257:B292">B256+1</f>
        <v>2</v>
      </c>
      <c r="C257" s="24">
        <v>1</v>
      </c>
      <c r="D257" s="134" t="s">
        <v>140</v>
      </c>
      <c r="E257" s="25"/>
      <c r="F257" s="25"/>
      <c r="G257" s="198"/>
      <c r="H257" s="368">
        <f>H258+H259+H260+H268</f>
        <v>900000</v>
      </c>
      <c r="I257" s="368">
        <f>I258+I259+I260+I268</f>
        <v>415930</v>
      </c>
      <c r="J257" s="619">
        <f>I257/H257*100</f>
        <v>46.214444444444446</v>
      </c>
      <c r="K257" s="90"/>
      <c r="L257" s="353">
        <f>SUM(L258:L266)</f>
        <v>0</v>
      </c>
      <c r="M257" s="353">
        <f>SUM(M258:M266)</f>
        <v>0</v>
      </c>
      <c r="N257" s="619"/>
      <c r="O257" s="90"/>
      <c r="P257" s="800">
        <f t="shared" si="36"/>
        <v>900000</v>
      </c>
      <c r="Q257" s="808">
        <f t="shared" si="36"/>
        <v>415930</v>
      </c>
      <c r="R257" s="790">
        <f>Q257/P257*100</f>
        <v>46.214444444444446</v>
      </c>
    </row>
    <row r="258" spans="2:18" ht="12.75">
      <c r="B258" s="177">
        <f t="shared" si="37"/>
        <v>3</v>
      </c>
      <c r="C258" s="153"/>
      <c r="D258" s="154"/>
      <c r="E258" s="138" t="s">
        <v>324</v>
      </c>
      <c r="F258" s="154" t="s">
        <v>214</v>
      </c>
      <c r="G258" s="206" t="s">
        <v>262</v>
      </c>
      <c r="H258" s="354">
        <v>556300</v>
      </c>
      <c r="I258" s="354">
        <v>274305</v>
      </c>
      <c r="J258" s="620">
        <f>I258/H258*100</f>
        <v>49.30882617292828</v>
      </c>
      <c r="K258" s="156"/>
      <c r="L258" s="346"/>
      <c r="M258" s="346"/>
      <c r="N258" s="620"/>
      <c r="O258" s="156"/>
      <c r="P258" s="801">
        <f t="shared" si="36"/>
        <v>556300</v>
      </c>
      <c r="Q258" s="809">
        <f t="shared" si="36"/>
        <v>274305</v>
      </c>
      <c r="R258" s="763">
        <f aca="true" t="shared" si="38" ref="R258:R298">Q258/P258*100</f>
        <v>49.30882617292828</v>
      </c>
    </row>
    <row r="259" spans="2:18" ht="12.75">
      <c r="B259" s="177">
        <f t="shared" si="37"/>
        <v>4</v>
      </c>
      <c r="C259" s="153"/>
      <c r="D259" s="154"/>
      <c r="E259" s="138" t="s">
        <v>324</v>
      </c>
      <c r="F259" s="154" t="s">
        <v>215</v>
      </c>
      <c r="G259" s="206" t="s">
        <v>322</v>
      </c>
      <c r="H259" s="354">
        <v>202500</v>
      </c>
      <c r="I259" s="354">
        <v>98546</v>
      </c>
      <c r="J259" s="620">
        <f aca="true" t="shared" si="39" ref="J259:J298">I259/H259*100</f>
        <v>48.66469135802469</v>
      </c>
      <c r="K259" s="156"/>
      <c r="L259" s="354"/>
      <c r="M259" s="354"/>
      <c r="N259" s="620"/>
      <c r="O259" s="156"/>
      <c r="P259" s="801">
        <f t="shared" si="36"/>
        <v>202500</v>
      </c>
      <c r="Q259" s="809">
        <f t="shared" si="36"/>
        <v>98546</v>
      </c>
      <c r="R259" s="763">
        <f t="shared" si="38"/>
        <v>48.66469135802469</v>
      </c>
    </row>
    <row r="260" spans="2:18" ht="12.75">
      <c r="B260" s="177">
        <f t="shared" si="37"/>
        <v>5</v>
      </c>
      <c r="C260" s="153"/>
      <c r="D260" s="154"/>
      <c r="E260" s="138" t="s">
        <v>324</v>
      </c>
      <c r="F260" s="154" t="s">
        <v>221</v>
      </c>
      <c r="G260" s="206" t="s">
        <v>254</v>
      </c>
      <c r="H260" s="354">
        <f>SUM(H261:H267)</f>
        <v>141034</v>
      </c>
      <c r="I260" s="354">
        <f>SUM(I261:I267)</f>
        <v>42598</v>
      </c>
      <c r="J260" s="620">
        <f t="shared" si="39"/>
        <v>30.20406426819065</v>
      </c>
      <c r="K260" s="156"/>
      <c r="L260" s="354"/>
      <c r="M260" s="354"/>
      <c r="N260" s="620"/>
      <c r="O260" s="156"/>
      <c r="P260" s="801">
        <f t="shared" si="36"/>
        <v>141034</v>
      </c>
      <c r="Q260" s="809">
        <f t="shared" si="36"/>
        <v>42598</v>
      </c>
      <c r="R260" s="763">
        <f t="shared" si="38"/>
        <v>30.20406426819065</v>
      </c>
    </row>
    <row r="261" spans="2:18" ht="12.75">
      <c r="B261" s="177">
        <f t="shared" si="37"/>
        <v>6</v>
      </c>
      <c r="C261" s="137"/>
      <c r="D261" s="138"/>
      <c r="E261" s="138"/>
      <c r="F261" s="138" t="s">
        <v>216</v>
      </c>
      <c r="G261" s="199" t="s">
        <v>323</v>
      </c>
      <c r="H261" s="339">
        <v>970</v>
      </c>
      <c r="I261" s="339">
        <v>147</v>
      </c>
      <c r="J261" s="620">
        <f t="shared" si="39"/>
        <v>15.154639175257731</v>
      </c>
      <c r="K261" s="139"/>
      <c r="L261" s="339"/>
      <c r="M261" s="339"/>
      <c r="N261" s="620"/>
      <c r="O261" s="139"/>
      <c r="P261" s="802">
        <f t="shared" si="36"/>
        <v>970</v>
      </c>
      <c r="Q261" s="810">
        <f t="shared" si="36"/>
        <v>147</v>
      </c>
      <c r="R261" s="763">
        <f t="shared" si="38"/>
        <v>15.154639175257731</v>
      </c>
    </row>
    <row r="262" spans="2:18" ht="12.75">
      <c r="B262" s="177">
        <f t="shared" si="37"/>
        <v>7</v>
      </c>
      <c r="C262" s="137"/>
      <c r="D262" s="138"/>
      <c r="E262" s="138"/>
      <c r="F262" s="138" t="s">
        <v>202</v>
      </c>
      <c r="G262" s="199" t="s">
        <v>250</v>
      </c>
      <c r="H262" s="339">
        <v>25000</v>
      </c>
      <c r="I262" s="339">
        <v>9412</v>
      </c>
      <c r="J262" s="620">
        <f t="shared" si="39"/>
        <v>37.647999999999996</v>
      </c>
      <c r="K262" s="139"/>
      <c r="L262" s="339"/>
      <c r="M262" s="339"/>
      <c r="N262" s="620"/>
      <c r="O262" s="139"/>
      <c r="P262" s="802">
        <f t="shared" si="36"/>
        <v>25000</v>
      </c>
      <c r="Q262" s="810">
        <f t="shared" si="36"/>
        <v>9412</v>
      </c>
      <c r="R262" s="763">
        <f t="shared" si="38"/>
        <v>37.647999999999996</v>
      </c>
    </row>
    <row r="263" spans="2:18" ht="12.75">
      <c r="B263" s="177">
        <f t="shared" si="37"/>
        <v>8</v>
      </c>
      <c r="C263" s="137"/>
      <c r="D263" s="138"/>
      <c r="E263" s="138"/>
      <c r="F263" s="138" t="s">
        <v>203</v>
      </c>
      <c r="G263" s="199" t="s">
        <v>251</v>
      </c>
      <c r="H263" s="339">
        <v>37649</v>
      </c>
      <c r="I263" s="339">
        <v>2196</v>
      </c>
      <c r="J263" s="620">
        <f t="shared" si="39"/>
        <v>5.832824244999867</v>
      </c>
      <c r="K263" s="139"/>
      <c r="L263" s="339"/>
      <c r="M263" s="339"/>
      <c r="N263" s="620"/>
      <c r="O263" s="139"/>
      <c r="P263" s="802">
        <f t="shared" si="36"/>
        <v>37649</v>
      </c>
      <c r="Q263" s="810">
        <f t="shared" si="36"/>
        <v>2196</v>
      </c>
      <c r="R263" s="763">
        <f t="shared" si="38"/>
        <v>5.832824244999867</v>
      </c>
    </row>
    <row r="264" spans="2:18" ht="12.75">
      <c r="B264" s="177">
        <f t="shared" si="37"/>
        <v>9</v>
      </c>
      <c r="C264" s="137"/>
      <c r="D264" s="138"/>
      <c r="E264" s="138"/>
      <c r="F264" s="138" t="s">
        <v>204</v>
      </c>
      <c r="G264" s="199" t="s">
        <v>265</v>
      </c>
      <c r="H264" s="339">
        <v>31980</v>
      </c>
      <c r="I264" s="339">
        <v>12000</v>
      </c>
      <c r="J264" s="620">
        <f t="shared" si="39"/>
        <v>37.5234521575985</v>
      </c>
      <c r="K264" s="139"/>
      <c r="L264" s="339"/>
      <c r="M264" s="339"/>
      <c r="N264" s="620"/>
      <c r="O264" s="139"/>
      <c r="P264" s="802">
        <f t="shared" si="36"/>
        <v>31980</v>
      </c>
      <c r="Q264" s="810">
        <f t="shared" si="36"/>
        <v>12000</v>
      </c>
      <c r="R264" s="763">
        <f t="shared" si="38"/>
        <v>37.5234521575985</v>
      </c>
    </row>
    <row r="265" spans="2:18" ht="12.75">
      <c r="B265" s="177">
        <f t="shared" si="37"/>
        <v>10</v>
      </c>
      <c r="C265" s="137"/>
      <c r="D265" s="138"/>
      <c r="E265" s="138"/>
      <c r="F265" s="138" t="s">
        <v>217</v>
      </c>
      <c r="G265" s="199" t="s">
        <v>266</v>
      </c>
      <c r="H265" s="339">
        <v>1300</v>
      </c>
      <c r="I265" s="339">
        <v>59</v>
      </c>
      <c r="J265" s="620">
        <f t="shared" si="39"/>
        <v>4.538461538461538</v>
      </c>
      <c r="K265" s="139"/>
      <c r="L265" s="339"/>
      <c r="M265" s="339"/>
      <c r="N265" s="620"/>
      <c r="O265" s="139"/>
      <c r="P265" s="802">
        <f t="shared" si="36"/>
        <v>1300</v>
      </c>
      <c r="Q265" s="810">
        <f t="shared" si="36"/>
        <v>59</v>
      </c>
      <c r="R265" s="763">
        <f t="shared" si="38"/>
        <v>4.538461538461538</v>
      </c>
    </row>
    <row r="266" spans="2:18" ht="12.75">
      <c r="B266" s="177">
        <f t="shared" si="37"/>
        <v>11</v>
      </c>
      <c r="C266" s="137"/>
      <c r="D266" s="138"/>
      <c r="E266" s="138"/>
      <c r="F266" s="138" t="s">
        <v>219</v>
      </c>
      <c r="G266" s="199" t="s">
        <v>252</v>
      </c>
      <c r="H266" s="339">
        <v>43635</v>
      </c>
      <c r="I266" s="339">
        <v>18784</v>
      </c>
      <c r="J266" s="620">
        <f t="shared" si="39"/>
        <v>43.04801191703908</v>
      </c>
      <c r="K266" s="139"/>
      <c r="L266" s="339"/>
      <c r="M266" s="339"/>
      <c r="N266" s="620"/>
      <c r="O266" s="139"/>
      <c r="P266" s="802">
        <f t="shared" si="36"/>
        <v>43635</v>
      </c>
      <c r="Q266" s="810">
        <f t="shared" si="36"/>
        <v>18784</v>
      </c>
      <c r="R266" s="763">
        <f t="shared" si="38"/>
        <v>43.04801191703908</v>
      </c>
    </row>
    <row r="267" spans="2:18" ht="12.75">
      <c r="B267" s="177">
        <f t="shared" si="37"/>
        <v>12</v>
      </c>
      <c r="C267" s="137"/>
      <c r="D267" s="175"/>
      <c r="E267" s="138" t="s">
        <v>448</v>
      </c>
      <c r="F267" s="138" t="s">
        <v>219</v>
      </c>
      <c r="G267" s="199" t="s">
        <v>710</v>
      </c>
      <c r="H267" s="339">
        <v>500</v>
      </c>
      <c r="I267" s="339">
        <v>0</v>
      </c>
      <c r="J267" s="620">
        <f t="shared" si="39"/>
        <v>0</v>
      </c>
      <c r="K267" s="139"/>
      <c r="L267" s="339"/>
      <c r="M267" s="339"/>
      <c r="N267" s="620"/>
      <c r="O267" s="139"/>
      <c r="P267" s="802">
        <f t="shared" si="36"/>
        <v>500</v>
      </c>
      <c r="Q267" s="810">
        <f t="shared" si="36"/>
        <v>0</v>
      </c>
      <c r="R267" s="763">
        <f t="shared" si="38"/>
        <v>0</v>
      </c>
    </row>
    <row r="268" spans="2:18" ht="12.75">
      <c r="B268" s="177">
        <f t="shared" si="37"/>
        <v>13</v>
      </c>
      <c r="C268" s="137"/>
      <c r="D268" s="175"/>
      <c r="E268" s="281" t="s">
        <v>324</v>
      </c>
      <c r="F268" s="277" t="s">
        <v>220</v>
      </c>
      <c r="G268" s="206" t="s">
        <v>273</v>
      </c>
      <c r="H268" s="354">
        <v>166</v>
      </c>
      <c r="I268" s="798">
        <v>481</v>
      </c>
      <c r="J268" s="620">
        <f t="shared" si="39"/>
        <v>289.7590361445783</v>
      </c>
      <c r="K268" s="139"/>
      <c r="L268" s="339"/>
      <c r="M268" s="339"/>
      <c r="N268" s="620"/>
      <c r="O268" s="139"/>
      <c r="P268" s="802">
        <f t="shared" si="36"/>
        <v>166</v>
      </c>
      <c r="Q268" s="810">
        <f t="shared" si="36"/>
        <v>481</v>
      </c>
      <c r="R268" s="763">
        <f t="shared" si="38"/>
        <v>289.7590361445783</v>
      </c>
    </row>
    <row r="269" spans="2:18" ht="15.75">
      <c r="B269" s="177">
        <f t="shared" si="37"/>
        <v>14</v>
      </c>
      <c r="C269" s="21">
        <v>2</v>
      </c>
      <c r="D269" s="133" t="s">
        <v>100</v>
      </c>
      <c r="E269" s="22"/>
      <c r="F269" s="22"/>
      <c r="G269" s="200"/>
      <c r="H269" s="369">
        <f>H270+H275</f>
        <v>625000</v>
      </c>
      <c r="I269" s="369">
        <f>I270+I275</f>
        <v>347654</v>
      </c>
      <c r="J269" s="620">
        <f t="shared" si="39"/>
        <v>55.62464</v>
      </c>
      <c r="K269" s="113"/>
      <c r="L269" s="355">
        <f>SUM(L270:L288)</f>
        <v>1197784</v>
      </c>
      <c r="M269" s="355">
        <f>SUM(M270:M288)</f>
        <v>587391</v>
      </c>
      <c r="N269" s="620">
        <f>M269/L269*100</f>
        <v>49.039810182804246</v>
      </c>
      <c r="O269" s="113"/>
      <c r="P269" s="803">
        <f t="shared" si="36"/>
        <v>1822784</v>
      </c>
      <c r="Q269" s="811">
        <f t="shared" si="36"/>
        <v>935045</v>
      </c>
      <c r="R269" s="763">
        <f t="shared" si="38"/>
        <v>51.29763043783575</v>
      </c>
    </row>
    <row r="270" spans="2:18" ht="12.75">
      <c r="B270" s="177">
        <f t="shared" si="37"/>
        <v>15</v>
      </c>
      <c r="C270" s="137"/>
      <c r="D270" s="137"/>
      <c r="E270" s="141" t="s">
        <v>243</v>
      </c>
      <c r="F270" s="141">
        <v>630</v>
      </c>
      <c r="G270" s="206" t="s">
        <v>254</v>
      </c>
      <c r="H270" s="346">
        <f>SUM(H271:H274)</f>
        <v>607600</v>
      </c>
      <c r="I270" s="346">
        <f>SUM(I271:I274)</f>
        <v>343916</v>
      </c>
      <c r="J270" s="620">
        <f t="shared" si="39"/>
        <v>56.60236998025017</v>
      </c>
      <c r="K270" s="139"/>
      <c r="L270" s="335"/>
      <c r="M270" s="335"/>
      <c r="N270" s="620"/>
      <c r="O270" s="139"/>
      <c r="P270" s="804">
        <f t="shared" si="36"/>
        <v>607600</v>
      </c>
      <c r="Q270" s="812">
        <f t="shared" si="36"/>
        <v>343916</v>
      </c>
      <c r="R270" s="763">
        <f t="shared" si="38"/>
        <v>56.60236998025017</v>
      </c>
    </row>
    <row r="271" spans="2:18" ht="12.75">
      <c r="B271" s="177">
        <f t="shared" si="37"/>
        <v>16</v>
      </c>
      <c r="C271" s="137"/>
      <c r="D271" s="137"/>
      <c r="E271" s="141"/>
      <c r="F271" s="141">
        <v>632</v>
      </c>
      <c r="G271" s="199" t="s">
        <v>242</v>
      </c>
      <c r="H271" s="356">
        <f>306750-10000</f>
        <v>296750</v>
      </c>
      <c r="I271" s="356">
        <v>191211</v>
      </c>
      <c r="J271" s="620">
        <f t="shared" si="39"/>
        <v>64.43504633529908</v>
      </c>
      <c r="K271" s="139"/>
      <c r="L271" s="335"/>
      <c r="M271" s="335"/>
      <c r="N271" s="620"/>
      <c r="O271" s="139"/>
      <c r="P271" s="804">
        <f t="shared" si="36"/>
        <v>296750</v>
      </c>
      <c r="Q271" s="812">
        <f t="shared" si="36"/>
        <v>191211</v>
      </c>
      <c r="R271" s="763">
        <f t="shared" si="38"/>
        <v>64.43504633529908</v>
      </c>
    </row>
    <row r="272" spans="2:18" ht="12.75">
      <c r="B272" s="177">
        <f t="shared" si="37"/>
        <v>17</v>
      </c>
      <c r="C272" s="137"/>
      <c r="D272" s="137"/>
      <c r="E272" s="141"/>
      <c r="F272" s="141">
        <v>635</v>
      </c>
      <c r="G272" s="199" t="s">
        <v>526</v>
      </c>
      <c r="H272" s="356">
        <f>300000+10000</f>
        <v>310000</v>
      </c>
      <c r="I272" s="356">
        <v>152281</v>
      </c>
      <c r="J272" s="620">
        <f t="shared" si="39"/>
        <v>49.12290322580645</v>
      </c>
      <c r="K272" s="139"/>
      <c r="L272" s="335"/>
      <c r="M272" s="335"/>
      <c r="N272" s="620"/>
      <c r="O272" s="139"/>
      <c r="P272" s="804">
        <f t="shared" si="36"/>
        <v>310000</v>
      </c>
      <c r="Q272" s="812">
        <f t="shared" si="36"/>
        <v>152281</v>
      </c>
      <c r="R272" s="763">
        <f t="shared" si="38"/>
        <v>49.12290322580645</v>
      </c>
    </row>
    <row r="273" spans="2:18" ht="12.75">
      <c r="B273" s="177">
        <f t="shared" si="37"/>
        <v>18</v>
      </c>
      <c r="C273" s="137"/>
      <c r="D273" s="137"/>
      <c r="E273" s="141"/>
      <c r="F273" s="141">
        <v>636</v>
      </c>
      <c r="G273" s="199" t="s">
        <v>582</v>
      </c>
      <c r="H273" s="335">
        <v>800</v>
      </c>
      <c r="I273" s="335">
        <v>400</v>
      </c>
      <c r="J273" s="620">
        <f t="shared" si="39"/>
        <v>50</v>
      </c>
      <c r="K273" s="139"/>
      <c r="L273" s="335"/>
      <c r="M273" s="335"/>
      <c r="N273" s="620"/>
      <c r="O273" s="139"/>
      <c r="P273" s="804">
        <f t="shared" si="36"/>
        <v>800</v>
      </c>
      <c r="Q273" s="812">
        <f t="shared" si="36"/>
        <v>400</v>
      </c>
      <c r="R273" s="763">
        <f t="shared" si="38"/>
        <v>50</v>
      </c>
    </row>
    <row r="274" spans="2:18" ht="12.75">
      <c r="B274" s="177">
        <f t="shared" si="37"/>
        <v>19</v>
      </c>
      <c r="C274" s="142"/>
      <c r="D274" s="142"/>
      <c r="E274" s="141"/>
      <c r="F274" s="143">
        <v>637</v>
      </c>
      <c r="G274" s="209" t="s">
        <v>527</v>
      </c>
      <c r="H274" s="335">
        <v>50</v>
      </c>
      <c r="I274" s="335">
        <v>24</v>
      </c>
      <c r="J274" s="620">
        <f t="shared" si="39"/>
        <v>48</v>
      </c>
      <c r="K274" s="139"/>
      <c r="L274" s="335"/>
      <c r="M274" s="335"/>
      <c r="N274" s="620"/>
      <c r="O274" s="139"/>
      <c r="P274" s="804">
        <f t="shared" si="36"/>
        <v>50</v>
      </c>
      <c r="Q274" s="812">
        <f t="shared" si="36"/>
        <v>24</v>
      </c>
      <c r="R274" s="763">
        <f t="shared" si="38"/>
        <v>48</v>
      </c>
    </row>
    <row r="275" spans="2:18" ht="12.75">
      <c r="B275" s="177">
        <f t="shared" si="37"/>
        <v>20</v>
      </c>
      <c r="C275" s="137"/>
      <c r="D275" s="137"/>
      <c r="E275" s="141" t="s">
        <v>243</v>
      </c>
      <c r="F275" s="165"/>
      <c r="G275" s="229" t="s">
        <v>478</v>
      </c>
      <c r="H275" s="351">
        <f>H276+H277+H278</f>
        <v>17400</v>
      </c>
      <c r="I275" s="351">
        <f>I276+I277+I278</f>
        <v>3738</v>
      </c>
      <c r="J275" s="620">
        <f t="shared" si="39"/>
        <v>21.482758620689655</v>
      </c>
      <c r="K275" s="139"/>
      <c r="L275" s="335"/>
      <c r="M275" s="335"/>
      <c r="N275" s="620"/>
      <c r="O275" s="139"/>
      <c r="P275" s="804">
        <f t="shared" si="36"/>
        <v>17400</v>
      </c>
      <c r="Q275" s="812">
        <f t="shared" si="36"/>
        <v>3738</v>
      </c>
      <c r="R275" s="763">
        <f t="shared" si="38"/>
        <v>21.482758620689655</v>
      </c>
    </row>
    <row r="276" spans="2:18" ht="12.75">
      <c r="B276" s="177">
        <f t="shared" si="37"/>
        <v>21</v>
      </c>
      <c r="C276" s="137"/>
      <c r="D276" s="137"/>
      <c r="E276" s="141"/>
      <c r="F276" s="163">
        <v>610</v>
      </c>
      <c r="G276" s="206" t="s">
        <v>262</v>
      </c>
      <c r="H276" s="346">
        <v>6000</v>
      </c>
      <c r="I276" s="346">
        <v>2215</v>
      </c>
      <c r="J276" s="620">
        <f t="shared" si="39"/>
        <v>36.916666666666664</v>
      </c>
      <c r="K276" s="139"/>
      <c r="L276" s="335"/>
      <c r="M276" s="335"/>
      <c r="N276" s="620"/>
      <c r="O276" s="139"/>
      <c r="P276" s="804">
        <f t="shared" si="36"/>
        <v>6000</v>
      </c>
      <c r="Q276" s="812">
        <f t="shared" si="36"/>
        <v>2215</v>
      </c>
      <c r="R276" s="763">
        <f t="shared" si="38"/>
        <v>36.916666666666664</v>
      </c>
    </row>
    <row r="277" spans="2:18" ht="12.75">
      <c r="B277" s="177">
        <f t="shared" si="37"/>
        <v>22</v>
      </c>
      <c r="C277" s="137"/>
      <c r="D277" s="137"/>
      <c r="E277" s="141"/>
      <c r="F277" s="163">
        <v>620</v>
      </c>
      <c r="G277" s="206" t="s">
        <v>264</v>
      </c>
      <c r="H277" s="346">
        <v>2100</v>
      </c>
      <c r="I277" s="346">
        <v>832</v>
      </c>
      <c r="J277" s="620">
        <f t="shared" si="39"/>
        <v>39.61904761904762</v>
      </c>
      <c r="K277" s="139"/>
      <c r="L277" s="335"/>
      <c r="M277" s="335"/>
      <c r="N277" s="620"/>
      <c r="O277" s="139"/>
      <c r="P277" s="804">
        <f t="shared" si="36"/>
        <v>2100</v>
      </c>
      <c r="Q277" s="812">
        <f t="shared" si="36"/>
        <v>832</v>
      </c>
      <c r="R277" s="763">
        <f t="shared" si="38"/>
        <v>39.61904761904762</v>
      </c>
    </row>
    <row r="278" spans="2:18" ht="12.75">
      <c r="B278" s="177">
        <f t="shared" si="37"/>
        <v>23</v>
      </c>
      <c r="C278" s="137"/>
      <c r="D278" s="137"/>
      <c r="E278" s="141"/>
      <c r="F278" s="163">
        <v>630</v>
      </c>
      <c r="G278" s="206" t="s">
        <v>254</v>
      </c>
      <c r="H278" s="346">
        <f>SUM(H279:H281)</f>
        <v>9300</v>
      </c>
      <c r="I278" s="346">
        <f>SUM(I279:I281)</f>
        <v>691</v>
      </c>
      <c r="J278" s="620">
        <f t="shared" si="39"/>
        <v>7.43010752688172</v>
      </c>
      <c r="K278" s="139"/>
      <c r="L278" s="335"/>
      <c r="M278" s="335"/>
      <c r="N278" s="620"/>
      <c r="O278" s="139"/>
      <c r="P278" s="804">
        <f t="shared" si="36"/>
        <v>9300</v>
      </c>
      <c r="Q278" s="812">
        <f t="shared" si="36"/>
        <v>691</v>
      </c>
      <c r="R278" s="763">
        <f t="shared" si="38"/>
        <v>7.43010752688172</v>
      </c>
    </row>
    <row r="279" spans="2:18" ht="12.75">
      <c r="B279" s="177">
        <f t="shared" si="37"/>
        <v>24</v>
      </c>
      <c r="C279" s="137"/>
      <c r="D279" s="137"/>
      <c r="E279" s="141"/>
      <c r="F279" s="166">
        <v>633</v>
      </c>
      <c r="G279" s="199" t="s">
        <v>251</v>
      </c>
      <c r="H279" s="335">
        <v>5000</v>
      </c>
      <c r="I279" s="335">
        <v>0</v>
      </c>
      <c r="J279" s="620">
        <f t="shared" si="39"/>
        <v>0</v>
      </c>
      <c r="K279" s="139"/>
      <c r="L279" s="335"/>
      <c r="M279" s="335"/>
      <c r="N279" s="620"/>
      <c r="O279" s="139"/>
      <c r="P279" s="804">
        <f t="shared" si="36"/>
        <v>5000</v>
      </c>
      <c r="Q279" s="812">
        <f t="shared" si="36"/>
        <v>0</v>
      </c>
      <c r="R279" s="763">
        <f t="shared" si="38"/>
        <v>0</v>
      </c>
    </row>
    <row r="280" spans="2:18" ht="12.75">
      <c r="B280" s="177">
        <f t="shared" si="37"/>
        <v>25</v>
      </c>
      <c r="C280" s="137"/>
      <c r="D280" s="137"/>
      <c r="E280" s="141"/>
      <c r="F280" s="141">
        <v>634</v>
      </c>
      <c r="G280" s="199" t="s">
        <v>265</v>
      </c>
      <c r="H280" s="335">
        <v>1300</v>
      </c>
      <c r="I280" s="335">
        <v>506</v>
      </c>
      <c r="J280" s="620">
        <f t="shared" si="39"/>
        <v>38.92307692307692</v>
      </c>
      <c r="K280" s="139"/>
      <c r="L280" s="335"/>
      <c r="M280" s="335"/>
      <c r="N280" s="620"/>
      <c r="O280" s="139"/>
      <c r="P280" s="804">
        <f t="shared" si="36"/>
        <v>1300</v>
      </c>
      <c r="Q280" s="812">
        <f t="shared" si="36"/>
        <v>506</v>
      </c>
      <c r="R280" s="763">
        <f t="shared" si="38"/>
        <v>38.92307692307692</v>
      </c>
    </row>
    <row r="281" spans="2:18" ht="12.75">
      <c r="B281" s="177">
        <f t="shared" si="37"/>
        <v>26</v>
      </c>
      <c r="C281" s="137"/>
      <c r="D281" s="137"/>
      <c r="E281" s="141"/>
      <c r="F281" s="141">
        <v>637</v>
      </c>
      <c r="G281" s="199" t="s">
        <v>252</v>
      </c>
      <c r="H281" s="335">
        <v>3000</v>
      </c>
      <c r="I281" s="335">
        <v>185</v>
      </c>
      <c r="J281" s="620">
        <f t="shared" si="39"/>
        <v>6.166666666666667</v>
      </c>
      <c r="K281" s="139"/>
      <c r="L281" s="335"/>
      <c r="M281" s="335"/>
      <c r="N281" s="620"/>
      <c r="O281" s="139"/>
      <c r="P281" s="804">
        <f t="shared" si="36"/>
        <v>3000</v>
      </c>
      <c r="Q281" s="812">
        <f t="shared" si="36"/>
        <v>185</v>
      </c>
      <c r="R281" s="763">
        <f t="shared" si="38"/>
        <v>6.166666666666667</v>
      </c>
    </row>
    <row r="282" spans="2:18" ht="12.75">
      <c r="B282" s="177">
        <f t="shared" si="37"/>
        <v>27</v>
      </c>
      <c r="C282" s="137"/>
      <c r="D282" s="137"/>
      <c r="E282" s="169"/>
      <c r="F282" s="141"/>
      <c r="G282" s="199"/>
      <c r="H282" s="335"/>
      <c r="I282" s="335"/>
      <c r="J282" s="620"/>
      <c r="K282" s="139"/>
      <c r="L282" s="335"/>
      <c r="M282" s="335"/>
      <c r="N282" s="620"/>
      <c r="O282" s="139"/>
      <c r="P282" s="804"/>
      <c r="Q282" s="812"/>
      <c r="R282" s="763"/>
    </row>
    <row r="283" spans="2:18" ht="12.75">
      <c r="B283" s="177">
        <f t="shared" si="37"/>
        <v>28</v>
      </c>
      <c r="C283" s="137"/>
      <c r="D283" s="137"/>
      <c r="E283" s="141" t="s">
        <v>243</v>
      </c>
      <c r="F283" s="141">
        <v>717</v>
      </c>
      <c r="G283" s="199" t="s">
        <v>507</v>
      </c>
      <c r="H283" s="335"/>
      <c r="I283" s="335"/>
      <c r="J283" s="620"/>
      <c r="K283" s="139"/>
      <c r="L283" s="341">
        <v>1162800</v>
      </c>
      <c r="M283" s="341">
        <v>581399</v>
      </c>
      <c r="N283" s="620">
        <f aca="true" t="shared" si="40" ref="N283:N288">M283/L283*100</f>
        <v>49.999914000687994</v>
      </c>
      <c r="O283" s="139"/>
      <c r="P283" s="804">
        <f aca="true" t="shared" si="41" ref="P283:Q298">H283+L283</f>
        <v>1162800</v>
      </c>
      <c r="Q283" s="812">
        <f t="shared" si="41"/>
        <v>581399</v>
      </c>
      <c r="R283" s="763">
        <f t="shared" si="38"/>
        <v>49.999914000687994</v>
      </c>
    </row>
    <row r="284" spans="2:18" ht="12.75">
      <c r="B284" s="177">
        <f t="shared" si="37"/>
        <v>29</v>
      </c>
      <c r="C284" s="137"/>
      <c r="D284" s="137"/>
      <c r="E284" s="141" t="s">
        <v>243</v>
      </c>
      <c r="F284" s="141">
        <v>717</v>
      </c>
      <c r="G284" s="199" t="s">
        <v>454</v>
      </c>
      <c r="H284" s="341"/>
      <c r="I284" s="341"/>
      <c r="J284" s="620"/>
      <c r="K284" s="139"/>
      <c r="L284" s="341">
        <v>11984</v>
      </c>
      <c r="M284" s="341">
        <v>5992</v>
      </c>
      <c r="N284" s="620">
        <f t="shared" si="40"/>
        <v>50</v>
      </c>
      <c r="O284" s="139"/>
      <c r="P284" s="805">
        <f t="shared" si="41"/>
        <v>11984</v>
      </c>
      <c r="Q284" s="813">
        <f t="shared" si="41"/>
        <v>5992</v>
      </c>
      <c r="R284" s="763">
        <f t="shared" si="38"/>
        <v>50</v>
      </c>
    </row>
    <row r="285" spans="2:18" ht="12.75">
      <c r="B285" s="177">
        <f t="shared" si="37"/>
        <v>30</v>
      </c>
      <c r="C285" s="137"/>
      <c r="D285" s="137"/>
      <c r="E285" s="141" t="s">
        <v>243</v>
      </c>
      <c r="F285" s="141">
        <v>717</v>
      </c>
      <c r="G285" s="199" t="s">
        <v>705</v>
      </c>
      <c r="H285" s="341"/>
      <c r="I285" s="341"/>
      <c r="J285" s="620"/>
      <c r="K285" s="139"/>
      <c r="L285" s="341">
        <v>6000</v>
      </c>
      <c r="M285" s="341">
        <v>0</v>
      </c>
      <c r="N285" s="620">
        <f t="shared" si="40"/>
        <v>0</v>
      </c>
      <c r="O285" s="139"/>
      <c r="P285" s="805">
        <f t="shared" si="41"/>
        <v>6000</v>
      </c>
      <c r="Q285" s="813">
        <f t="shared" si="41"/>
        <v>0</v>
      </c>
      <c r="R285" s="763">
        <f t="shared" si="38"/>
        <v>0</v>
      </c>
    </row>
    <row r="286" spans="2:18" ht="12.75">
      <c r="B286" s="177">
        <f t="shared" si="37"/>
        <v>31</v>
      </c>
      <c r="C286" s="137"/>
      <c r="D286" s="169"/>
      <c r="E286" s="141" t="s">
        <v>243</v>
      </c>
      <c r="F286" s="143">
        <v>716</v>
      </c>
      <c r="G286" s="199" t="s">
        <v>721</v>
      </c>
      <c r="H286" s="341"/>
      <c r="I286" s="341"/>
      <c r="J286" s="620"/>
      <c r="K286" s="139"/>
      <c r="L286" s="341">
        <v>2000</v>
      </c>
      <c r="M286" s="341">
        <v>0</v>
      </c>
      <c r="N286" s="620">
        <f t="shared" si="40"/>
        <v>0</v>
      </c>
      <c r="O286" s="139"/>
      <c r="P286" s="805">
        <f t="shared" si="41"/>
        <v>2000</v>
      </c>
      <c r="Q286" s="813">
        <f t="shared" si="41"/>
        <v>0</v>
      </c>
      <c r="R286" s="763">
        <f t="shared" si="38"/>
        <v>0</v>
      </c>
    </row>
    <row r="287" spans="2:18" ht="12.75">
      <c r="B287" s="177">
        <f t="shared" si="37"/>
        <v>32</v>
      </c>
      <c r="C287" s="137"/>
      <c r="D287" s="169"/>
      <c r="E287" s="141" t="s">
        <v>243</v>
      </c>
      <c r="F287" s="143">
        <v>717</v>
      </c>
      <c r="G287" s="199" t="s">
        <v>722</v>
      </c>
      <c r="H287" s="341"/>
      <c r="I287" s="341"/>
      <c r="J287" s="620"/>
      <c r="K287" s="139"/>
      <c r="L287" s="341">
        <f>15000-10000</f>
        <v>5000</v>
      </c>
      <c r="M287" s="341">
        <v>0</v>
      </c>
      <c r="N287" s="620">
        <f t="shared" si="40"/>
        <v>0</v>
      </c>
      <c r="O287" s="139"/>
      <c r="P287" s="805">
        <f t="shared" si="41"/>
        <v>5000</v>
      </c>
      <c r="Q287" s="813">
        <f t="shared" si="41"/>
        <v>0</v>
      </c>
      <c r="R287" s="763">
        <f t="shared" si="38"/>
        <v>0</v>
      </c>
    </row>
    <row r="288" spans="2:18" ht="12.75">
      <c r="B288" s="177">
        <f t="shared" si="37"/>
        <v>33</v>
      </c>
      <c r="C288" s="137"/>
      <c r="D288" s="169"/>
      <c r="E288" s="141" t="s">
        <v>243</v>
      </c>
      <c r="F288" s="143">
        <v>717</v>
      </c>
      <c r="G288" s="199" t="s">
        <v>771</v>
      </c>
      <c r="H288" s="341"/>
      <c r="I288" s="341"/>
      <c r="J288" s="620"/>
      <c r="K288" s="139"/>
      <c r="L288" s="341">
        <v>10000</v>
      </c>
      <c r="M288" s="341">
        <v>0</v>
      </c>
      <c r="N288" s="620">
        <f t="shared" si="40"/>
        <v>0</v>
      </c>
      <c r="O288" s="139"/>
      <c r="P288" s="805">
        <f t="shared" si="41"/>
        <v>10000</v>
      </c>
      <c r="Q288" s="813">
        <f t="shared" si="41"/>
        <v>0</v>
      </c>
      <c r="R288" s="763">
        <f t="shared" si="38"/>
        <v>0</v>
      </c>
    </row>
    <row r="289" spans="2:18" ht="15.75">
      <c r="B289" s="177">
        <f t="shared" si="37"/>
        <v>34</v>
      </c>
      <c r="C289" s="24">
        <v>3</v>
      </c>
      <c r="D289" s="134" t="s">
        <v>141</v>
      </c>
      <c r="E289" s="25"/>
      <c r="F289" s="25"/>
      <c r="G289" s="198"/>
      <c r="H289" s="372">
        <f>H290</f>
        <v>5000</v>
      </c>
      <c r="I289" s="372">
        <f>I290</f>
        <v>3860</v>
      </c>
      <c r="J289" s="620">
        <f t="shared" si="39"/>
        <v>77.2</v>
      </c>
      <c r="K289" s="90"/>
      <c r="L289" s="355">
        <v>0</v>
      </c>
      <c r="M289" s="355">
        <v>0</v>
      </c>
      <c r="N289" s="620"/>
      <c r="O289" s="90"/>
      <c r="P289" s="800">
        <f t="shared" si="41"/>
        <v>5000</v>
      </c>
      <c r="Q289" s="808">
        <f t="shared" si="41"/>
        <v>3860</v>
      </c>
      <c r="R289" s="763">
        <f t="shared" si="38"/>
        <v>77.2</v>
      </c>
    </row>
    <row r="290" spans="2:18" ht="12.75">
      <c r="B290" s="177">
        <f t="shared" si="37"/>
        <v>35</v>
      </c>
      <c r="C290" s="137"/>
      <c r="D290" s="137"/>
      <c r="E290" s="141" t="s">
        <v>245</v>
      </c>
      <c r="F290" s="141">
        <v>635</v>
      </c>
      <c r="G290" s="199" t="s">
        <v>576</v>
      </c>
      <c r="H290" s="335">
        <v>5000</v>
      </c>
      <c r="I290" s="335">
        <v>3860</v>
      </c>
      <c r="J290" s="620">
        <f t="shared" si="39"/>
        <v>77.2</v>
      </c>
      <c r="K290" s="139"/>
      <c r="L290" s="335"/>
      <c r="M290" s="335"/>
      <c r="N290" s="620"/>
      <c r="O290" s="139"/>
      <c r="P290" s="804">
        <f t="shared" si="41"/>
        <v>5000</v>
      </c>
      <c r="Q290" s="812">
        <f t="shared" si="41"/>
        <v>3860</v>
      </c>
      <c r="R290" s="763">
        <f t="shared" si="38"/>
        <v>77.2</v>
      </c>
    </row>
    <row r="291" spans="2:18" ht="15.75">
      <c r="B291" s="177">
        <f t="shared" si="37"/>
        <v>36</v>
      </c>
      <c r="C291" s="24">
        <v>4</v>
      </c>
      <c r="D291" s="134" t="s">
        <v>508</v>
      </c>
      <c r="E291" s="25"/>
      <c r="F291" s="25"/>
      <c r="G291" s="198"/>
      <c r="H291" s="372">
        <f>H292</f>
        <v>7100</v>
      </c>
      <c r="I291" s="372">
        <f>I292</f>
        <v>1500</v>
      </c>
      <c r="J291" s="620">
        <f t="shared" si="39"/>
        <v>21.12676056338028</v>
      </c>
      <c r="K291" s="90"/>
      <c r="L291" s="355">
        <f>L292</f>
        <v>0</v>
      </c>
      <c r="M291" s="355">
        <f>M292</f>
        <v>0</v>
      </c>
      <c r="N291" s="620"/>
      <c r="O291" s="90"/>
      <c r="P291" s="800">
        <f t="shared" si="41"/>
        <v>7100</v>
      </c>
      <c r="Q291" s="808">
        <f t="shared" si="41"/>
        <v>1500</v>
      </c>
      <c r="R291" s="763">
        <f t="shared" si="38"/>
        <v>21.12676056338028</v>
      </c>
    </row>
    <row r="292" spans="2:18" ht="12.75">
      <c r="B292" s="177">
        <f t="shared" si="37"/>
        <v>37</v>
      </c>
      <c r="C292" s="142"/>
      <c r="D292" s="142"/>
      <c r="E292" s="143" t="s">
        <v>289</v>
      </c>
      <c r="F292" s="143">
        <v>637</v>
      </c>
      <c r="G292" s="209" t="s">
        <v>290</v>
      </c>
      <c r="H292" s="335">
        <v>7100</v>
      </c>
      <c r="I292" s="335">
        <v>1500</v>
      </c>
      <c r="J292" s="620">
        <f t="shared" si="39"/>
        <v>21.12676056338028</v>
      </c>
      <c r="K292" s="139"/>
      <c r="L292" s="335"/>
      <c r="M292" s="335"/>
      <c r="N292" s="620"/>
      <c r="O292" s="139"/>
      <c r="P292" s="804">
        <f t="shared" si="41"/>
        <v>7100</v>
      </c>
      <c r="Q292" s="812">
        <f t="shared" si="41"/>
        <v>1500</v>
      </c>
      <c r="R292" s="763">
        <f t="shared" si="38"/>
        <v>21.12676056338028</v>
      </c>
    </row>
    <row r="293" spans="2:18" ht="15.75">
      <c r="B293" s="177">
        <f aca="true" t="shared" si="42" ref="B293:B298">B292+1</f>
        <v>38</v>
      </c>
      <c r="C293" s="24">
        <v>5</v>
      </c>
      <c r="D293" s="134" t="s">
        <v>98</v>
      </c>
      <c r="E293" s="25"/>
      <c r="F293" s="25"/>
      <c r="G293" s="198"/>
      <c r="H293" s="369">
        <f>SUM(H294:H298)</f>
        <v>25400</v>
      </c>
      <c r="I293" s="369">
        <f>SUM(I294:I298)</f>
        <v>11206</v>
      </c>
      <c r="J293" s="620">
        <f t="shared" si="39"/>
        <v>44.11811023622047</v>
      </c>
      <c r="K293" s="90"/>
      <c r="L293" s="355">
        <f>L294</f>
        <v>0</v>
      </c>
      <c r="M293" s="355">
        <f>M294</f>
        <v>0</v>
      </c>
      <c r="N293" s="620"/>
      <c r="O293" s="90"/>
      <c r="P293" s="800">
        <f t="shared" si="41"/>
        <v>25400</v>
      </c>
      <c r="Q293" s="808">
        <f t="shared" si="41"/>
        <v>11206</v>
      </c>
      <c r="R293" s="763">
        <f t="shared" si="38"/>
        <v>44.11811023622047</v>
      </c>
    </row>
    <row r="294" spans="2:18" ht="12.75">
      <c r="B294" s="177">
        <f t="shared" si="42"/>
        <v>39</v>
      </c>
      <c r="C294" s="142"/>
      <c r="D294" s="142"/>
      <c r="E294" s="143" t="s">
        <v>281</v>
      </c>
      <c r="F294" s="143">
        <v>640</v>
      </c>
      <c r="G294" s="209" t="s">
        <v>282</v>
      </c>
      <c r="H294" s="335">
        <v>15000</v>
      </c>
      <c r="I294" s="335">
        <v>8500</v>
      </c>
      <c r="J294" s="620">
        <f t="shared" si="39"/>
        <v>56.666666666666664</v>
      </c>
      <c r="K294" s="139"/>
      <c r="L294" s="335"/>
      <c r="M294" s="335"/>
      <c r="N294" s="620"/>
      <c r="O294" s="139"/>
      <c r="P294" s="804">
        <f t="shared" si="41"/>
        <v>15000</v>
      </c>
      <c r="Q294" s="812">
        <f t="shared" si="41"/>
        <v>8500</v>
      </c>
      <c r="R294" s="763">
        <f t="shared" si="38"/>
        <v>56.666666666666664</v>
      </c>
    </row>
    <row r="295" spans="2:18" ht="12.75">
      <c r="B295" s="177">
        <f t="shared" si="42"/>
        <v>40</v>
      </c>
      <c r="C295" s="137"/>
      <c r="D295" s="137"/>
      <c r="E295" s="143" t="s">
        <v>281</v>
      </c>
      <c r="F295" s="141">
        <v>620</v>
      </c>
      <c r="G295" s="199" t="s">
        <v>264</v>
      </c>
      <c r="H295" s="335">
        <v>1200</v>
      </c>
      <c r="I295" s="335">
        <v>0</v>
      </c>
      <c r="J295" s="620">
        <f t="shared" si="39"/>
        <v>0</v>
      </c>
      <c r="K295" s="139"/>
      <c r="L295" s="335"/>
      <c r="M295" s="335"/>
      <c r="N295" s="620"/>
      <c r="O295" s="139"/>
      <c r="P295" s="804">
        <f t="shared" si="41"/>
        <v>1200</v>
      </c>
      <c r="Q295" s="812">
        <f t="shared" si="41"/>
        <v>0</v>
      </c>
      <c r="R295" s="763">
        <f t="shared" si="38"/>
        <v>0</v>
      </c>
    </row>
    <row r="296" spans="2:18" ht="12.75">
      <c r="B296" s="177">
        <f t="shared" si="42"/>
        <v>41</v>
      </c>
      <c r="C296" s="137"/>
      <c r="D296" s="137"/>
      <c r="E296" s="143" t="s">
        <v>281</v>
      </c>
      <c r="F296" s="141">
        <v>634</v>
      </c>
      <c r="G296" s="199" t="s">
        <v>320</v>
      </c>
      <c r="H296" s="335">
        <v>480</v>
      </c>
      <c r="I296" s="335">
        <v>238</v>
      </c>
      <c r="J296" s="620">
        <f t="shared" si="39"/>
        <v>49.583333333333336</v>
      </c>
      <c r="K296" s="139"/>
      <c r="L296" s="335"/>
      <c r="M296" s="335"/>
      <c r="N296" s="620"/>
      <c r="O296" s="139"/>
      <c r="P296" s="804">
        <f t="shared" si="41"/>
        <v>480</v>
      </c>
      <c r="Q296" s="812">
        <f t="shared" si="41"/>
        <v>238</v>
      </c>
      <c r="R296" s="763">
        <f t="shared" si="38"/>
        <v>49.583333333333336</v>
      </c>
    </row>
    <row r="297" spans="2:18" ht="12.75">
      <c r="B297" s="177">
        <f t="shared" si="42"/>
        <v>42</v>
      </c>
      <c r="C297" s="137"/>
      <c r="D297" s="137"/>
      <c r="E297" s="143" t="s">
        <v>281</v>
      </c>
      <c r="F297" s="141">
        <v>637</v>
      </c>
      <c r="G297" s="199" t="s">
        <v>442</v>
      </c>
      <c r="H297" s="335">
        <v>7000</v>
      </c>
      <c r="I297" s="335">
        <v>1179</v>
      </c>
      <c r="J297" s="620">
        <f t="shared" si="39"/>
        <v>16.84285714285714</v>
      </c>
      <c r="K297" s="139"/>
      <c r="L297" s="335"/>
      <c r="M297" s="335"/>
      <c r="N297" s="620"/>
      <c r="O297" s="139"/>
      <c r="P297" s="804">
        <f t="shared" si="41"/>
        <v>7000</v>
      </c>
      <c r="Q297" s="812">
        <f t="shared" si="41"/>
        <v>1179</v>
      </c>
      <c r="R297" s="763">
        <f t="shared" si="38"/>
        <v>16.84285714285714</v>
      </c>
    </row>
    <row r="298" spans="2:18" ht="13.5" thickBot="1">
      <c r="B298" s="214">
        <f t="shared" si="42"/>
        <v>43</v>
      </c>
      <c r="C298" s="147"/>
      <c r="D298" s="147"/>
      <c r="E298" s="216" t="s">
        <v>281</v>
      </c>
      <c r="F298" s="148">
        <v>637</v>
      </c>
      <c r="G298" s="207" t="s">
        <v>320</v>
      </c>
      <c r="H298" s="344">
        <v>1720</v>
      </c>
      <c r="I298" s="344">
        <v>1289</v>
      </c>
      <c r="J298" s="621">
        <f t="shared" si="39"/>
        <v>74.94186046511628</v>
      </c>
      <c r="K298" s="149"/>
      <c r="L298" s="344"/>
      <c r="M298" s="344"/>
      <c r="N298" s="621"/>
      <c r="O298" s="149"/>
      <c r="P298" s="806">
        <f t="shared" si="41"/>
        <v>1720</v>
      </c>
      <c r="Q298" s="814">
        <f t="shared" si="41"/>
        <v>1289</v>
      </c>
      <c r="R298" s="764">
        <f t="shared" si="38"/>
        <v>74.94186046511628</v>
      </c>
    </row>
    <row r="339" spans="2:16" ht="34.5" customHeight="1" thickBot="1">
      <c r="B339" s="248" t="s">
        <v>224</v>
      </c>
      <c r="C339" s="248"/>
      <c r="D339" s="248"/>
      <c r="E339" s="248"/>
      <c r="F339" s="248"/>
      <c r="G339" s="248"/>
      <c r="H339" s="429"/>
      <c r="I339" s="429"/>
      <c r="J339" s="248"/>
      <c r="K339" s="248"/>
      <c r="L339" s="248"/>
      <c r="M339" s="248"/>
      <c r="N339" s="248"/>
      <c r="O339" s="248"/>
      <c r="P339" s="248"/>
    </row>
    <row r="340" spans="2:18" ht="17.25" customHeight="1" thickBot="1">
      <c r="B340" s="1074" t="s">
        <v>778</v>
      </c>
      <c r="C340" s="1075"/>
      <c r="D340" s="1075"/>
      <c r="E340" s="1075"/>
      <c r="F340" s="1075"/>
      <c r="G340" s="1075"/>
      <c r="H340" s="1075"/>
      <c r="I340" s="1075"/>
      <c r="J340" s="1075"/>
      <c r="K340" s="1075"/>
      <c r="L340" s="1075"/>
      <c r="M340" s="618"/>
      <c r="N340" s="625"/>
      <c r="O340" s="127"/>
      <c r="P340" s="1091" t="s">
        <v>811</v>
      </c>
      <c r="Q340" s="1101" t="s">
        <v>836</v>
      </c>
      <c r="R340" s="761"/>
    </row>
    <row r="341" spans="2:18" ht="27.75" customHeight="1" thickTop="1">
      <c r="B341" s="23"/>
      <c r="C341" s="1083" t="s">
        <v>512</v>
      </c>
      <c r="D341" s="1083" t="s">
        <v>511</v>
      </c>
      <c r="E341" s="1083" t="s">
        <v>509</v>
      </c>
      <c r="F341" s="1083" t="s">
        <v>510</v>
      </c>
      <c r="G341" s="319" t="s">
        <v>3</v>
      </c>
      <c r="H341" s="1087" t="s">
        <v>806</v>
      </c>
      <c r="I341" s="1085" t="s">
        <v>836</v>
      </c>
      <c r="J341" s="1072" t="s">
        <v>835</v>
      </c>
      <c r="K341" s="80"/>
      <c r="L341" s="1107" t="s">
        <v>810</v>
      </c>
      <c r="M341" s="1107" t="s">
        <v>836</v>
      </c>
      <c r="N341" s="1072" t="s">
        <v>835</v>
      </c>
      <c r="O341" s="80"/>
      <c r="P341" s="1092"/>
      <c r="Q341" s="1102"/>
      <c r="R341" s="1047" t="s">
        <v>835</v>
      </c>
    </row>
    <row r="342" spans="2:18" ht="27" customHeight="1" thickBot="1">
      <c r="B342" s="26"/>
      <c r="C342" s="1108"/>
      <c r="D342" s="1108"/>
      <c r="E342" s="1108"/>
      <c r="F342" s="1108"/>
      <c r="G342" s="196"/>
      <c r="H342" s="1086"/>
      <c r="I342" s="1086"/>
      <c r="J342" s="1073"/>
      <c r="K342" s="80"/>
      <c r="L342" s="1095"/>
      <c r="M342" s="1095"/>
      <c r="N342" s="1073"/>
      <c r="O342" s="80"/>
      <c r="P342" s="1093"/>
      <c r="Q342" s="1103"/>
      <c r="R342" s="1048"/>
    </row>
    <row r="343" spans="2:18" ht="19.5" thickBot="1" thickTop="1">
      <c r="B343" s="144">
        <v>1</v>
      </c>
      <c r="C343" s="132" t="s">
        <v>225</v>
      </c>
      <c r="D343" s="112"/>
      <c r="E343" s="112"/>
      <c r="F343" s="112"/>
      <c r="G343" s="197"/>
      <c r="H343" s="518">
        <f>H344+H347+H357</f>
        <v>3335050</v>
      </c>
      <c r="I343" s="367">
        <f>I344+I347+I357</f>
        <v>1738182</v>
      </c>
      <c r="J343" s="598">
        <f>I343/H343*100</f>
        <v>52.118618911260704</v>
      </c>
      <c r="K343" s="114"/>
      <c r="L343" s="365">
        <f>L344+L347+L357</f>
        <v>979401</v>
      </c>
      <c r="M343" s="365">
        <f>M344+M347+M357</f>
        <v>135559</v>
      </c>
      <c r="N343" s="751">
        <f>M343/L343*100</f>
        <v>13.841010985285903</v>
      </c>
      <c r="O343" s="114"/>
      <c r="P343" s="799">
        <f aca="true" t="shared" si="43" ref="P343:Q351">H343+L343</f>
        <v>4314451</v>
      </c>
      <c r="Q343" s="807">
        <f t="shared" si="43"/>
        <v>1873741</v>
      </c>
      <c r="R343" s="789">
        <f>Q343/P343*100</f>
        <v>43.429418945770855</v>
      </c>
    </row>
    <row r="344" spans="2:18" ht="16.5" thickTop="1">
      <c r="B344" s="144">
        <f>B343+1</f>
        <v>2</v>
      </c>
      <c r="C344" s="24">
        <v>1</v>
      </c>
      <c r="D344" s="134" t="s">
        <v>162</v>
      </c>
      <c r="E344" s="25"/>
      <c r="F344" s="25"/>
      <c r="G344" s="198"/>
      <c r="H344" s="519">
        <f>H345+H346</f>
        <v>2271050</v>
      </c>
      <c r="I344" s="368">
        <f>I345+I346</f>
        <v>1270580</v>
      </c>
      <c r="J344" s="619">
        <f>I344/H344*100</f>
        <v>55.946808744853705</v>
      </c>
      <c r="K344" s="90"/>
      <c r="L344" s="348">
        <v>0</v>
      </c>
      <c r="M344" s="348">
        <v>0</v>
      </c>
      <c r="N344" s="626"/>
      <c r="O344" s="90"/>
      <c r="P344" s="754">
        <f t="shared" si="43"/>
        <v>2271050</v>
      </c>
      <c r="Q344" s="766">
        <f t="shared" si="43"/>
        <v>1270580</v>
      </c>
      <c r="R344" s="790">
        <f>Q344/P344*100</f>
        <v>55.946808744853705</v>
      </c>
    </row>
    <row r="345" spans="2:18" ht="12.75">
      <c r="B345" s="144">
        <f>B344+1</f>
        <v>3</v>
      </c>
      <c r="C345" s="137"/>
      <c r="D345" s="138"/>
      <c r="E345" s="138" t="s">
        <v>238</v>
      </c>
      <c r="F345" s="138" t="s">
        <v>219</v>
      </c>
      <c r="G345" s="199" t="s">
        <v>643</v>
      </c>
      <c r="H345" s="470">
        <f>300000-28950</f>
        <v>271050</v>
      </c>
      <c r="I345" s="339">
        <v>270584</v>
      </c>
      <c r="J345" s="620">
        <f>I345/H345*100</f>
        <v>99.82807600073788</v>
      </c>
      <c r="K345" s="139"/>
      <c r="L345" s="339"/>
      <c r="M345" s="339"/>
      <c r="N345" s="626"/>
      <c r="O345" s="139"/>
      <c r="P345" s="756">
        <f t="shared" si="43"/>
        <v>271050</v>
      </c>
      <c r="Q345" s="768">
        <f t="shared" si="43"/>
        <v>270584</v>
      </c>
      <c r="R345" s="763">
        <f aca="true" t="shared" si="44" ref="R345:R391">Q345/P345*100</f>
        <v>99.82807600073788</v>
      </c>
    </row>
    <row r="346" spans="2:18" ht="12.75">
      <c r="B346" s="144">
        <f>B345+1</f>
        <v>4</v>
      </c>
      <c r="C346" s="137"/>
      <c r="D346" s="138"/>
      <c r="E346" s="138" t="s">
        <v>238</v>
      </c>
      <c r="F346" s="138" t="s">
        <v>219</v>
      </c>
      <c r="G346" s="199" t="s">
        <v>644</v>
      </c>
      <c r="H346" s="470">
        <f>2076000-76000</f>
        <v>2000000</v>
      </c>
      <c r="I346" s="339">
        <f>1270580-I345</f>
        <v>999996</v>
      </c>
      <c r="J346" s="620">
        <f aca="true" t="shared" si="45" ref="J346:J356">I346/H346*100</f>
        <v>49.9998</v>
      </c>
      <c r="K346" s="139"/>
      <c r="L346" s="339"/>
      <c r="M346" s="339"/>
      <c r="N346" s="626"/>
      <c r="O346" s="139"/>
      <c r="P346" s="756">
        <f t="shared" si="43"/>
        <v>2000000</v>
      </c>
      <c r="Q346" s="768">
        <f t="shared" si="43"/>
        <v>999996</v>
      </c>
      <c r="R346" s="763">
        <f t="shared" si="44"/>
        <v>49.9998</v>
      </c>
    </row>
    <row r="347" spans="2:18" ht="15.75">
      <c r="B347" s="144">
        <f>B346+1</f>
        <v>5</v>
      </c>
      <c r="C347" s="21">
        <v>2</v>
      </c>
      <c r="D347" s="133" t="s">
        <v>222</v>
      </c>
      <c r="E347" s="22"/>
      <c r="F347" s="22"/>
      <c r="G347" s="200"/>
      <c r="H347" s="520">
        <f>SUM(H348:H351)+H353</f>
        <v>1064000</v>
      </c>
      <c r="I347" s="369">
        <f>SUM(I348:I351)+I353</f>
        <v>467602</v>
      </c>
      <c r="J347" s="620">
        <f t="shared" si="45"/>
        <v>43.94755639097745</v>
      </c>
      <c r="K347" s="113"/>
      <c r="L347" s="349">
        <v>0</v>
      </c>
      <c r="M347" s="349">
        <v>0</v>
      </c>
      <c r="N347" s="626"/>
      <c r="O347" s="113"/>
      <c r="P347" s="757">
        <f t="shared" si="43"/>
        <v>1064000</v>
      </c>
      <c r="Q347" s="769">
        <f t="shared" si="43"/>
        <v>467602</v>
      </c>
      <c r="R347" s="763">
        <f t="shared" si="44"/>
        <v>43.94755639097745</v>
      </c>
    </row>
    <row r="348" spans="2:18" ht="12.75">
      <c r="B348" s="144">
        <f aca="true" t="shared" si="46" ref="B348:B391">B347+1</f>
        <v>6</v>
      </c>
      <c r="C348" s="137"/>
      <c r="D348" s="137"/>
      <c r="E348" s="141" t="s">
        <v>238</v>
      </c>
      <c r="F348" s="141">
        <v>635</v>
      </c>
      <c r="G348" s="199" t="s">
        <v>670</v>
      </c>
      <c r="H348" s="462">
        <f>850000-31500-10000-31200-5500</f>
        <v>771800</v>
      </c>
      <c r="I348" s="335">
        <v>338088</v>
      </c>
      <c r="J348" s="620">
        <f t="shared" si="45"/>
        <v>43.805130862917856</v>
      </c>
      <c r="K348" s="139"/>
      <c r="L348" s="335"/>
      <c r="M348" s="335"/>
      <c r="N348" s="626"/>
      <c r="O348" s="139"/>
      <c r="P348" s="759">
        <f t="shared" si="43"/>
        <v>771800</v>
      </c>
      <c r="Q348" s="771">
        <f t="shared" si="43"/>
        <v>338088</v>
      </c>
      <c r="R348" s="763">
        <f t="shared" si="44"/>
        <v>43.805130862917856</v>
      </c>
    </row>
    <row r="349" spans="2:18" ht="12.75">
      <c r="B349" s="144">
        <f t="shared" si="46"/>
        <v>7</v>
      </c>
      <c r="C349" s="137"/>
      <c r="D349" s="137"/>
      <c r="E349" s="141" t="s">
        <v>238</v>
      </c>
      <c r="F349" s="141">
        <v>635</v>
      </c>
      <c r="G349" s="199" t="s">
        <v>479</v>
      </c>
      <c r="H349" s="462">
        <v>80000</v>
      </c>
      <c r="I349" s="335">
        <v>29155</v>
      </c>
      <c r="J349" s="620">
        <f t="shared" si="45"/>
        <v>36.44375</v>
      </c>
      <c r="K349" s="139"/>
      <c r="L349" s="335"/>
      <c r="M349" s="335"/>
      <c r="N349" s="626"/>
      <c r="O349" s="139"/>
      <c r="P349" s="759">
        <f t="shared" si="43"/>
        <v>80000</v>
      </c>
      <c r="Q349" s="771">
        <f t="shared" si="43"/>
        <v>29155</v>
      </c>
      <c r="R349" s="763">
        <f t="shared" si="44"/>
        <v>36.44375</v>
      </c>
    </row>
    <row r="350" spans="2:18" ht="12.75">
      <c r="B350" s="144">
        <f t="shared" si="46"/>
        <v>8</v>
      </c>
      <c r="C350" s="137"/>
      <c r="D350" s="137"/>
      <c r="E350" s="141" t="s">
        <v>238</v>
      </c>
      <c r="F350" s="141">
        <v>637</v>
      </c>
      <c r="G350" s="199" t="s">
        <v>671</v>
      </c>
      <c r="H350" s="335">
        <v>2000</v>
      </c>
      <c r="I350" s="335">
        <v>250</v>
      </c>
      <c r="J350" s="620">
        <f t="shared" si="45"/>
        <v>12.5</v>
      </c>
      <c r="K350" s="139"/>
      <c r="L350" s="335"/>
      <c r="M350" s="335"/>
      <c r="N350" s="626"/>
      <c r="O350" s="139"/>
      <c r="P350" s="759">
        <f t="shared" si="43"/>
        <v>2000</v>
      </c>
      <c r="Q350" s="771">
        <f t="shared" si="43"/>
        <v>250</v>
      </c>
      <c r="R350" s="763">
        <f t="shared" si="44"/>
        <v>12.5</v>
      </c>
    </row>
    <row r="351" spans="2:18" ht="12.75">
      <c r="B351" s="144">
        <f t="shared" si="46"/>
        <v>9</v>
      </c>
      <c r="C351" s="137"/>
      <c r="D351" s="137"/>
      <c r="E351" s="141" t="s">
        <v>238</v>
      </c>
      <c r="F351" s="141">
        <v>635</v>
      </c>
      <c r="G351" s="199" t="s">
        <v>276</v>
      </c>
      <c r="H351" s="335">
        <v>200200</v>
      </c>
      <c r="I351" s="335">
        <v>100109</v>
      </c>
      <c r="J351" s="620">
        <f t="shared" si="45"/>
        <v>50.00449550449551</v>
      </c>
      <c r="K351" s="139"/>
      <c r="L351" s="335"/>
      <c r="M351" s="335"/>
      <c r="N351" s="626"/>
      <c r="O351" s="139"/>
      <c r="P351" s="759">
        <f t="shared" si="43"/>
        <v>200200</v>
      </c>
      <c r="Q351" s="771">
        <f t="shared" si="43"/>
        <v>100109</v>
      </c>
      <c r="R351" s="763">
        <f t="shared" si="44"/>
        <v>50.00449550449551</v>
      </c>
    </row>
    <row r="352" spans="2:18" ht="12.75">
      <c r="B352" s="144">
        <f t="shared" si="46"/>
        <v>10</v>
      </c>
      <c r="C352" s="137"/>
      <c r="D352" s="169"/>
      <c r="E352" s="143"/>
      <c r="F352" s="143"/>
      <c r="G352" s="332"/>
      <c r="H352" s="341"/>
      <c r="I352" s="341"/>
      <c r="J352" s="620"/>
      <c r="K352" s="139"/>
      <c r="L352" s="341"/>
      <c r="M352" s="341"/>
      <c r="N352" s="626"/>
      <c r="O352" s="139"/>
      <c r="P352" s="785"/>
      <c r="Q352" s="792"/>
      <c r="R352" s="763"/>
    </row>
    <row r="353" spans="2:18" ht="12.75">
      <c r="B353" s="144">
        <f t="shared" si="46"/>
        <v>11</v>
      </c>
      <c r="C353" s="137"/>
      <c r="D353" s="169"/>
      <c r="E353" s="166" t="s">
        <v>238</v>
      </c>
      <c r="F353" s="229" t="s">
        <v>506</v>
      </c>
      <c r="G353" s="229"/>
      <c r="H353" s="345">
        <f>SUM(H354:H356)</f>
        <v>10000</v>
      </c>
      <c r="I353" s="345">
        <f>SUM(I354:I356)</f>
        <v>0</v>
      </c>
      <c r="J353" s="620">
        <f t="shared" si="45"/>
        <v>0</v>
      </c>
      <c r="K353" s="139"/>
      <c r="L353" s="341"/>
      <c r="M353" s="341"/>
      <c r="N353" s="626"/>
      <c r="O353" s="139"/>
      <c r="P353" s="817">
        <f aca="true" t="shared" si="47" ref="P353:Q391">H353+L353</f>
        <v>10000</v>
      </c>
      <c r="Q353" s="345">
        <f t="shared" si="47"/>
        <v>0</v>
      </c>
      <c r="R353" s="763">
        <f t="shared" si="44"/>
        <v>0</v>
      </c>
    </row>
    <row r="354" spans="2:18" ht="12.75">
      <c r="B354" s="144">
        <f t="shared" si="46"/>
        <v>12</v>
      </c>
      <c r="C354" s="137"/>
      <c r="D354" s="169"/>
      <c r="E354" s="166"/>
      <c r="F354" s="141">
        <v>620</v>
      </c>
      <c r="G354" s="199" t="s">
        <v>787</v>
      </c>
      <c r="H354" s="335">
        <v>2300</v>
      </c>
      <c r="I354" s="335">
        <v>0</v>
      </c>
      <c r="J354" s="620">
        <f t="shared" si="45"/>
        <v>0</v>
      </c>
      <c r="K354" s="139"/>
      <c r="L354" s="341"/>
      <c r="M354" s="341"/>
      <c r="N354" s="626"/>
      <c r="O354" s="139"/>
      <c r="P354" s="785">
        <f t="shared" si="47"/>
        <v>2300</v>
      </c>
      <c r="Q354" s="792">
        <f t="shared" si="47"/>
        <v>0</v>
      </c>
      <c r="R354" s="763">
        <f t="shared" si="44"/>
        <v>0</v>
      </c>
    </row>
    <row r="355" spans="2:18" ht="12.75">
      <c r="B355" s="144">
        <f t="shared" si="46"/>
        <v>13</v>
      </c>
      <c r="C355" s="137"/>
      <c r="D355" s="169"/>
      <c r="E355" s="166"/>
      <c r="F355" s="141">
        <v>633</v>
      </c>
      <c r="G355" s="199" t="s">
        <v>251</v>
      </c>
      <c r="H355" s="335">
        <v>500</v>
      </c>
      <c r="I355" s="335">
        <v>0</v>
      </c>
      <c r="J355" s="620">
        <f t="shared" si="45"/>
        <v>0</v>
      </c>
      <c r="K355" s="139"/>
      <c r="L355" s="341"/>
      <c r="M355" s="341"/>
      <c r="N355" s="626"/>
      <c r="O355" s="139"/>
      <c r="P355" s="785">
        <f t="shared" si="47"/>
        <v>500</v>
      </c>
      <c r="Q355" s="792">
        <f t="shared" si="47"/>
        <v>0</v>
      </c>
      <c r="R355" s="763">
        <f t="shared" si="44"/>
        <v>0</v>
      </c>
    </row>
    <row r="356" spans="2:18" ht="12.75">
      <c r="B356" s="144">
        <f t="shared" si="46"/>
        <v>14</v>
      </c>
      <c r="C356" s="137"/>
      <c r="D356" s="169"/>
      <c r="E356" s="166"/>
      <c r="F356" s="141">
        <v>637</v>
      </c>
      <c r="G356" s="199" t="s">
        <v>252</v>
      </c>
      <c r="H356" s="335">
        <v>7200</v>
      </c>
      <c r="I356" s="335">
        <v>0</v>
      </c>
      <c r="J356" s="620">
        <f t="shared" si="45"/>
        <v>0</v>
      </c>
      <c r="K356" s="139"/>
      <c r="L356" s="341"/>
      <c r="M356" s="341"/>
      <c r="N356" s="626"/>
      <c r="O356" s="139"/>
      <c r="P356" s="785">
        <f t="shared" si="47"/>
        <v>7200</v>
      </c>
      <c r="Q356" s="792">
        <f t="shared" si="47"/>
        <v>0</v>
      </c>
      <c r="R356" s="763">
        <f t="shared" si="44"/>
        <v>0</v>
      </c>
    </row>
    <row r="357" spans="2:18" ht="15.75">
      <c r="B357" s="144">
        <f t="shared" si="46"/>
        <v>15</v>
      </c>
      <c r="C357" s="24">
        <v>3</v>
      </c>
      <c r="D357" s="134" t="s">
        <v>223</v>
      </c>
      <c r="E357" s="25"/>
      <c r="F357" s="25"/>
      <c r="G357" s="198"/>
      <c r="H357" s="372"/>
      <c r="I357" s="372"/>
      <c r="J357" s="620"/>
      <c r="K357" s="90"/>
      <c r="L357" s="337">
        <f>SUM(L358:L391)</f>
        <v>979401</v>
      </c>
      <c r="M357" s="337">
        <f>SUM(M358:M391)</f>
        <v>135559</v>
      </c>
      <c r="N357" s="635">
        <f>M357/L357*100</f>
        <v>13.841010985285903</v>
      </c>
      <c r="O357" s="90"/>
      <c r="P357" s="754">
        <f t="shared" si="47"/>
        <v>979401</v>
      </c>
      <c r="Q357" s="766">
        <f t="shared" si="47"/>
        <v>135559</v>
      </c>
      <c r="R357" s="763">
        <f t="shared" si="44"/>
        <v>13.841010985285903</v>
      </c>
    </row>
    <row r="358" spans="2:18" ht="12.75">
      <c r="B358" s="144">
        <f t="shared" si="46"/>
        <v>16</v>
      </c>
      <c r="C358" s="137"/>
      <c r="D358" s="137"/>
      <c r="E358" s="141" t="s">
        <v>238</v>
      </c>
      <c r="F358" s="141">
        <v>717</v>
      </c>
      <c r="G358" s="199" t="s">
        <v>457</v>
      </c>
      <c r="H358" s="462"/>
      <c r="I358" s="335"/>
      <c r="J358" s="620"/>
      <c r="K358" s="139"/>
      <c r="L358" s="335">
        <v>73631</v>
      </c>
      <c r="M358" s="335">
        <v>36815</v>
      </c>
      <c r="N358" s="635">
        <f aca="true" t="shared" si="48" ref="N358:N391">M358/L358*100</f>
        <v>49.999320938191794</v>
      </c>
      <c r="O358" s="139"/>
      <c r="P358" s="759">
        <f t="shared" si="47"/>
        <v>73631</v>
      </c>
      <c r="Q358" s="771">
        <f t="shared" si="47"/>
        <v>36815</v>
      </c>
      <c r="R358" s="763">
        <f t="shared" si="44"/>
        <v>49.999320938191794</v>
      </c>
    </row>
    <row r="359" spans="2:18" ht="12.75">
      <c r="B359" s="144">
        <f t="shared" si="46"/>
        <v>17</v>
      </c>
      <c r="C359" s="137"/>
      <c r="D359" s="137"/>
      <c r="E359" s="141" t="s">
        <v>238</v>
      </c>
      <c r="F359" s="141">
        <v>716</v>
      </c>
      <c r="G359" s="199" t="s">
        <v>457</v>
      </c>
      <c r="H359" s="462"/>
      <c r="I359" s="335"/>
      <c r="J359" s="620"/>
      <c r="K359" s="159"/>
      <c r="L359" s="335">
        <v>6877</v>
      </c>
      <c r="M359" s="335">
        <v>3439</v>
      </c>
      <c r="N359" s="635">
        <f t="shared" si="48"/>
        <v>50.00727061218555</v>
      </c>
      <c r="O359" s="159"/>
      <c r="P359" s="759">
        <f t="shared" si="47"/>
        <v>6877</v>
      </c>
      <c r="Q359" s="771">
        <f t="shared" si="47"/>
        <v>3439</v>
      </c>
      <c r="R359" s="763">
        <f t="shared" si="44"/>
        <v>50.00727061218555</v>
      </c>
    </row>
    <row r="360" spans="2:18" ht="12.75">
      <c r="B360" s="144">
        <f t="shared" si="46"/>
        <v>18</v>
      </c>
      <c r="C360" s="137"/>
      <c r="D360" s="137"/>
      <c r="E360" s="141" t="s">
        <v>238</v>
      </c>
      <c r="F360" s="141">
        <v>717</v>
      </c>
      <c r="G360" s="199" t="s">
        <v>697</v>
      </c>
      <c r="H360" s="452"/>
      <c r="I360" s="341"/>
      <c r="J360" s="620"/>
      <c r="K360" s="139"/>
      <c r="L360" s="335">
        <f>400000-637-72320-84000</f>
        <v>243043</v>
      </c>
      <c r="M360" s="335">
        <v>0</v>
      </c>
      <c r="N360" s="635">
        <f t="shared" si="48"/>
        <v>0</v>
      </c>
      <c r="O360" s="139"/>
      <c r="P360" s="759">
        <f t="shared" si="47"/>
        <v>243043</v>
      </c>
      <c r="Q360" s="771">
        <f t="shared" si="47"/>
        <v>0</v>
      </c>
      <c r="R360" s="763">
        <f t="shared" si="44"/>
        <v>0</v>
      </c>
    </row>
    <row r="361" spans="2:18" ht="12.75">
      <c r="B361" s="144">
        <f t="shared" si="46"/>
        <v>19</v>
      </c>
      <c r="C361" s="137"/>
      <c r="D361" s="137"/>
      <c r="E361" s="141" t="s">
        <v>238</v>
      </c>
      <c r="F361" s="141">
        <v>711</v>
      </c>
      <c r="G361" s="199" t="s">
        <v>802</v>
      </c>
      <c r="H361" s="452"/>
      <c r="I361" s="341"/>
      <c r="J361" s="620"/>
      <c r="K361" s="139"/>
      <c r="L361" s="335">
        <v>72320</v>
      </c>
      <c r="M361" s="335">
        <v>0</v>
      </c>
      <c r="N361" s="635">
        <f t="shared" si="48"/>
        <v>0</v>
      </c>
      <c r="O361" s="139"/>
      <c r="P361" s="759">
        <f t="shared" si="47"/>
        <v>72320</v>
      </c>
      <c r="Q361" s="771">
        <f t="shared" si="47"/>
        <v>0</v>
      </c>
      <c r="R361" s="763">
        <f t="shared" si="44"/>
        <v>0</v>
      </c>
    </row>
    <row r="362" spans="2:18" ht="12.75">
      <c r="B362" s="144">
        <f t="shared" si="46"/>
        <v>20</v>
      </c>
      <c r="C362" s="137"/>
      <c r="D362" s="137"/>
      <c r="E362" s="141" t="s">
        <v>238</v>
      </c>
      <c r="F362" s="141">
        <v>716</v>
      </c>
      <c r="G362" s="199" t="s">
        <v>714</v>
      </c>
      <c r="H362" s="452"/>
      <c r="I362" s="341"/>
      <c r="J362" s="620"/>
      <c r="K362" s="139"/>
      <c r="L362" s="335">
        <v>5000</v>
      </c>
      <c r="M362" s="335">
        <v>0</v>
      </c>
      <c r="N362" s="635">
        <f t="shared" si="48"/>
        <v>0</v>
      </c>
      <c r="O362" s="139"/>
      <c r="P362" s="759">
        <f t="shared" si="47"/>
        <v>5000</v>
      </c>
      <c r="Q362" s="771">
        <f t="shared" si="47"/>
        <v>0</v>
      </c>
      <c r="R362" s="763">
        <f t="shared" si="44"/>
        <v>0</v>
      </c>
    </row>
    <row r="363" spans="2:18" ht="12.75">
      <c r="B363" s="144">
        <f t="shared" si="46"/>
        <v>21</v>
      </c>
      <c r="C363" s="137"/>
      <c r="D363" s="137"/>
      <c r="E363" s="141" t="s">
        <v>238</v>
      </c>
      <c r="F363" s="141">
        <v>717</v>
      </c>
      <c r="G363" s="199" t="s">
        <v>602</v>
      </c>
      <c r="H363" s="452"/>
      <c r="I363" s="341"/>
      <c r="J363" s="620"/>
      <c r="K363" s="159"/>
      <c r="L363" s="341">
        <v>19654</v>
      </c>
      <c r="M363" s="341">
        <v>0</v>
      </c>
      <c r="N363" s="635">
        <f t="shared" si="48"/>
        <v>0</v>
      </c>
      <c r="O363" s="159"/>
      <c r="P363" s="759">
        <f t="shared" si="47"/>
        <v>19654</v>
      </c>
      <c r="Q363" s="771">
        <f t="shared" si="47"/>
        <v>0</v>
      </c>
      <c r="R363" s="763">
        <f t="shared" si="44"/>
        <v>0</v>
      </c>
    </row>
    <row r="364" spans="2:18" ht="12.75">
      <c r="B364" s="144">
        <f t="shared" si="46"/>
        <v>22</v>
      </c>
      <c r="C364" s="143"/>
      <c r="D364" s="143"/>
      <c r="E364" s="143" t="s">
        <v>238</v>
      </c>
      <c r="F364" s="143">
        <v>716</v>
      </c>
      <c r="G364" s="332" t="s">
        <v>708</v>
      </c>
      <c r="H364" s="470"/>
      <c r="I364" s="339"/>
      <c r="J364" s="620"/>
      <c r="K364" s="439"/>
      <c r="L364" s="339">
        <v>4500</v>
      </c>
      <c r="M364" s="339">
        <v>4500</v>
      </c>
      <c r="N364" s="635">
        <f t="shared" si="48"/>
        <v>100</v>
      </c>
      <c r="O364" s="139"/>
      <c r="P364" s="756">
        <f t="shared" si="47"/>
        <v>4500</v>
      </c>
      <c r="Q364" s="768">
        <f t="shared" si="47"/>
        <v>4500</v>
      </c>
      <c r="R364" s="763">
        <f t="shared" si="44"/>
        <v>100</v>
      </c>
    </row>
    <row r="365" spans="2:18" ht="12.75">
      <c r="B365" s="144">
        <f t="shared" si="46"/>
        <v>23</v>
      </c>
      <c r="C365" s="143"/>
      <c r="D365" s="143"/>
      <c r="E365" s="143" t="s">
        <v>238</v>
      </c>
      <c r="F365" s="143">
        <v>717</v>
      </c>
      <c r="G365" s="332" t="s">
        <v>723</v>
      </c>
      <c r="H365" s="470"/>
      <c r="I365" s="339"/>
      <c r="J365" s="620"/>
      <c r="K365" s="439"/>
      <c r="L365" s="339">
        <v>80000</v>
      </c>
      <c r="M365" s="339">
        <v>0</v>
      </c>
      <c r="N365" s="635">
        <f t="shared" si="48"/>
        <v>0</v>
      </c>
      <c r="O365" s="139"/>
      <c r="P365" s="756">
        <f t="shared" si="47"/>
        <v>80000</v>
      </c>
      <c r="Q365" s="768">
        <f t="shared" si="47"/>
        <v>0</v>
      </c>
      <c r="R365" s="763">
        <f t="shared" si="44"/>
        <v>0</v>
      </c>
    </row>
    <row r="366" spans="2:18" ht="12.75">
      <c r="B366" s="144">
        <f t="shared" si="46"/>
        <v>24</v>
      </c>
      <c r="C366" s="143"/>
      <c r="D366" s="143"/>
      <c r="E366" s="143" t="s">
        <v>238</v>
      </c>
      <c r="F366" s="143">
        <v>717</v>
      </c>
      <c r="G366" s="332" t="s">
        <v>724</v>
      </c>
      <c r="H366" s="470"/>
      <c r="I366" s="339"/>
      <c r="J366" s="620"/>
      <c r="K366" s="439"/>
      <c r="L366" s="339">
        <f>15000+2739</f>
        <v>17739</v>
      </c>
      <c r="M366" s="339">
        <v>17739</v>
      </c>
      <c r="N366" s="635">
        <f t="shared" si="48"/>
        <v>100</v>
      </c>
      <c r="O366" s="139"/>
      <c r="P366" s="756">
        <f t="shared" si="47"/>
        <v>17739</v>
      </c>
      <c r="Q366" s="768">
        <f t="shared" si="47"/>
        <v>17739</v>
      </c>
      <c r="R366" s="763">
        <f t="shared" si="44"/>
        <v>100</v>
      </c>
    </row>
    <row r="367" spans="2:18" ht="12.75">
      <c r="B367" s="144">
        <f t="shared" si="46"/>
        <v>25</v>
      </c>
      <c r="C367" s="143"/>
      <c r="D367" s="143"/>
      <c r="E367" s="143" t="s">
        <v>238</v>
      </c>
      <c r="F367" s="143">
        <v>717</v>
      </c>
      <c r="G367" s="332" t="s">
        <v>725</v>
      </c>
      <c r="H367" s="470"/>
      <c r="I367" s="339"/>
      <c r="J367" s="620"/>
      <c r="K367" s="439"/>
      <c r="L367" s="339">
        <f>20000-1988</f>
        <v>18012</v>
      </c>
      <c r="M367" s="339">
        <v>18011</v>
      </c>
      <c r="N367" s="635">
        <f t="shared" si="48"/>
        <v>99.99444814568066</v>
      </c>
      <c r="O367" s="139"/>
      <c r="P367" s="756">
        <f t="shared" si="47"/>
        <v>18012</v>
      </c>
      <c r="Q367" s="768">
        <f t="shared" si="47"/>
        <v>18011</v>
      </c>
      <c r="R367" s="763">
        <f t="shared" si="44"/>
        <v>99.99444814568066</v>
      </c>
    </row>
    <row r="368" spans="2:18" ht="12.75">
      <c r="B368" s="144">
        <f t="shared" si="46"/>
        <v>26</v>
      </c>
      <c r="C368" s="143"/>
      <c r="D368" s="143"/>
      <c r="E368" s="143" t="s">
        <v>238</v>
      </c>
      <c r="F368" s="143">
        <v>717</v>
      </c>
      <c r="G368" s="332" t="s">
        <v>726</v>
      </c>
      <c r="H368" s="470"/>
      <c r="I368" s="339"/>
      <c r="J368" s="620"/>
      <c r="K368" s="439"/>
      <c r="L368" s="339">
        <f>20000-6199</f>
        <v>13801</v>
      </c>
      <c r="M368" s="339">
        <v>13800</v>
      </c>
      <c r="N368" s="635">
        <f t="shared" si="48"/>
        <v>99.99275414825013</v>
      </c>
      <c r="O368" s="139"/>
      <c r="P368" s="756">
        <f t="shared" si="47"/>
        <v>13801</v>
      </c>
      <c r="Q368" s="768">
        <f t="shared" si="47"/>
        <v>13800</v>
      </c>
      <c r="R368" s="763">
        <f t="shared" si="44"/>
        <v>99.99275414825013</v>
      </c>
    </row>
    <row r="369" spans="2:18" ht="12.75">
      <c r="B369" s="144">
        <f t="shared" si="46"/>
        <v>27</v>
      </c>
      <c r="C369" s="143"/>
      <c r="D369" s="143"/>
      <c r="E369" s="143" t="s">
        <v>238</v>
      </c>
      <c r="F369" s="143">
        <v>717</v>
      </c>
      <c r="G369" s="332" t="s">
        <v>727</v>
      </c>
      <c r="H369" s="470"/>
      <c r="I369" s="339"/>
      <c r="J369" s="620"/>
      <c r="K369" s="439"/>
      <c r="L369" s="339">
        <f>20000+5448</f>
        <v>25448</v>
      </c>
      <c r="M369" s="339">
        <v>25349</v>
      </c>
      <c r="N369" s="635">
        <f t="shared" si="48"/>
        <v>99.61097139264382</v>
      </c>
      <c r="O369" s="139"/>
      <c r="P369" s="756">
        <f t="shared" si="47"/>
        <v>25448</v>
      </c>
      <c r="Q369" s="768">
        <f t="shared" si="47"/>
        <v>25349</v>
      </c>
      <c r="R369" s="763">
        <f t="shared" si="44"/>
        <v>99.61097139264382</v>
      </c>
    </row>
    <row r="370" spans="2:18" ht="12.75">
      <c r="B370" s="144">
        <f t="shared" si="46"/>
        <v>28</v>
      </c>
      <c r="C370" s="143"/>
      <c r="D370" s="143"/>
      <c r="E370" s="143" t="s">
        <v>238</v>
      </c>
      <c r="F370" s="143">
        <v>717</v>
      </c>
      <c r="G370" s="332" t="s">
        <v>728</v>
      </c>
      <c r="H370" s="470"/>
      <c r="I370" s="339"/>
      <c r="J370" s="620"/>
      <c r="K370" s="439"/>
      <c r="L370" s="339">
        <f>20000-700</f>
        <v>19300</v>
      </c>
      <c r="M370" s="339">
        <v>15270</v>
      </c>
      <c r="N370" s="635">
        <f t="shared" si="48"/>
        <v>79.11917098445596</v>
      </c>
      <c r="O370" s="139"/>
      <c r="P370" s="756">
        <f t="shared" si="47"/>
        <v>19300</v>
      </c>
      <c r="Q370" s="768">
        <f t="shared" si="47"/>
        <v>15270</v>
      </c>
      <c r="R370" s="763">
        <f t="shared" si="44"/>
        <v>79.11917098445596</v>
      </c>
    </row>
    <row r="371" spans="2:18" ht="12.75">
      <c r="B371" s="144">
        <f t="shared" si="46"/>
        <v>29</v>
      </c>
      <c r="C371" s="143"/>
      <c r="D371" s="143"/>
      <c r="E371" s="143" t="s">
        <v>238</v>
      </c>
      <c r="F371" s="143">
        <v>717</v>
      </c>
      <c r="G371" s="332" t="s">
        <v>729</v>
      </c>
      <c r="H371" s="470"/>
      <c r="I371" s="339"/>
      <c r="J371" s="620"/>
      <c r="K371" s="439"/>
      <c r="L371" s="339">
        <v>15000</v>
      </c>
      <c r="M371" s="339">
        <v>0</v>
      </c>
      <c r="N371" s="635">
        <f t="shared" si="48"/>
        <v>0</v>
      </c>
      <c r="O371" s="139"/>
      <c r="P371" s="756">
        <f t="shared" si="47"/>
        <v>15000</v>
      </c>
      <c r="Q371" s="768">
        <f t="shared" si="47"/>
        <v>0</v>
      </c>
      <c r="R371" s="763">
        <f t="shared" si="44"/>
        <v>0</v>
      </c>
    </row>
    <row r="372" spans="2:18" ht="12.75">
      <c r="B372" s="144">
        <f t="shared" si="46"/>
        <v>30</v>
      </c>
      <c r="C372" s="143"/>
      <c r="D372" s="143"/>
      <c r="E372" s="143" t="s">
        <v>238</v>
      </c>
      <c r="F372" s="143">
        <v>716</v>
      </c>
      <c r="G372" s="332" t="s">
        <v>731</v>
      </c>
      <c r="H372" s="470"/>
      <c r="I372" s="339"/>
      <c r="J372" s="620"/>
      <c r="K372" s="439"/>
      <c r="L372" s="339">
        <v>7000</v>
      </c>
      <c r="M372" s="339">
        <v>0</v>
      </c>
      <c r="N372" s="635">
        <f t="shared" si="48"/>
        <v>0</v>
      </c>
      <c r="O372" s="139"/>
      <c r="P372" s="756">
        <f t="shared" si="47"/>
        <v>7000</v>
      </c>
      <c r="Q372" s="768">
        <f t="shared" si="47"/>
        <v>0</v>
      </c>
      <c r="R372" s="763">
        <f t="shared" si="44"/>
        <v>0</v>
      </c>
    </row>
    <row r="373" spans="2:18" ht="12.75">
      <c r="B373" s="144">
        <f t="shared" si="46"/>
        <v>31</v>
      </c>
      <c r="C373" s="143"/>
      <c r="D373" s="143"/>
      <c r="E373" s="143" t="s">
        <v>238</v>
      </c>
      <c r="F373" s="143">
        <v>717</v>
      </c>
      <c r="G373" s="332" t="s">
        <v>730</v>
      </c>
      <c r="H373" s="470"/>
      <c r="I373" s="339"/>
      <c r="J373" s="620"/>
      <c r="K373" s="439"/>
      <c r="L373" s="339">
        <v>50000</v>
      </c>
      <c r="M373" s="339">
        <v>0</v>
      </c>
      <c r="N373" s="635">
        <f t="shared" si="48"/>
        <v>0</v>
      </c>
      <c r="O373" s="139"/>
      <c r="P373" s="756">
        <f t="shared" si="47"/>
        <v>50000</v>
      </c>
      <c r="Q373" s="768">
        <f t="shared" si="47"/>
        <v>0</v>
      </c>
      <c r="R373" s="763">
        <f t="shared" si="44"/>
        <v>0</v>
      </c>
    </row>
    <row r="374" spans="2:18" ht="12.75">
      <c r="B374" s="144">
        <f t="shared" si="46"/>
        <v>32</v>
      </c>
      <c r="C374" s="143"/>
      <c r="D374" s="143"/>
      <c r="E374" s="143" t="s">
        <v>238</v>
      </c>
      <c r="F374" s="143">
        <v>716</v>
      </c>
      <c r="G374" s="332" t="s">
        <v>733</v>
      </c>
      <c r="H374" s="470"/>
      <c r="I374" s="339"/>
      <c r="J374" s="620"/>
      <c r="K374" s="439"/>
      <c r="L374" s="339">
        <v>6000</v>
      </c>
      <c r="M374" s="339">
        <v>0</v>
      </c>
      <c r="N374" s="635">
        <f t="shared" si="48"/>
        <v>0</v>
      </c>
      <c r="O374" s="139"/>
      <c r="P374" s="756">
        <f t="shared" si="47"/>
        <v>6000</v>
      </c>
      <c r="Q374" s="768">
        <f t="shared" si="47"/>
        <v>0</v>
      </c>
      <c r="R374" s="763">
        <f t="shared" si="44"/>
        <v>0</v>
      </c>
    </row>
    <row r="375" spans="2:18" ht="12.75">
      <c r="B375" s="144">
        <f t="shared" si="46"/>
        <v>33</v>
      </c>
      <c r="C375" s="143"/>
      <c r="D375" s="143"/>
      <c r="E375" s="143" t="s">
        <v>238</v>
      </c>
      <c r="F375" s="143">
        <v>717</v>
      </c>
      <c r="G375" s="332" t="s">
        <v>732</v>
      </c>
      <c r="H375" s="470"/>
      <c r="I375" s="339"/>
      <c r="J375" s="620"/>
      <c r="K375" s="439"/>
      <c r="L375" s="339">
        <v>60000</v>
      </c>
      <c r="M375" s="339">
        <v>0</v>
      </c>
      <c r="N375" s="635">
        <f t="shared" si="48"/>
        <v>0</v>
      </c>
      <c r="O375" s="139"/>
      <c r="P375" s="756">
        <f t="shared" si="47"/>
        <v>60000</v>
      </c>
      <c r="Q375" s="768">
        <f t="shared" si="47"/>
        <v>0</v>
      </c>
      <c r="R375" s="763">
        <f t="shared" si="44"/>
        <v>0</v>
      </c>
    </row>
    <row r="376" spans="2:18" ht="12.75">
      <c r="B376" s="144">
        <f t="shared" si="46"/>
        <v>34</v>
      </c>
      <c r="C376" s="143"/>
      <c r="D376" s="143"/>
      <c r="E376" s="143" t="s">
        <v>238</v>
      </c>
      <c r="F376" s="143">
        <v>716</v>
      </c>
      <c r="G376" s="332" t="s">
        <v>735</v>
      </c>
      <c r="H376" s="470"/>
      <c r="I376" s="339"/>
      <c r="J376" s="620"/>
      <c r="K376" s="439"/>
      <c r="L376" s="339">
        <v>3000</v>
      </c>
      <c r="M376" s="339">
        <v>0</v>
      </c>
      <c r="N376" s="635">
        <f t="shared" si="48"/>
        <v>0</v>
      </c>
      <c r="O376" s="139"/>
      <c r="P376" s="756">
        <f t="shared" si="47"/>
        <v>3000</v>
      </c>
      <c r="Q376" s="768">
        <f t="shared" si="47"/>
        <v>0</v>
      </c>
      <c r="R376" s="763">
        <f t="shared" si="44"/>
        <v>0</v>
      </c>
    </row>
    <row r="377" spans="2:18" ht="12.75">
      <c r="B377" s="144">
        <f t="shared" si="46"/>
        <v>35</v>
      </c>
      <c r="C377" s="143"/>
      <c r="D377" s="143"/>
      <c r="E377" s="143" t="s">
        <v>238</v>
      </c>
      <c r="F377" s="143">
        <v>717</v>
      </c>
      <c r="G377" s="332" t="s">
        <v>734</v>
      </c>
      <c r="H377" s="470"/>
      <c r="I377" s="339"/>
      <c r="J377" s="620"/>
      <c r="K377" s="439"/>
      <c r="L377" s="339">
        <v>60000</v>
      </c>
      <c r="M377" s="339">
        <v>0</v>
      </c>
      <c r="N377" s="635">
        <f t="shared" si="48"/>
        <v>0</v>
      </c>
      <c r="O377" s="139"/>
      <c r="P377" s="756">
        <f t="shared" si="47"/>
        <v>60000</v>
      </c>
      <c r="Q377" s="768">
        <f t="shared" si="47"/>
        <v>0</v>
      </c>
      <c r="R377" s="763">
        <f t="shared" si="44"/>
        <v>0</v>
      </c>
    </row>
    <row r="378" spans="2:18" ht="12.75">
      <c r="B378" s="144">
        <f t="shared" si="46"/>
        <v>36</v>
      </c>
      <c r="C378" s="143"/>
      <c r="D378" s="143"/>
      <c r="E378" s="143" t="s">
        <v>238</v>
      </c>
      <c r="F378" s="143">
        <v>716</v>
      </c>
      <c r="G378" s="332" t="s">
        <v>737</v>
      </c>
      <c r="H378" s="470"/>
      <c r="I378" s="339"/>
      <c r="J378" s="620"/>
      <c r="K378" s="439"/>
      <c r="L378" s="339">
        <v>3000</v>
      </c>
      <c r="M378" s="339">
        <v>0</v>
      </c>
      <c r="N378" s="635">
        <f t="shared" si="48"/>
        <v>0</v>
      </c>
      <c r="O378" s="139"/>
      <c r="P378" s="756">
        <f t="shared" si="47"/>
        <v>3000</v>
      </c>
      <c r="Q378" s="768">
        <f t="shared" si="47"/>
        <v>0</v>
      </c>
      <c r="R378" s="763">
        <f t="shared" si="44"/>
        <v>0</v>
      </c>
    </row>
    <row r="379" spans="2:18" ht="12.75">
      <c r="B379" s="144">
        <f t="shared" si="46"/>
        <v>37</v>
      </c>
      <c r="C379" s="143"/>
      <c r="D379" s="143"/>
      <c r="E379" s="143" t="s">
        <v>238</v>
      </c>
      <c r="F379" s="143">
        <v>717</v>
      </c>
      <c r="G379" s="332" t="s">
        <v>736</v>
      </c>
      <c r="H379" s="470"/>
      <c r="I379" s="339"/>
      <c r="J379" s="620"/>
      <c r="K379" s="439"/>
      <c r="L379" s="339">
        <v>80000</v>
      </c>
      <c r="M379" s="339">
        <v>0</v>
      </c>
      <c r="N379" s="635">
        <f t="shared" si="48"/>
        <v>0</v>
      </c>
      <c r="O379" s="139"/>
      <c r="P379" s="756">
        <f t="shared" si="47"/>
        <v>80000</v>
      </c>
      <c r="Q379" s="768">
        <f t="shared" si="47"/>
        <v>0</v>
      </c>
      <c r="R379" s="763">
        <f t="shared" si="44"/>
        <v>0</v>
      </c>
    </row>
    <row r="380" spans="2:18" ht="12.75">
      <c r="B380" s="144">
        <f t="shared" si="46"/>
        <v>38</v>
      </c>
      <c r="C380" s="143"/>
      <c r="D380" s="143"/>
      <c r="E380" s="143" t="s">
        <v>238</v>
      </c>
      <c r="F380" s="143">
        <v>716</v>
      </c>
      <c r="G380" s="332" t="s">
        <v>739</v>
      </c>
      <c r="H380" s="470"/>
      <c r="I380" s="339"/>
      <c r="J380" s="620"/>
      <c r="K380" s="439"/>
      <c r="L380" s="339">
        <v>3000</v>
      </c>
      <c r="M380" s="339">
        <v>0</v>
      </c>
      <c r="N380" s="635">
        <f t="shared" si="48"/>
        <v>0</v>
      </c>
      <c r="O380" s="139"/>
      <c r="P380" s="756">
        <f t="shared" si="47"/>
        <v>3000</v>
      </c>
      <c r="Q380" s="768">
        <f t="shared" si="47"/>
        <v>0</v>
      </c>
      <c r="R380" s="763">
        <f t="shared" si="44"/>
        <v>0</v>
      </c>
    </row>
    <row r="381" spans="2:18" ht="12.75">
      <c r="B381" s="144">
        <f t="shared" si="46"/>
        <v>39</v>
      </c>
      <c r="C381" s="143"/>
      <c r="D381" s="143"/>
      <c r="E381" s="143" t="s">
        <v>238</v>
      </c>
      <c r="F381" s="143">
        <v>717</v>
      </c>
      <c r="G381" s="332" t="s">
        <v>738</v>
      </c>
      <c r="H381" s="462"/>
      <c r="I381" s="335"/>
      <c r="J381" s="620"/>
      <c r="K381" s="187"/>
      <c r="L381" s="335">
        <v>40000</v>
      </c>
      <c r="M381" s="335">
        <v>0</v>
      </c>
      <c r="N381" s="635">
        <f t="shared" si="48"/>
        <v>0</v>
      </c>
      <c r="O381" s="159"/>
      <c r="P381" s="759">
        <f t="shared" si="47"/>
        <v>40000</v>
      </c>
      <c r="Q381" s="771">
        <f t="shared" si="47"/>
        <v>0</v>
      </c>
      <c r="R381" s="763">
        <f t="shared" si="44"/>
        <v>0</v>
      </c>
    </row>
    <row r="382" spans="2:18" ht="24">
      <c r="B382" s="592">
        <f t="shared" si="46"/>
        <v>40</v>
      </c>
      <c r="C382" s="424"/>
      <c r="D382" s="424"/>
      <c r="E382" s="424" t="s">
        <v>238</v>
      </c>
      <c r="F382" s="424">
        <v>716</v>
      </c>
      <c r="G382" s="631" t="s">
        <v>759</v>
      </c>
      <c r="H382" s="632"/>
      <c r="I382" s="633"/>
      <c r="J382" s="634"/>
      <c r="K382" s="421"/>
      <c r="L382" s="633">
        <v>939</v>
      </c>
      <c r="M382" s="633">
        <v>0</v>
      </c>
      <c r="N382" s="636">
        <f t="shared" si="48"/>
        <v>0</v>
      </c>
      <c r="O382" s="421"/>
      <c r="P382" s="818">
        <f t="shared" si="47"/>
        <v>939</v>
      </c>
      <c r="Q382" s="821">
        <f t="shared" si="47"/>
        <v>0</v>
      </c>
      <c r="R382" s="820">
        <f t="shared" si="44"/>
        <v>0</v>
      </c>
    </row>
    <row r="383" spans="2:18" ht="12.75">
      <c r="B383" s="144">
        <f t="shared" si="46"/>
        <v>41</v>
      </c>
      <c r="C383" s="143"/>
      <c r="D383" s="143"/>
      <c r="E383" s="143" t="s">
        <v>238</v>
      </c>
      <c r="F383" s="143">
        <v>717</v>
      </c>
      <c r="G383" s="332" t="s">
        <v>760</v>
      </c>
      <c r="H383" s="462"/>
      <c r="I383" s="335"/>
      <c r="J383" s="620"/>
      <c r="K383" s="187"/>
      <c r="L383" s="335">
        <v>637</v>
      </c>
      <c r="M383" s="335">
        <v>636</v>
      </c>
      <c r="N383" s="635">
        <f t="shared" si="48"/>
        <v>99.84301412872841</v>
      </c>
      <c r="O383" s="159"/>
      <c r="P383" s="759">
        <f t="shared" si="47"/>
        <v>637</v>
      </c>
      <c r="Q383" s="771">
        <f t="shared" si="47"/>
        <v>636</v>
      </c>
      <c r="R383" s="763">
        <f t="shared" si="44"/>
        <v>99.84301412872841</v>
      </c>
    </row>
    <row r="384" spans="2:18" ht="12.75">
      <c r="B384" s="144">
        <f t="shared" si="46"/>
        <v>42</v>
      </c>
      <c r="C384" s="143"/>
      <c r="D384" s="143"/>
      <c r="E384" s="143" t="s">
        <v>238</v>
      </c>
      <c r="F384" s="143">
        <v>717</v>
      </c>
      <c r="G384" s="332" t="s">
        <v>772</v>
      </c>
      <c r="H384" s="462"/>
      <c r="I384" s="335"/>
      <c r="J384" s="620"/>
      <c r="K384" s="187"/>
      <c r="L384" s="335">
        <v>2000</v>
      </c>
      <c r="M384" s="335">
        <v>0</v>
      </c>
      <c r="N384" s="635">
        <f t="shared" si="48"/>
        <v>0</v>
      </c>
      <c r="O384" s="187"/>
      <c r="P384" s="759">
        <f t="shared" si="47"/>
        <v>2000</v>
      </c>
      <c r="Q384" s="771">
        <f t="shared" si="47"/>
        <v>0</v>
      </c>
      <c r="R384" s="763">
        <f t="shared" si="44"/>
        <v>0</v>
      </c>
    </row>
    <row r="385" spans="2:18" ht="12.75">
      <c r="B385" s="144">
        <f t="shared" si="46"/>
        <v>43</v>
      </c>
      <c r="C385" s="586"/>
      <c r="D385" s="586"/>
      <c r="E385" s="586" t="s">
        <v>238</v>
      </c>
      <c r="F385" s="586">
        <v>717</v>
      </c>
      <c r="G385" s="589" t="s">
        <v>773</v>
      </c>
      <c r="H385" s="470"/>
      <c r="I385" s="339"/>
      <c r="J385" s="620"/>
      <c r="K385" s="439"/>
      <c r="L385" s="339">
        <v>500</v>
      </c>
      <c r="M385" s="339">
        <v>0</v>
      </c>
      <c r="N385" s="635">
        <f t="shared" si="48"/>
        <v>0</v>
      </c>
      <c r="O385" s="439"/>
      <c r="P385" s="756">
        <f t="shared" si="47"/>
        <v>500</v>
      </c>
      <c r="Q385" s="768">
        <f t="shared" si="47"/>
        <v>0</v>
      </c>
      <c r="R385" s="763">
        <f t="shared" si="44"/>
        <v>0</v>
      </c>
    </row>
    <row r="386" spans="2:18" ht="12.75">
      <c r="B386" s="144">
        <f t="shared" si="46"/>
        <v>44</v>
      </c>
      <c r="C386" s="586"/>
      <c r="D386" s="586"/>
      <c r="E386" s="586" t="s">
        <v>238</v>
      </c>
      <c r="F386" s="586">
        <v>716</v>
      </c>
      <c r="G386" s="589" t="s">
        <v>818</v>
      </c>
      <c r="H386" s="470"/>
      <c r="I386" s="339"/>
      <c r="J386" s="620"/>
      <c r="K386" s="439"/>
      <c r="L386" s="339">
        <v>1000</v>
      </c>
      <c r="M386" s="339">
        <v>0</v>
      </c>
      <c r="N386" s="635">
        <f t="shared" si="48"/>
        <v>0</v>
      </c>
      <c r="O386" s="439"/>
      <c r="P386" s="756">
        <f t="shared" si="47"/>
        <v>1000</v>
      </c>
      <c r="Q386" s="768">
        <f t="shared" si="47"/>
        <v>0</v>
      </c>
      <c r="R386" s="763">
        <f t="shared" si="44"/>
        <v>0</v>
      </c>
    </row>
    <row r="387" spans="2:18" ht="12.75">
      <c r="B387" s="144">
        <f t="shared" si="46"/>
        <v>45</v>
      </c>
      <c r="C387" s="586"/>
      <c r="D387" s="586"/>
      <c r="E387" s="143" t="s">
        <v>238</v>
      </c>
      <c r="F387" s="143">
        <v>717</v>
      </c>
      <c r="G387" s="332" t="s">
        <v>817</v>
      </c>
      <c r="H387" s="462"/>
      <c r="I387" s="335"/>
      <c r="J387" s="620"/>
      <c r="K387" s="187"/>
      <c r="L387" s="335">
        <v>43000</v>
      </c>
      <c r="M387" s="335">
        <v>0</v>
      </c>
      <c r="N387" s="635">
        <f t="shared" si="48"/>
        <v>0</v>
      </c>
      <c r="O387" s="187"/>
      <c r="P387" s="759">
        <f t="shared" si="47"/>
        <v>43000</v>
      </c>
      <c r="Q387" s="771">
        <f t="shared" si="47"/>
        <v>0</v>
      </c>
      <c r="R387" s="763">
        <f t="shared" si="44"/>
        <v>0</v>
      </c>
    </row>
    <row r="388" spans="2:18" ht="12.75">
      <c r="B388" s="144">
        <f t="shared" si="46"/>
        <v>46</v>
      </c>
      <c r="C388" s="586"/>
      <c r="D388" s="586"/>
      <c r="E388" s="143" t="s">
        <v>238</v>
      </c>
      <c r="F388" s="186">
        <v>716</v>
      </c>
      <c r="G388" s="593" t="s">
        <v>819</v>
      </c>
      <c r="H388" s="579"/>
      <c r="I388" s="437"/>
      <c r="J388" s="620"/>
      <c r="K388" s="139"/>
      <c r="L388" s="437">
        <v>300</v>
      </c>
      <c r="M388" s="437">
        <v>0</v>
      </c>
      <c r="N388" s="635">
        <f t="shared" si="48"/>
        <v>0</v>
      </c>
      <c r="O388" s="139"/>
      <c r="P388" s="819">
        <f t="shared" si="47"/>
        <v>300</v>
      </c>
      <c r="Q388" s="822">
        <f t="shared" si="47"/>
        <v>0</v>
      </c>
      <c r="R388" s="763">
        <f t="shared" si="44"/>
        <v>0</v>
      </c>
    </row>
    <row r="389" spans="2:18" ht="12.75">
      <c r="B389" s="144">
        <f t="shared" si="46"/>
        <v>47</v>
      </c>
      <c r="C389" s="586"/>
      <c r="D389" s="586"/>
      <c r="E389" s="143" t="s">
        <v>238</v>
      </c>
      <c r="F389" s="586">
        <v>717</v>
      </c>
      <c r="G389" s="589" t="s">
        <v>820</v>
      </c>
      <c r="H389" s="470"/>
      <c r="I389" s="339"/>
      <c r="J389" s="620"/>
      <c r="K389" s="439"/>
      <c r="L389" s="339">
        <v>1700</v>
      </c>
      <c r="M389" s="339">
        <v>0</v>
      </c>
      <c r="N389" s="635">
        <f t="shared" si="48"/>
        <v>0</v>
      </c>
      <c r="O389" s="439"/>
      <c r="P389" s="756">
        <f t="shared" si="47"/>
        <v>1700</v>
      </c>
      <c r="Q389" s="768">
        <f t="shared" si="47"/>
        <v>0</v>
      </c>
      <c r="R389" s="763">
        <f t="shared" si="44"/>
        <v>0</v>
      </c>
    </row>
    <row r="390" spans="2:18" ht="12.75">
      <c r="B390" s="144">
        <f t="shared" si="46"/>
        <v>48</v>
      </c>
      <c r="C390" s="586"/>
      <c r="D390" s="586"/>
      <c r="E390" s="143" t="s">
        <v>238</v>
      </c>
      <c r="F390" s="586">
        <v>716</v>
      </c>
      <c r="G390" s="589" t="s">
        <v>821</v>
      </c>
      <c r="H390" s="470"/>
      <c r="I390" s="339"/>
      <c r="J390" s="620"/>
      <c r="K390" s="439"/>
      <c r="L390" s="339">
        <v>2000</v>
      </c>
      <c r="M390" s="339">
        <v>0</v>
      </c>
      <c r="N390" s="635">
        <f t="shared" si="48"/>
        <v>0</v>
      </c>
      <c r="O390" s="439"/>
      <c r="P390" s="756">
        <f t="shared" si="47"/>
        <v>2000</v>
      </c>
      <c r="Q390" s="768">
        <f t="shared" si="47"/>
        <v>0</v>
      </c>
      <c r="R390" s="763">
        <f t="shared" si="44"/>
        <v>0</v>
      </c>
    </row>
    <row r="391" spans="2:18" ht="13.5" thickBot="1">
      <c r="B391" s="144">
        <f t="shared" si="46"/>
        <v>49</v>
      </c>
      <c r="C391" s="216"/>
      <c r="D391" s="216"/>
      <c r="E391" s="216" t="s">
        <v>238</v>
      </c>
      <c r="F391" s="216">
        <v>716</v>
      </c>
      <c r="G391" s="457" t="s">
        <v>822</v>
      </c>
      <c r="H391" s="521"/>
      <c r="I391" s="344"/>
      <c r="J391" s="621"/>
      <c r="K391" s="438"/>
      <c r="L391" s="344">
        <v>1000</v>
      </c>
      <c r="M391" s="344">
        <v>0</v>
      </c>
      <c r="N391" s="637">
        <f t="shared" si="48"/>
        <v>0</v>
      </c>
      <c r="O391" s="438"/>
      <c r="P391" s="777">
        <f t="shared" si="47"/>
        <v>1000</v>
      </c>
      <c r="Q391" s="781">
        <f t="shared" si="47"/>
        <v>0</v>
      </c>
      <c r="R391" s="764">
        <f t="shared" si="44"/>
        <v>0</v>
      </c>
    </row>
    <row r="427" spans="2:17" ht="27.75" thickBot="1">
      <c r="B427" s="1109" t="s">
        <v>235</v>
      </c>
      <c r="C427" s="1109"/>
      <c r="D427" s="1109"/>
      <c r="E427" s="1109"/>
      <c r="F427" s="1109"/>
      <c r="G427" s="1109"/>
      <c r="H427" s="1109"/>
      <c r="I427" s="600"/>
      <c r="J427" s="249"/>
      <c r="K427" s="249"/>
      <c r="L427" s="249"/>
      <c r="M427" s="249"/>
      <c r="N427" s="249"/>
      <c r="O427" s="249"/>
      <c r="P427" s="249"/>
      <c r="Q427" s="249"/>
    </row>
    <row r="428" spans="2:18" ht="20.25" customHeight="1" thickBot="1">
      <c r="B428" s="1074" t="s">
        <v>778</v>
      </c>
      <c r="C428" s="1075"/>
      <c r="D428" s="1075"/>
      <c r="E428" s="1075"/>
      <c r="F428" s="1075"/>
      <c r="G428" s="1075"/>
      <c r="H428" s="1075"/>
      <c r="I428" s="1075"/>
      <c r="J428" s="1075"/>
      <c r="K428" s="1075"/>
      <c r="L428" s="1075"/>
      <c r="M428" s="599"/>
      <c r="N428" s="625"/>
      <c r="O428" s="127"/>
      <c r="P428" s="1091" t="s">
        <v>811</v>
      </c>
      <c r="Q428" s="1101" t="s">
        <v>836</v>
      </c>
      <c r="R428" s="761"/>
    </row>
    <row r="429" spans="2:18" ht="24" customHeight="1" thickTop="1">
      <c r="B429" s="23"/>
      <c r="C429" s="1083" t="s">
        <v>512</v>
      </c>
      <c r="D429" s="1083" t="s">
        <v>511</v>
      </c>
      <c r="E429" s="1083" t="s">
        <v>509</v>
      </c>
      <c r="F429" s="1083" t="s">
        <v>510</v>
      </c>
      <c r="G429" s="319" t="s">
        <v>3</v>
      </c>
      <c r="H429" s="1085" t="s">
        <v>806</v>
      </c>
      <c r="I429" s="1087" t="s">
        <v>836</v>
      </c>
      <c r="J429" s="1072" t="s">
        <v>835</v>
      </c>
      <c r="K429" s="80"/>
      <c r="L429" s="1099" t="s">
        <v>810</v>
      </c>
      <c r="M429" s="1094" t="s">
        <v>836</v>
      </c>
      <c r="N429" s="1072" t="s">
        <v>835</v>
      </c>
      <c r="O429" s="80"/>
      <c r="P429" s="1092"/>
      <c r="Q429" s="1102"/>
      <c r="R429" s="1047" t="s">
        <v>835</v>
      </c>
    </row>
    <row r="430" spans="2:18" ht="35.25" customHeight="1" thickBot="1">
      <c r="B430" s="26"/>
      <c r="C430" s="1084"/>
      <c r="D430" s="1084"/>
      <c r="E430" s="1084"/>
      <c r="F430" s="1084"/>
      <c r="G430" s="196"/>
      <c r="H430" s="1086"/>
      <c r="I430" s="1086"/>
      <c r="J430" s="1073"/>
      <c r="K430" s="80"/>
      <c r="L430" s="1100"/>
      <c r="M430" s="1095"/>
      <c r="N430" s="1073"/>
      <c r="O430" s="80"/>
      <c r="P430" s="1093"/>
      <c r="Q430" s="1103"/>
      <c r="R430" s="1048"/>
    </row>
    <row r="431" spans="2:18" ht="19.5" thickBot="1" thickTop="1">
      <c r="B431" s="177">
        <v>1</v>
      </c>
      <c r="C431" s="132" t="s">
        <v>236</v>
      </c>
      <c r="D431" s="112"/>
      <c r="E431" s="112"/>
      <c r="F431" s="112"/>
      <c r="G431" s="197"/>
      <c r="H431" s="405">
        <f>H432+H610+H758+H866+H1032</f>
        <v>11457657</v>
      </c>
      <c r="I431" s="823">
        <f>I432+I610+I758+I866+I1032</f>
        <v>5120113</v>
      </c>
      <c r="J431" s="595">
        <f>I431/H431*100</f>
        <v>44.68726023130209</v>
      </c>
      <c r="K431" s="114"/>
      <c r="L431" s="643">
        <f>L432+L610+L758+L866+L1032</f>
        <v>346621</v>
      </c>
      <c r="M431" s="365">
        <f>M432+M610+M758+M866+M1032</f>
        <v>110309</v>
      </c>
      <c r="N431" s="595">
        <f>M431/L431*100</f>
        <v>31.82409605880775</v>
      </c>
      <c r="O431" s="114"/>
      <c r="P431" s="799">
        <f aca="true" t="shared" si="49" ref="P431:Q470">H431+L431</f>
        <v>11804278</v>
      </c>
      <c r="Q431" s="807">
        <f t="shared" si="49"/>
        <v>5230422</v>
      </c>
      <c r="R431" s="789">
        <f>Q431/P431*100</f>
        <v>44.30954608151384</v>
      </c>
    </row>
    <row r="432" spans="2:18" ht="16.5" thickTop="1">
      <c r="B432" s="177">
        <f aca="true" t="shared" si="50" ref="B432:B495">B431+1</f>
        <v>2</v>
      </c>
      <c r="C432" s="24">
        <v>1</v>
      </c>
      <c r="D432" s="134" t="s">
        <v>107</v>
      </c>
      <c r="E432" s="25"/>
      <c r="F432" s="25"/>
      <c r="G432" s="198"/>
      <c r="H432" s="388">
        <f>H433+H603+H604+H605+H590+H601</f>
        <v>2552497</v>
      </c>
      <c r="I432" s="388">
        <f>I433+I603+I604+I605+I590+I601</f>
        <v>1213658</v>
      </c>
      <c r="J432" s="619">
        <f>I432/H432*100</f>
        <v>47.547871750681786</v>
      </c>
      <c r="K432" s="90"/>
      <c r="L432" s="774">
        <f>L433+L607+L608</f>
        <v>166293</v>
      </c>
      <c r="M432" s="337">
        <f>M433+M607+M608</f>
        <v>18247</v>
      </c>
      <c r="N432" s="619">
        <f>M432/L432*100</f>
        <v>10.972801019886585</v>
      </c>
      <c r="O432" s="90"/>
      <c r="P432" s="754">
        <f t="shared" si="49"/>
        <v>2718790</v>
      </c>
      <c r="Q432" s="766">
        <f t="shared" si="49"/>
        <v>1231905</v>
      </c>
      <c r="R432" s="790">
        <f>Q432/P432*100</f>
        <v>45.3107816344771</v>
      </c>
    </row>
    <row r="433" spans="2:18" ht="15">
      <c r="B433" s="177">
        <f t="shared" si="50"/>
        <v>3</v>
      </c>
      <c r="C433" s="153"/>
      <c r="D433" s="154"/>
      <c r="E433" s="176" t="s">
        <v>551</v>
      </c>
      <c r="F433" s="154"/>
      <c r="G433" s="206"/>
      <c r="H433" s="389">
        <f>H434+H444+H455+H465+H476+H486+H496+H506+H516+H529+H541+H550+H558+H569+H578</f>
        <v>2078730</v>
      </c>
      <c r="I433" s="389">
        <f>I434+I444+I455+I465+I476+I486+I496+I506+I516+I529+I541+I550+I558+I569+I578</f>
        <v>977349</v>
      </c>
      <c r="J433" s="620">
        <f>I433/H433*100</f>
        <v>47.01663996767257</v>
      </c>
      <c r="K433" s="306"/>
      <c r="L433" s="852">
        <f>L434+L444+L455+L465+L477+L476+L486+L496+L506+L516+L529+L541+L550+L558+L569+L578+L590</f>
        <v>129800</v>
      </c>
      <c r="M433" s="873">
        <f>M434+M444+M455+M465+M477+M476+M486+M496+M506+M516+M529+M541+M550+M558+M569+M578+M590</f>
        <v>0</v>
      </c>
      <c r="N433" s="620">
        <f>M433/L433*100</f>
        <v>0</v>
      </c>
      <c r="O433" s="306"/>
      <c r="P433" s="824">
        <f t="shared" si="49"/>
        <v>2208530</v>
      </c>
      <c r="Q433" s="838">
        <f t="shared" si="49"/>
        <v>977349</v>
      </c>
      <c r="R433" s="763">
        <f aca="true" t="shared" si="51" ref="R433:R496">Q433/P433*100</f>
        <v>44.25337215251774</v>
      </c>
    </row>
    <row r="434" spans="2:18" ht="15">
      <c r="B434" s="177">
        <f t="shared" si="50"/>
        <v>4</v>
      </c>
      <c r="C434" s="77"/>
      <c r="D434" s="30" t="s">
        <v>4</v>
      </c>
      <c r="E434" s="180" t="s">
        <v>305</v>
      </c>
      <c r="F434" s="158" t="s">
        <v>359</v>
      </c>
      <c r="G434" s="239"/>
      <c r="H434" s="390">
        <f>SUM(H435:H437)</f>
        <v>109555</v>
      </c>
      <c r="I434" s="390">
        <f>I435+I436+I437+I442+I443</f>
        <v>47206</v>
      </c>
      <c r="J434" s="620">
        <f aca="true" t="shared" si="52" ref="J434:J512">I434/H434*100</f>
        <v>43.08885947697503</v>
      </c>
      <c r="K434" s="304"/>
      <c r="L434" s="853"/>
      <c r="M434" s="874"/>
      <c r="N434" s="620"/>
      <c r="O434" s="304"/>
      <c r="P434" s="825">
        <f t="shared" si="49"/>
        <v>109555</v>
      </c>
      <c r="Q434" s="839">
        <f t="shared" si="49"/>
        <v>47206</v>
      </c>
      <c r="R434" s="763">
        <f t="shared" si="51"/>
        <v>43.08885947697503</v>
      </c>
    </row>
    <row r="435" spans="2:18" ht="12.75">
      <c r="B435" s="177">
        <f t="shared" si="50"/>
        <v>5</v>
      </c>
      <c r="C435" s="153"/>
      <c r="D435" s="154"/>
      <c r="E435" s="138"/>
      <c r="F435" s="154" t="s">
        <v>214</v>
      </c>
      <c r="G435" s="206" t="s">
        <v>543</v>
      </c>
      <c r="H435" s="346">
        <f>61890+590+74</f>
        <v>62554</v>
      </c>
      <c r="I435" s="346">
        <v>29450</v>
      </c>
      <c r="J435" s="620">
        <f t="shared" si="52"/>
        <v>47.07932346452665</v>
      </c>
      <c r="K435" s="156"/>
      <c r="L435" s="645"/>
      <c r="M435" s="354"/>
      <c r="N435" s="620"/>
      <c r="O435" s="156"/>
      <c r="P435" s="801">
        <f t="shared" si="49"/>
        <v>62554</v>
      </c>
      <c r="Q435" s="809">
        <f t="shared" si="49"/>
        <v>29450</v>
      </c>
      <c r="R435" s="763">
        <f t="shared" si="51"/>
        <v>47.07932346452665</v>
      </c>
    </row>
    <row r="436" spans="2:18" ht="12.75">
      <c r="B436" s="177">
        <f t="shared" si="50"/>
        <v>6</v>
      </c>
      <c r="C436" s="153"/>
      <c r="D436" s="154"/>
      <c r="E436" s="138"/>
      <c r="F436" s="154" t="s">
        <v>215</v>
      </c>
      <c r="G436" s="206" t="s">
        <v>264</v>
      </c>
      <c r="H436" s="346">
        <f>23530-330+26</f>
        <v>23226</v>
      </c>
      <c r="I436" s="346">
        <v>10961</v>
      </c>
      <c r="J436" s="620">
        <f t="shared" si="52"/>
        <v>47.19280117110135</v>
      </c>
      <c r="K436" s="156"/>
      <c r="L436" s="645"/>
      <c r="M436" s="354"/>
      <c r="N436" s="620"/>
      <c r="O436" s="156"/>
      <c r="P436" s="801">
        <f t="shared" si="49"/>
        <v>23226</v>
      </c>
      <c r="Q436" s="809">
        <f t="shared" si="49"/>
        <v>10961</v>
      </c>
      <c r="R436" s="763">
        <f t="shared" si="51"/>
        <v>47.19280117110135</v>
      </c>
    </row>
    <row r="437" spans="2:18" ht="12.75">
      <c r="B437" s="177">
        <f t="shared" si="50"/>
        <v>7</v>
      </c>
      <c r="C437" s="153"/>
      <c r="D437" s="154"/>
      <c r="E437" s="138"/>
      <c r="F437" s="154" t="s">
        <v>221</v>
      </c>
      <c r="G437" s="206" t="s">
        <v>360</v>
      </c>
      <c r="H437" s="346">
        <f>SUM(H438:H441)</f>
        <v>23775</v>
      </c>
      <c r="I437" s="346">
        <f>SUM(I438:I441)</f>
        <v>6538</v>
      </c>
      <c r="J437" s="620">
        <f t="shared" si="52"/>
        <v>27.499474237644584</v>
      </c>
      <c r="K437" s="156"/>
      <c r="L437" s="645"/>
      <c r="M437" s="354"/>
      <c r="N437" s="620"/>
      <c r="O437" s="156"/>
      <c r="P437" s="801">
        <f t="shared" si="49"/>
        <v>23775</v>
      </c>
      <c r="Q437" s="809">
        <f t="shared" si="49"/>
        <v>6538</v>
      </c>
      <c r="R437" s="763">
        <f t="shared" si="51"/>
        <v>27.499474237644584</v>
      </c>
    </row>
    <row r="438" spans="2:18" ht="12.75">
      <c r="B438" s="177">
        <f t="shared" si="50"/>
        <v>8</v>
      </c>
      <c r="C438" s="137"/>
      <c r="D438" s="138"/>
      <c r="E438" s="138"/>
      <c r="F438" s="138" t="s">
        <v>202</v>
      </c>
      <c r="G438" s="199" t="s">
        <v>335</v>
      </c>
      <c r="H438" s="335">
        <f>15660+500</f>
        <v>16160</v>
      </c>
      <c r="I438" s="335">
        <v>5184</v>
      </c>
      <c r="J438" s="620">
        <f t="shared" si="52"/>
        <v>32.07920792079208</v>
      </c>
      <c r="K438" s="139"/>
      <c r="L438" s="647"/>
      <c r="M438" s="339"/>
      <c r="N438" s="620"/>
      <c r="O438" s="139"/>
      <c r="P438" s="802">
        <f t="shared" si="49"/>
        <v>16160</v>
      </c>
      <c r="Q438" s="810">
        <f t="shared" si="49"/>
        <v>5184</v>
      </c>
      <c r="R438" s="763">
        <f t="shared" si="51"/>
        <v>32.07920792079208</v>
      </c>
    </row>
    <row r="439" spans="2:18" ht="12.75">
      <c r="B439" s="177">
        <f t="shared" si="50"/>
        <v>9</v>
      </c>
      <c r="C439" s="137"/>
      <c r="D439" s="138"/>
      <c r="E439" s="138"/>
      <c r="F439" s="138" t="s">
        <v>203</v>
      </c>
      <c r="G439" s="199" t="s">
        <v>251</v>
      </c>
      <c r="H439" s="335">
        <f>3720+1200</f>
        <v>4920</v>
      </c>
      <c r="I439" s="335">
        <v>245</v>
      </c>
      <c r="J439" s="620">
        <f t="shared" si="52"/>
        <v>4.979674796747967</v>
      </c>
      <c r="K439" s="139"/>
      <c r="L439" s="647"/>
      <c r="M439" s="339"/>
      <c r="N439" s="620"/>
      <c r="O439" s="139"/>
      <c r="P439" s="802">
        <f t="shared" si="49"/>
        <v>4920</v>
      </c>
      <c r="Q439" s="810">
        <f t="shared" si="49"/>
        <v>245</v>
      </c>
      <c r="R439" s="763"/>
    </row>
    <row r="440" spans="2:18" ht="12.75">
      <c r="B440" s="177">
        <f t="shared" si="50"/>
        <v>10</v>
      </c>
      <c r="C440" s="137"/>
      <c r="D440" s="138"/>
      <c r="E440" s="138"/>
      <c r="F440" s="138" t="s">
        <v>217</v>
      </c>
      <c r="G440" s="199" t="s">
        <v>266</v>
      </c>
      <c r="H440" s="335">
        <v>150</v>
      </c>
      <c r="I440" s="335">
        <v>0</v>
      </c>
      <c r="J440" s="620">
        <f t="shared" si="52"/>
        <v>0</v>
      </c>
      <c r="K440" s="139"/>
      <c r="L440" s="647"/>
      <c r="M440" s="339"/>
      <c r="N440" s="639"/>
      <c r="O440" s="139"/>
      <c r="P440" s="802">
        <f t="shared" si="49"/>
        <v>150</v>
      </c>
      <c r="Q440" s="810">
        <f t="shared" si="49"/>
        <v>0</v>
      </c>
      <c r="R440" s="763">
        <f t="shared" si="51"/>
        <v>0</v>
      </c>
    </row>
    <row r="441" spans="2:18" ht="12.75">
      <c r="B441" s="177">
        <f t="shared" si="50"/>
        <v>11</v>
      </c>
      <c r="C441" s="137"/>
      <c r="D441" s="138"/>
      <c r="E441" s="138"/>
      <c r="F441" s="138" t="s">
        <v>219</v>
      </c>
      <c r="G441" s="199" t="s">
        <v>252</v>
      </c>
      <c r="H441" s="335">
        <f>2325+220</f>
        <v>2545</v>
      </c>
      <c r="I441" s="335">
        <v>1109</v>
      </c>
      <c r="J441" s="620">
        <f t="shared" si="52"/>
        <v>43.57563850687623</v>
      </c>
      <c r="K441" s="139"/>
      <c r="L441" s="647"/>
      <c r="M441" s="339"/>
      <c r="N441" s="639"/>
      <c r="O441" s="139"/>
      <c r="P441" s="802">
        <f t="shared" si="49"/>
        <v>2545</v>
      </c>
      <c r="Q441" s="810">
        <f t="shared" si="49"/>
        <v>1109</v>
      </c>
      <c r="R441" s="763">
        <f t="shared" si="51"/>
        <v>43.57563850687623</v>
      </c>
    </row>
    <row r="442" spans="2:18" ht="12.75">
      <c r="B442" s="177">
        <f t="shared" si="50"/>
        <v>12</v>
      </c>
      <c r="C442" s="137"/>
      <c r="D442" s="138"/>
      <c r="E442" s="175"/>
      <c r="F442" s="277" t="s">
        <v>850</v>
      </c>
      <c r="G442" s="671" t="s">
        <v>871</v>
      </c>
      <c r="H442" s="346">
        <v>0</v>
      </c>
      <c r="I442" s="530">
        <v>123</v>
      </c>
      <c r="J442" s="620"/>
      <c r="K442" s="139"/>
      <c r="L442" s="647"/>
      <c r="M442" s="339"/>
      <c r="N442" s="639"/>
      <c r="O442" s="139"/>
      <c r="P442" s="801">
        <f t="shared" si="49"/>
        <v>0</v>
      </c>
      <c r="Q442" s="809">
        <f t="shared" si="49"/>
        <v>123</v>
      </c>
      <c r="R442" s="763"/>
    </row>
    <row r="443" spans="2:18" ht="12.75">
      <c r="B443" s="177">
        <f t="shared" si="50"/>
        <v>13</v>
      </c>
      <c r="C443" s="137"/>
      <c r="D443" s="138"/>
      <c r="E443" s="175"/>
      <c r="F443" s="154" t="s">
        <v>850</v>
      </c>
      <c r="G443" s="672" t="s">
        <v>872</v>
      </c>
      <c r="H443" s="346">
        <v>0</v>
      </c>
      <c r="I443" s="530">
        <v>134</v>
      </c>
      <c r="J443" s="620"/>
      <c r="K443" s="139"/>
      <c r="L443" s="647"/>
      <c r="M443" s="339"/>
      <c r="N443" s="639"/>
      <c r="O443" s="139"/>
      <c r="P443" s="801">
        <f t="shared" si="49"/>
        <v>0</v>
      </c>
      <c r="Q443" s="809">
        <f t="shared" si="49"/>
        <v>134</v>
      </c>
      <c r="R443" s="763"/>
    </row>
    <row r="444" spans="2:18" ht="15">
      <c r="B444" s="177">
        <f t="shared" si="50"/>
        <v>14</v>
      </c>
      <c r="C444" s="77"/>
      <c r="D444" s="30" t="s">
        <v>5</v>
      </c>
      <c r="E444" s="180" t="s">
        <v>305</v>
      </c>
      <c r="F444" s="158" t="s">
        <v>361</v>
      </c>
      <c r="G444" s="239"/>
      <c r="H444" s="390">
        <f>SUM(H445:H447)</f>
        <v>136665</v>
      </c>
      <c r="I444" s="390">
        <f>I445+I446+I447+I453</f>
        <v>65189</v>
      </c>
      <c r="J444" s="620">
        <f t="shared" si="52"/>
        <v>47.699849998170706</v>
      </c>
      <c r="K444" s="305"/>
      <c r="L444" s="853">
        <f>L454</f>
        <v>20000</v>
      </c>
      <c r="M444" s="874">
        <f>M454</f>
        <v>0</v>
      </c>
      <c r="N444" s="638">
        <f>M444/L444*100</f>
        <v>0</v>
      </c>
      <c r="O444" s="305"/>
      <c r="P444" s="825">
        <f t="shared" si="49"/>
        <v>156665</v>
      </c>
      <c r="Q444" s="839">
        <f t="shared" si="49"/>
        <v>65189</v>
      </c>
      <c r="R444" s="763">
        <f t="shared" si="51"/>
        <v>41.61044266428367</v>
      </c>
    </row>
    <row r="445" spans="2:18" ht="12.75">
      <c r="B445" s="177">
        <f t="shared" si="50"/>
        <v>15</v>
      </c>
      <c r="C445" s="153"/>
      <c r="D445" s="154"/>
      <c r="E445" s="138"/>
      <c r="F445" s="154" t="s">
        <v>214</v>
      </c>
      <c r="G445" s="206" t="s">
        <v>543</v>
      </c>
      <c r="H445" s="346">
        <f>76880-1680+63</f>
        <v>75263</v>
      </c>
      <c r="I445" s="346">
        <v>37085</v>
      </c>
      <c r="J445" s="620">
        <f t="shared" si="52"/>
        <v>49.2738795955516</v>
      </c>
      <c r="K445" s="156"/>
      <c r="L445" s="645"/>
      <c r="M445" s="354"/>
      <c r="N445" s="639"/>
      <c r="O445" s="156"/>
      <c r="P445" s="801">
        <f t="shared" si="49"/>
        <v>75263</v>
      </c>
      <c r="Q445" s="809">
        <f t="shared" si="49"/>
        <v>37085</v>
      </c>
      <c r="R445" s="763">
        <f t="shared" si="51"/>
        <v>49.2738795955516</v>
      </c>
    </row>
    <row r="446" spans="2:18" ht="12.75">
      <c r="B446" s="177">
        <f t="shared" si="50"/>
        <v>16</v>
      </c>
      <c r="C446" s="153"/>
      <c r="D446" s="154"/>
      <c r="E446" s="138"/>
      <c r="F446" s="154" t="s">
        <v>215</v>
      </c>
      <c r="G446" s="206" t="s">
        <v>264</v>
      </c>
      <c r="H446" s="346">
        <f>28630-630+22</f>
        <v>28022</v>
      </c>
      <c r="I446" s="346">
        <v>13520</v>
      </c>
      <c r="J446" s="620">
        <f t="shared" si="52"/>
        <v>48.24780529583899</v>
      </c>
      <c r="K446" s="156"/>
      <c r="L446" s="645"/>
      <c r="M446" s="354"/>
      <c r="N446" s="639"/>
      <c r="O446" s="156"/>
      <c r="P446" s="801">
        <f t="shared" si="49"/>
        <v>28022</v>
      </c>
      <c r="Q446" s="809">
        <f t="shared" si="49"/>
        <v>13520</v>
      </c>
      <c r="R446" s="763">
        <f t="shared" si="51"/>
        <v>48.24780529583899</v>
      </c>
    </row>
    <row r="447" spans="2:18" ht="12.75">
      <c r="B447" s="177">
        <f t="shared" si="50"/>
        <v>17</v>
      </c>
      <c r="C447" s="153"/>
      <c r="D447" s="154"/>
      <c r="E447" s="138"/>
      <c r="F447" s="154" t="s">
        <v>221</v>
      </c>
      <c r="G447" s="206" t="s">
        <v>360</v>
      </c>
      <c r="H447" s="346">
        <f>SUM(H449:H452)</f>
        <v>33380</v>
      </c>
      <c r="I447" s="346">
        <f>SUM(I448:I452)</f>
        <v>14382</v>
      </c>
      <c r="J447" s="620">
        <f t="shared" si="52"/>
        <v>43.0856800479329</v>
      </c>
      <c r="K447" s="156"/>
      <c r="L447" s="645"/>
      <c r="M447" s="354"/>
      <c r="N447" s="620"/>
      <c r="O447" s="156"/>
      <c r="P447" s="801">
        <f t="shared" si="49"/>
        <v>33380</v>
      </c>
      <c r="Q447" s="809">
        <f t="shared" si="49"/>
        <v>14382</v>
      </c>
      <c r="R447" s="763">
        <f t="shared" si="51"/>
        <v>43.0856800479329</v>
      </c>
    </row>
    <row r="448" spans="2:18" ht="12.75">
      <c r="B448" s="177">
        <f t="shared" si="50"/>
        <v>18</v>
      </c>
      <c r="C448" s="153"/>
      <c r="D448" s="154"/>
      <c r="E448" s="138"/>
      <c r="F448" s="138" t="s">
        <v>216</v>
      </c>
      <c r="G448" s="199" t="s">
        <v>559</v>
      </c>
      <c r="H448" s="335">
        <v>0</v>
      </c>
      <c r="I448" s="335">
        <v>31</v>
      </c>
      <c r="J448" s="620"/>
      <c r="K448" s="156"/>
      <c r="L448" s="645"/>
      <c r="M448" s="354"/>
      <c r="N448" s="620"/>
      <c r="O448" s="156"/>
      <c r="P448" s="801"/>
      <c r="Q448" s="809"/>
      <c r="R448" s="763"/>
    </row>
    <row r="449" spans="2:18" ht="12.75">
      <c r="B449" s="177">
        <f t="shared" si="50"/>
        <v>19</v>
      </c>
      <c r="C449" s="137"/>
      <c r="D449" s="138"/>
      <c r="E449" s="138"/>
      <c r="F449" s="138" t="s">
        <v>202</v>
      </c>
      <c r="G449" s="199" t="s">
        <v>335</v>
      </c>
      <c r="H449" s="335">
        <f>25930-1700</f>
        <v>24230</v>
      </c>
      <c r="I449" s="335">
        <v>11654</v>
      </c>
      <c r="J449" s="620">
        <f t="shared" si="52"/>
        <v>48.09739991745769</v>
      </c>
      <c r="K449" s="139"/>
      <c r="L449" s="647"/>
      <c r="M449" s="339"/>
      <c r="N449" s="620"/>
      <c r="O449" s="139"/>
      <c r="P449" s="802">
        <f t="shared" si="49"/>
        <v>24230</v>
      </c>
      <c r="Q449" s="810">
        <f t="shared" si="49"/>
        <v>11654</v>
      </c>
      <c r="R449" s="763">
        <f t="shared" si="51"/>
        <v>48.09739991745769</v>
      </c>
    </row>
    <row r="450" spans="2:18" ht="12.75">
      <c r="B450" s="177">
        <f t="shared" si="50"/>
        <v>20</v>
      </c>
      <c r="C450" s="137"/>
      <c r="D450" s="138"/>
      <c r="E450" s="138"/>
      <c r="F450" s="138" t="s">
        <v>203</v>
      </c>
      <c r="G450" s="199" t="s">
        <v>251</v>
      </c>
      <c r="H450" s="335">
        <f>4830+800</f>
        <v>5630</v>
      </c>
      <c r="I450" s="335">
        <v>892</v>
      </c>
      <c r="J450" s="620">
        <f t="shared" si="52"/>
        <v>15.843694493783303</v>
      </c>
      <c r="K450" s="139"/>
      <c r="L450" s="647"/>
      <c r="M450" s="339"/>
      <c r="N450" s="620"/>
      <c r="O450" s="139"/>
      <c r="P450" s="802">
        <f t="shared" si="49"/>
        <v>5630</v>
      </c>
      <c r="Q450" s="810">
        <f t="shared" si="49"/>
        <v>892</v>
      </c>
      <c r="R450" s="763">
        <f t="shared" si="51"/>
        <v>15.843694493783303</v>
      </c>
    </row>
    <row r="451" spans="2:18" ht="12.75">
      <c r="B451" s="177">
        <f t="shared" si="50"/>
        <v>21</v>
      </c>
      <c r="C451" s="153"/>
      <c r="D451" s="138"/>
      <c r="E451" s="138"/>
      <c r="F451" s="138" t="s">
        <v>217</v>
      </c>
      <c r="G451" s="199" t="s">
        <v>266</v>
      </c>
      <c r="H451" s="335">
        <v>150</v>
      </c>
      <c r="I451" s="335">
        <v>0</v>
      </c>
      <c r="J451" s="620">
        <f t="shared" si="52"/>
        <v>0</v>
      </c>
      <c r="K451" s="156"/>
      <c r="L451" s="647"/>
      <c r="M451" s="339"/>
      <c r="N451" s="639"/>
      <c r="O451" s="156"/>
      <c r="P451" s="802">
        <f t="shared" si="49"/>
        <v>150</v>
      </c>
      <c r="Q451" s="810">
        <f t="shared" si="49"/>
        <v>0</v>
      </c>
      <c r="R451" s="763">
        <f t="shared" si="51"/>
        <v>0</v>
      </c>
    </row>
    <row r="452" spans="2:18" ht="12.75">
      <c r="B452" s="177">
        <f t="shared" si="50"/>
        <v>22</v>
      </c>
      <c r="C452" s="153"/>
      <c r="D452" s="138"/>
      <c r="E452" s="138"/>
      <c r="F452" s="138" t="s">
        <v>219</v>
      </c>
      <c r="G452" s="199" t="s">
        <v>252</v>
      </c>
      <c r="H452" s="335">
        <f>3170+200</f>
        <v>3370</v>
      </c>
      <c r="I452" s="335">
        <v>1805</v>
      </c>
      <c r="J452" s="620">
        <f t="shared" si="52"/>
        <v>53.560830860534125</v>
      </c>
      <c r="K452" s="156"/>
      <c r="L452" s="647"/>
      <c r="M452" s="339"/>
      <c r="N452" s="639"/>
      <c r="O452" s="156"/>
      <c r="P452" s="802">
        <f t="shared" si="49"/>
        <v>3370</v>
      </c>
      <c r="Q452" s="810">
        <f t="shared" si="49"/>
        <v>1805</v>
      </c>
      <c r="R452" s="763">
        <f t="shared" si="51"/>
        <v>53.560830860534125</v>
      </c>
    </row>
    <row r="453" spans="2:18" ht="12.75">
      <c r="B453" s="177">
        <f t="shared" si="50"/>
        <v>23</v>
      </c>
      <c r="C453" s="153"/>
      <c r="D453" s="138"/>
      <c r="E453" s="175"/>
      <c r="F453" s="154" t="s">
        <v>850</v>
      </c>
      <c r="G453" s="672" t="s">
        <v>872</v>
      </c>
      <c r="H453" s="346">
        <v>0</v>
      </c>
      <c r="I453" s="530">
        <v>202</v>
      </c>
      <c r="J453" s="620"/>
      <c r="K453" s="156"/>
      <c r="L453" s="647"/>
      <c r="M453" s="339"/>
      <c r="N453" s="639"/>
      <c r="O453" s="156"/>
      <c r="P453" s="801">
        <f t="shared" si="49"/>
        <v>0</v>
      </c>
      <c r="Q453" s="809">
        <f t="shared" si="49"/>
        <v>202</v>
      </c>
      <c r="R453" s="763"/>
    </row>
    <row r="454" spans="2:18" ht="12.75">
      <c r="B454" s="177">
        <f t="shared" si="50"/>
        <v>24</v>
      </c>
      <c r="C454" s="153"/>
      <c r="D454" s="138"/>
      <c r="E454" s="175"/>
      <c r="F454" s="154" t="s">
        <v>340</v>
      </c>
      <c r="G454" s="206" t="s">
        <v>788</v>
      </c>
      <c r="H454" s="346">
        <v>0</v>
      </c>
      <c r="I454" s="346"/>
      <c r="J454" s="620"/>
      <c r="K454" s="156"/>
      <c r="L454" s="645">
        <v>20000</v>
      </c>
      <c r="M454" s="354">
        <v>0</v>
      </c>
      <c r="N454" s="638">
        <f>M454/L454*100</f>
        <v>0</v>
      </c>
      <c r="O454" s="156"/>
      <c r="P454" s="801">
        <f>H454+L454</f>
        <v>20000</v>
      </c>
      <c r="Q454" s="809">
        <f>I454+M454</f>
        <v>0</v>
      </c>
      <c r="R454" s="763">
        <f t="shared" si="51"/>
        <v>0</v>
      </c>
    </row>
    <row r="455" spans="2:18" ht="15">
      <c r="B455" s="177">
        <f t="shared" si="50"/>
        <v>25</v>
      </c>
      <c r="C455" s="153"/>
      <c r="D455" s="30" t="s">
        <v>6</v>
      </c>
      <c r="E455" s="180" t="s">
        <v>305</v>
      </c>
      <c r="F455" s="158" t="s">
        <v>362</v>
      </c>
      <c r="G455" s="239"/>
      <c r="H455" s="391">
        <f>SUM(H456:H458)</f>
        <v>106255</v>
      </c>
      <c r="I455" s="391">
        <f>I456+I457+I458+I463+I464</f>
        <v>51942</v>
      </c>
      <c r="J455" s="620">
        <f t="shared" si="52"/>
        <v>48.88428779822126</v>
      </c>
      <c r="K455" s="306"/>
      <c r="L455" s="854"/>
      <c r="M455" s="875"/>
      <c r="N455" s="639"/>
      <c r="O455" s="306"/>
      <c r="P455" s="826">
        <f t="shared" si="49"/>
        <v>106255</v>
      </c>
      <c r="Q455" s="840">
        <f t="shared" si="49"/>
        <v>51942</v>
      </c>
      <c r="R455" s="763">
        <f t="shared" si="51"/>
        <v>48.88428779822126</v>
      </c>
    </row>
    <row r="456" spans="2:18" ht="12.75">
      <c r="B456" s="177">
        <f t="shared" si="50"/>
        <v>26</v>
      </c>
      <c r="C456" s="153"/>
      <c r="D456" s="154"/>
      <c r="E456" s="154"/>
      <c r="F456" s="154" t="s">
        <v>214</v>
      </c>
      <c r="G456" s="206" t="s">
        <v>543</v>
      </c>
      <c r="H456" s="346">
        <f>59490-840+63</f>
        <v>58713</v>
      </c>
      <c r="I456" s="346">
        <v>29778</v>
      </c>
      <c r="J456" s="620">
        <f t="shared" si="52"/>
        <v>50.717898932093405</v>
      </c>
      <c r="K456" s="156"/>
      <c r="L456" s="647"/>
      <c r="M456" s="339"/>
      <c r="N456" s="639"/>
      <c r="O456" s="156"/>
      <c r="P456" s="801">
        <f t="shared" si="49"/>
        <v>58713</v>
      </c>
      <c r="Q456" s="809">
        <f t="shared" si="49"/>
        <v>29778</v>
      </c>
      <c r="R456" s="763">
        <f t="shared" si="51"/>
        <v>50.717898932093405</v>
      </c>
    </row>
    <row r="457" spans="2:18" ht="12.75">
      <c r="B457" s="177">
        <f t="shared" si="50"/>
        <v>27</v>
      </c>
      <c r="C457" s="153"/>
      <c r="D457" s="154"/>
      <c r="E457" s="154"/>
      <c r="F457" s="154" t="s">
        <v>215</v>
      </c>
      <c r="G457" s="206" t="s">
        <v>264</v>
      </c>
      <c r="H457" s="346">
        <f>22250-330+22</f>
        <v>21942</v>
      </c>
      <c r="I457" s="346">
        <v>11021</v>
      </c>
      <c r="J457" s="620">
        <f t="shared" si="52"/>
        <v>50.22787348464133</v>
      </c>
      <c r="K457" s="156"/>
      <c r="L457" s="647"/>
      <c r="M457" s="339"/>
      <c r="N457" s="620"/>
      <c r="O457" s="156"/>
      <c r="P457" s="801">
        <f t="shared" si="49"/>
        <v>21942</v>
      </c>
      <c r="Q457" s="809">
        <f t="shared" si="49"/>
        <v>11021</v>
      </c>
      <c r="R457" s="763">
        <f t="shared" si="51"/>
        <v>50.22787348464133</v>
      </c>
    </row>
    <row r="458" spans="2:18" ht="12.75">
      <c r="B458" s="177">
        <f t="shared" si="50"/>
        <v>28</v>
      </c>
      <c r="C458" s="153"/>
      <c r="D458" s="154"/>
      <c r="E458" s="154"/>
      <c r="F458" s="154" t="s">
        <v>221</v>
      </c>
      <c r="G458" s="206" t="s">
        <v>360</v>
      </c>
      <c r="H458" s="346">
        <f>SUM(H459:H462)</f>
        <v>25600</v>
      </c>
      <c r="I458" s="346">
        <f>SUM(I459:I462)</f>
        <v>11011</v>
      </c>
      <c r="J458" s="620">
        <f t="shared" si="52"/>
        <v>43.01171875</v>
      </c>
      <c r="K458" s="156"/>
      <c r="L458" s="647"/>
      <c r="M458" s="339"/>
      <c r="N458" s="620"/>
      <c r="O458" s="156"/>
      <c r="P458" s="801">
        <f t="shared" si="49"/>
        <v>25600</v>
      </c>
      <c r="Q458" s="809">
        <f t="shared" si="49"/>
        <v>11011</v>
      </c>
      <c r="R458" s="763">
        <f t="shared" si="51"/>
        <v>43.01171875</v>
      </c>
    </row>
    <row r="459" spans="2:18" ht="12.75">
      <c r="B459" s="177">
        <f t="shared" si="50"/>
        <v>29</v>
      </c>
      <c r="C459" s="153"/>
      <c r="D459" s="138"/>
      <c r="E459" s="138"/>
      <c r="F459" s="138" t="s">
        <v>202</v>
      </c>
      <c r="G459" s="199" t="s">
        <v>335</v>
      </c>
      <c r="H459" s="335">
        <f>17730-480</f>
        <v>17250</v>
      </c>
      <c r="I459" s="335">
        <v>9447</v>
      </c>
      <c r="J459" s="620">
        <f t="shared" si="52"/>
        <v>54.76521739130435</v>
      </c>
      <c r="K459" s="156"/>
      <c r="L459" s="647"/>
      <c r="M459" s="339"/>
      <c r="N459" s="620"/>
      <c r="O459" s="156"/>
      <c r="P459" s="802">
        <f t="shared" si="49"/>
        <v>17250</v>
      </c>
      <c r="Q459" s="810">
        <f t="shared" si="49"/>
        <v>9447</v>
      </c>
      <c r="R459" s="763">
        <f t="shared" si="51"/>
        <v>54.76521739130435</v>
      </c>
    </row>
    <row r="460" spans="2:18" ht="12.75">
      <c r="B460" s="177">
        <f t="shared" si="50"/>
        <v>30</v>
      </c>
      <c r="C460" s="153"/>
      <c r="D460" s="138"/>
      <c r="E460" s="138"/>
      <c r="F460" s="138" t="s">
        <v>203</v>
      </c>
      <c r="G460" s="199" t="s">
        <v>251</v>
      </c>
      <c r="H460" s="335">
        <f>4600+1300</f>
        <v>5900</v>
      </c>
      <c r="I460" s="335">
        <v>596</v>
      </c>
      <c r="J460" s="620">
        <f t="shared" si="52"/>
        <v>10.101694915254237</v>
      </c>
      <c r="K460" s="156"/>
      <c r="L460" s="647"/>
      <c r="M460" s="339"/>
      <c r="N460" s="620"/>
      <c r="O460" s="156"/>
      <c r="P460" s="802">
        <f t="shared" si="49"/>
        <v>5900</v>
      </c>
      <c r="Q460" s="810">
        <f t="shared" si="49"/>
        <v>596</v>
      </c>
      <c r="R460" s="763">
        <f t="shared" si="51"/>
        <v>10.101694915254237</v>
      </c>
    </row>
    <row r="461" spans="2:18" ht="12.75">
      <c r="B461" s="177">
        <f t="shared" si="50"/>
        <v>31</v>
      </c>
      <c r="C461" s="153"/>
      <c r="D461" s="138"/>
      <c r="E461" s="157"/>
      <c r="F461" s="138" t="s">
        <v>217</v>
      </c>
      <c r="G461" s="199" t="s">
        <v>266</v>
      </c>
      <c r="H461" s="335">
        <v>150</v>
      </c>
      <c r="I461" s="335">
        <v>0</v>
      </c>
      <c r="J461" s="620">
        <f t="shared" si="52"/>
        <v>0</v>
      </c>
      <c r="K461" s="156"/>
      <c r="L461" s="647"/>
      <c r="M461" s="339"/>
      <c r="N461" s="620"/>
      <c r="O461" s="156"/>
      <c r="P461" s="802">
        <f t="shared" si="49"/>
        <v>150</v>
      </c>
      <c r="Q461" s="810">
        <f t="shared" si="49"/>
        <v>0</v>
      </c>
      <c r="R461" s="763">
        <f t="shared" si="51"/>
        <v>0</v>
      </c>
    </row>
    <row r="462" spans="2:18" ht="12.75">
      <c r="B462" s="177">
        <f t="shared" si="50"/>
        <v>32</v>
      </c>
      <c r="C462" s="153"/>
      <c r="D462" s="138"/>
      <c r="E462" s="157"/>
      <c r="F462" s="138" t="s">
        <v>219</v>
      </c>
      <c r="G462" s="199" t="s">
        <v>252</v>
      </c>
      <c r="H462" s="335">
        <f>1970+330</f>
        <v>2300</v>
      </c>
      <c r="I462" s="335">
        <v>968</v>
      </c>
      <c r="J462" s="620">
        <f t="shared" si="52"/>
        <v>42.08695652173913</v>
      </c>
      <c r="K462" s="276"/>
      <c r="L462" s="649"/>
      <c r="M462" s="335"/>
      <c r="N462" s="620"/>
      <c r="O462" s="276"/>
      <c r="P462" s="804">
        <f t="shared" si="49"/>
        <v>2300</v>
      </c>
      <c r="Q462" s="812">
        <f t="shared" si="49"/>
        <v>968</v>
      </c>
      <c r="R462" s="763">
        <f t="shared" si="51"/>
        <v>42.08695652173913</v>
      </c>
    </row>
    <row r="463" spans="2:18" ht="12.75">
      <c r="B463" s="177">
        <f t="shared" si="50"/>
        <v>33</v>
      </c>
      <c r="C463" s="153"/>
      <c r="D463" s="138"/>
      <c r="E463" s="157"/>
      <c r="F463" s="277" t="s">
        <v>850</v>
      </c>
      <c r="G463" s="671" t="s">
        <v>871</v>
      </c>
      <c r="H463" s="335">
        <v>0</v>
      </c>
      <c r="I463" s="530">
        <v>97</v>
      </c>
      <c r="J463" s="620"/>
      <c r="K463" s="156"/>
      <c r="L463" s="649"/>
      <c r="M463" s="335"/>
      <c r="N463" s="620"/>
      <c r="O463" s="156"/>
      <c r="P463" s="830">
        <f t="shared" si="49"/>
        <v>0</v>
      </c>
      <c r="Q463" s="844">
        <f t="shared" si="49"/>
        <v>97</v>
      </c>
      <c r="R463" s="763"/>
    </row>
    <row r="464" spans="2:18" ht="12.75">
      <c r="B464" s="177">
        <f t="shared" si="50"/>
        <v>34</v>
      </c>
      <c r="C464" s="153"/>
      <c r="D464" s="138"/>
      <c r="E464" s="157"/>
      <c r="F464" s="154" t="s">
        <v>850</v>
      </c>
      <c r="G464" s="672" t="s">
        <v>872</v>
      </c>
      <c r="H464" s="335">
        <v>0</v>
      </c>
      <c r="I464" s="530">
        <v>35</v>
      </c>
      <c r="J464" s="620"/>
      <c r="K464" s="156"/>
      <c r="L464" s="649"/>
      <c r="M464" s="335"/>
      <c r="N464" s="620"/>
      <c r="O464" s="156"/>
      <c r="P464" s="830">
        <f t="shared" si="49"/>
        <v>0</v>
      </c>
      <c r="Q464" s="844">
        <f t="shared" si="49"/>
        <v>35</v>
      </c>
      <c r="R464" s="763"/>
    </row>
    <row r="465" spans="2:18" ht="15">
      <c r="B465" s="177">
        <f t="shared" si="50"/>
        <v>35</v>
      </c>
      <c r="C465" s="153"/>
      <c r="D465" s="30" t="s">
        <v>7</v>
      </c>
      <c r="E465" s="263" t="s">
        <v>305</v>
      </c>
      <c r="F465" s="264" t="s">
        <v>363</v>
      </c>
      <c r="G465" s="265"/>
      <c r="H465" s="392">
        <f>SUM(H466:H468)</f>
        <v>146455</v>
      </c>
      <c r="I465" s="392">
        <f>I466+I467+I468+I474+I475</f>
        <v>75472</v>
      </c>
      <c r="J465" s="620">
        <f t="shared" si="52"/>
        <v>51.532552661226994</v>
      </c>
      <c r="K465" s="306"/>
      <c r="L465" s="855"/>
      <c r="M465" s="876"/>
      <c r="N465" s="620"/>
      <c r="O465" s="306"/>
      <c r="P465" s="828">
        <f t="shared" si="49"/>
        <v>146455</v>
      </c>
      <c r="Q465" s="842">
        <f t="shared" si="49"/>
        <v>75472</v>
      </c>
      <c r="R465" s="763">
        <f t="shared" si="51"/>
        <v>51.532552661226994</v>
      </c>
    </row>
    <row r="466" spans="2:18" ht="12.75">
      <c r="B466" s="177">
        <f t="shared" si="50"/>
        <v>36</v>
      </c>
      <c r="C466" s="153"/>
      <c r="D466" s="154"/>
      <c r="E466" s="154"/>
      <c r="F466" s="154" t="s">
        <v>214</v>
      </c>
      <c r="G466" s="206" t="s">
        <v>543</v>
      </c>
      <c r="H466" s="346">
        <f>76780-280+56</f>
        <v>76556</v>
      </c>
      <c r="I466" s="346">
        <v>37436</v>
      </c>
      <c r="J466" s="620">
        <f t="shared" si="52"/>
        <v>48.90015152306808</v>
      </c>
      <c r="K466" s="156"/>
      <c r="L466" s="649"/>
      <c r="M466" s="335"/>
      <c r="N466" s="620"/>
      <c r="O466" s="156"/>
      <c r="P466" s="801">
        <f t="shared" si="49"/>
        <v>76556</v>
      </c>
      <c r="Q466" s="809">
        <f t="shared" si="49"/>
        <v>37436</v>
      </c>
      <c r="R466" s="763">
        <f t="shared" si="51"/>
        <v>48.90015152306808</v>
      </c>
    </row>
    <row r="467" spans="2:18" ht="12.75">
      <c r="B467" s="177">
        <f t="shared" si="50"/>
        <v>37</v>
      </c>
      <c r="C467" s="153"/>
      <c r="D467" s="154"/>
      <c r="E467" s="154"/>
      <c r="F467" s="154" t="s">
        <v>215</v>
      </c>
      <c r="G467" s="206" t="s">
        <v>264</v>
      </c>
      <c r="H467" s="346">
        <f>29040-660+19</f>
        <v>28399</v>
      </c>
      <c r="I467" s="346">
        <v>13790</v>
      </c>
      <c r="J467" s="620">
        <f t="shared" si="52"/>
        <v>48.55804781858516</v>
      </c>
      <c r="K467" s="156"/>
      <c r="L467" s="647"/>
      <c r="M467" s="339"/>
      <c r="N467" s="620"/>
      <c r="O467" s="156"/>
      <c r="P467" s="801">
        <f t="shared" si="49"/>
        <v>28399</v>
      </c>
      <c r="Q467" s="809">
        <f t="shared" si="49"/>
        <v>13790</v>
      </c>
      <c r="R467" s="763">
        <f t="shared" si="51"/>
        <v>48.55804781858516</v>
      </c>
    </row>
    <row r="468" spans="2:18" ht="12.75">
      <c r="B468" s="177">
        <f t="shared" si="50"/>
        <v>38</v>
      </c>
      <c r="C468" s="153"/>
      <c r="D468" s="154"/>
      <c r="E468" s="154"/>
      <c r="F468" s="154" t="s">
        <v>221</v>
      </c>
      <c r="G468" s="206" t="s">
        <v>360</v>
      </c>
      <c r="H468" s="346">
        <f>SUM(H470:H473)</f>
        <v>41500</v>
      </c>
      <c r="I468" s="346">
        <f>SUM(I469:I473)</f>
        <v>23116</v>
      </c>
      <c r="J468" s="620">
        <f t="shared" si="52"/>
        <v>55.70120481927711</v>
      </c>
      <c r="K468" s="156"/>
      <c r="L468" s="647"/>
      <c r="M468" s="339"/>
      <c r="N468" s="620"/>
      <c r="O468" s="156"/>
      <c r="P468" s="801">
        <f t="shared" si="49"/>
        <v>41500</v>
      </c>
      <c r="Q468" s="809">
        <f t="shared" si="49"/>
        <v>23116</v>
      </c>
      <c r="R468" s="763">
        <f t="shared" si="51"/>
        <v>55.70120481927711</v>
      </c>
    </row>
    <row r="469" spans="2:18" ht="12.75">
      <c r="B469" s="177">
        <f t="shared" si="50"/>
        <v>39</v>
      </c>
      <c r="C469" s="153"/>
      <c r="D469" s="154"/>
      <c r="E469" s="154"/>
      <c r="F469" s="138" t="s">
        <v>216</v>
      </c>
      <c r="G469" s="199" t="s">
        <v>867</v>
      </c>
      <c r="H469" s="335">
        <v>0</v>
      </c>
      <c r="I469" s="356">
        <v>9</v>
      </c>
      <c r="J469" s="620"/>
      <c r="K469" s="156"/>
      <c r="L469" s="647"/>
      <c r="M469" s="339"/>
      <c r="N469" s="620"/>
      <c r="O469" s="156"/>
      <c r="P469" s="801">
        <f>H469</f>
        <v>0</v>
      </c>
      <c r="Q469" s="809">
        <f>I469</f>
        <v>9</v>
      </c>
      <c r="R469" s="763"/>
    </row>
    <row r="470" spans="2:18" ht="12.75">
      <c r="B470" s="177">
        <f t="shared" si="50"/>
        <v>40</v>
      </c>
      <c r="C470" s="153"/>
      <c r="D470" s="138"/>
      <c r="E470" s="138"/>
      <c r="F470" s="138" t="s">
        <v>202</v>
      </c>
      <c r="G470" s="199" t="s">
        <v>335</v>
      </c>
      <c r="H470" s="335">
        <f>34140-140</f>
        <v>34000</v>
      </c>
      <c r="I470" s="356">
        <v>20946</v>
      </c>
      <c r="J470" s="620">
        <f t="shared" si="52"/>
        <v>61.60588235294118</v>
      </c>
      <c r="K470" s="156"/>
      <c r="L470" s="647"/>
      <c r="M470" s="339"/>
      <c r="N470" s="620"/>
      <c r="O470" s="156"/>
      <c r="P470" s="802">
        <f t="shared" si="49"/>
        <v>34000</v>
      </c>
      <c r="Q470" s="810">
        <f t="shared" si="49"/>
        <v>20946</v>
      </c>
      <c r="R470" s="763">
        <f t="shared" si="51"/>
        <v>61.60588235294118</v>
      </c>
    </row>
    <row r="471" spans="2:18" ht="12.75">
      <c r="B471" s="177">
        <f t="shared" si="50"/>
        <v>41</v>
      </c>
      <c r="C471" s="153"/>
      <c r="D471" s="138"/>
      <c r="E471" s="138"/>
      <c r="F471" s="138" t="s">
        <v>203</v>
      </c>
      <c r="G471" s="199" t="s">
        <v>251</v>
      </c>
      <c r="H471" s="335">
        <f>3230+1300</f>
        <v>4530</v>
      </c>
      <c r="I471" s="356">
        <v>578</v>
      </c>
      <c r="J471" s="620">
        <f t="shared" si="52"/>
        <v>12.759381898454746</v>
      </c>
      <c r="K471" s="156"/>
      <c r="L471" s="647"/>
      <c r="M471" s="339"/>
      <c r="N471" s="620"/>
      <c r="O471" s="156"/>
      <c r="P471" s="802">
        <f aca="true" t="shared" si="53" ref="P471:Q510">H471+L471</f>
        <v>4530</v>
      </c>
      <c r="Q471" s="810">
        <f t="shared" si="53"/>
        <v>578</v>
      </c>
      <c r="R471" s="763">
        <f t="shared" si="51"/>
        <v>12.759381898454746</v>
      </c>
    </row>
    <row r="472" spans="2:18" ht="12.75">
      <c r="B472" s="177">
        <f t="shared" si="50"/>
        <v>42</v>
      </c>
      <c r="C472" s="153"/>
      <c r="D472" s="138"/>
      <c r="E472" s="157"/>
      <c r="F472" s="138" t="s">
        <v>217</v>
      </c>
      <c r="G472" s="199" t="s">
        <v>266</v>
      </c>
      <c r="H472" s="335">
        <v>150</v>
      </c>
      <c r="I472" s="356">
        <v>69</v>
      </c>
      <c r="J472" s="620">
        <f t="shared" si="52"/>
        <v>46</v>
      </c>
      <c r="K472" s="156"/>
      <c r="L472" s="647"/>
      <c r="M472" s="339"/>
      <c r="N472" s="620"/>
      <c r="O472" s="156"/>
      <c r="P472" s="802">
        <f t="shared" si="53"/>
        <v>150</v>
      </c>
      <c r="Q472" s="810">
        <f t="shared" si="53"/>
        <v>69</v>
      </c>
      <c r="R472" s="763">
        <f t="shared" si="51"/>
        <v>46</v>
      </c>
    </row>
    <row r="473" spans="2:18" ht="12.75">
      <c r="B473" s="177">
        <f t="shared" si="50"/>
        <v>43</v>
      </c>
      <c r="C473" s="153"/>
      <c r="D473" s="138"/>
      <c r="E473" s="157"/>
      <c r="F473" s="138" t="s">
        <v>219</v>
      </c>
      <c r="G473" s="199" t="s">
        <v>252</v>
      </c>
      <c r="H473" s="335">
        <f>2520+300</f>
        <v>2820</v>
      </c>
      <c r="I473" s="356">
        <v>1514</v>
      </c>
      <c r="J473" s="620">
        <f t="shared" si="52"/>
        <v>53.68794326241135</v>
      </c>
      <c r="K473" s="156"/>
      <c r="L473" s="647"/>
      <c r="M473" s="339"/>
      <c r="N473" s="620"/>
      <c r="O473" s="156"/>
      <c r="P473" s="802">
        <f t="shared" si="53"/>
        <v>2820</v>
      </c>
      <c r="Q473" s="810">
        <f t="shared" si="53"/>
        <v>1514</v>
      </c>
      <c r="R473" s="763">
        <f t="shared" si="51"/>
        <v>53.68794326241135</v>
      </c>
    </row>
    <row r="474" spans="2:18" ht="12.75">
      <c r="B474" s="177">
        <f t="shared" si="50"/>
        <v>44</v>
      </c>
      <c r="C474" s="153"/>
      <c r="D474" s="138"/>
      <c r="E474" s="157"/>
      <c r="F474" s="277" t="s">
        <v>850</v>
      </c>
      <c r="G474" s="671" t="s">
        <v>871</v>
      </c>
      <c r="H474" s="356">
        <v>0</v>
      </c>
      <c r="I474" s="530">
        <v>588</v>
      </c>
      <c r="J474" s="620"/>
      <c r="K474" s="156"/>
      <c r="L474" s="647"/>
      <c r="M474" s="339"/>
      <c r="N474" s="620"/>
      <c r="O474" s="156"/>
      <c r="P474" s="801">
        <f t="shared" si="53"/>
        <v>0</v>
      </c>
      <c r="Q474" s="809">
        <f t="shared" si="53"/>
        <v>588</v>
      </c>
      <c r="R474" s="763"/>
    </row>
    <row r="475" spans="2:18" ht="12.75">
      <c r="B475" s="177">
        <f t="shared" si="50"/>
        <v>45</v>
      </c>
      <c r="C475" s="153"/>
      <c r="D475" s="138"/>
      <c r="E475" s="157"/>
      <c r="F475" s="154" t="s">
        <v>850</v>
      </c>
      <c r="G475" s="672" t="s">
        <v>872</v>
      </c>
      <c r="H475" s="356">
        <v>0</v>
      </c>
      <c r="I475" s="530">
        <v>542</v>
      </c>
      <c r="J475" s="620"/>
      <c r="K475" s="156"/>
      <c r="L475" s="647"/>
      <c r="M475" s="339"/>
      <c r="N475" s="620"/>
      <c r="O475" s="156"/>
      <c r="P475" s="801">
        <f t="shared" si="53"/>
        <v>0</v>
      </c>
      <c r="Q475" s="809">
        <f t="shared" si="53"/>
        <v>542</v>
      </c>
      <c r="R475" s="763"/>
    </row>
    <row r="476" spans="2:18" ht="15">
      <c r="B476" s="177">
        <f t="shared" si="50"/>
        <v>46</v>
      </c>
      <c r="C476" s="153"/>
      <c r="D476" s="30" t="s">
        <v>8</v>
      </c>
      <c r="E476" s="180" t="s">
        <v>305</v>
      </c>
      <c r="F476" s="158" t="s">
        <v>364</v>
      </c>
      <c r="G476" s="239"/>
      <c r="H476" s="390">
        <f>H477+H478+H479</f>
        <v>133580</v>
      </c>
      <c r="I476" s="390">
        <f>I477+I478+I479+I484+I485</f>
        <v>66273</v>
      </c>
      <c r="J476" s="620">
        <f t="shared" si="52"/>
        <v>49.61296601287618</v>
      </c>
      <c r="K476" s="306"/>
      <c r="L476" s="854"/>
      <c r="M476" s="875"/>
      <c r="N476" s="620"/>
      <c r="O476" s="306"/>
      <c r="P476" s="826">
        <f t="shared" si="53"/>
        <v>133580</v>
      </c>
      <c r="Q476" s="840">
        <f t="shared" si="53"/>
        <v>66273</v>
      </c>
      <c r="R476" s="763">
        <f t="shared" si="51"/>
        <v>49.61296601287618</v>
      </c>
    </row>
    <row r="477" spans="2:18" ht="12.75">
      <c r="B477" s="177">
        <f t="shared" si="50"/>
        <v>47</v>
      </c>
      <c r="C477" s="153"/>
      <c r="D477" s="154"/>
      <c r="E477" s="154"/>
      <c r="F477" s="154" t="s">
        <v>214</v>
      </c>
      <c r="G477" s="206" t="s">
        <v>543</v>
      </c>
      <c r="H477" s="346">
        <f>74580+230+59</f>
        <v>74869</v>
      </c>
      <c r="I477" s="346">
        <v>35563</v>
      </c>
      <c r="J477" s="620">
        <f t="shared" si="52"/>
        <v>47.50030052491685</v>
      </c>
      <c r="K477" s="156"/>
      <c r="L477" s="647"/>
      <c r="M477" s="339"/>
      <c r="N477" s="620"/>
      <c r="O477" s="156"/>
      <c r="P477" s="801">
        <f t="shared" si="53"/>
        <v>74869</v>
      </c>
      <c r="Q477" s="809">
        <f t="shared" si="53"/>
        <v>35563</v>
      </c>
      <c r="R477" s="763">
        <f t="shared" si="51"/>
        <v>47.50030052491685</v>
      </c>
    </row>
    <row r="478" spans="2:18" ht="12.75">
      <c r="B478" s="177">
        <f t="shared" si="50"/>
        <v>48</v>
      </c>
      <c r="C478" s="153"/>
      <c r="D478" s="154"/>
      <c r="E478" s="154"/>
      <c r="F478" s="154" t="s">
        <v>215</v>
      </c>
      <c r="G478" s="206" t="s">
        <v>264</v>
      </c>
      <c r="H478" s="346">
        <f>27760-120+21</f>
        <v>27661</v>
      </c>
      <c r="I478" s="346">
        <v>13035</v>
      </c>
      <c r="J478" s="620">
        <f t="shared" si="52"/>
        <v>47.12410975742019</v>
      </c>
      <c r="K478" s="156"/>
      <c r="L478" s="647"/>
      <c r="M478" s="339"/>
      <c r="N478" s="620"/>
      <c r="O478" s="156"/>
      <c r="P478" s="801">
        <f t="shared" si="53"/>
        <v>27661</v>
      </c>
      <c r="Q478" s="809">
        <f t="shared" si="53"/>
        <v>13035</v>
      </c>
      <c r="R478" s="763">
        <f t="shared" si="51"/>
        <v>47.12410975742019</v>
      </c>
    </row>
    <row r="479" spans="2:18" ht="12.75">
      <c r="B479" s="177">
        <f t="shared" si="50"/>
        <v>49</v>
      </c>
      <c r="C479" s="153"/>
      <c r="D479" s="154"/>
      <c r="E479" s="154"/>
      <c r="F479" s="154" t="s">
        <v>221</v>
      </c>
      <c r="G479" s="206" t="s">
        <v>360</v>
      </c>
      <c r="H479" s="346">
        <f>H480+H481+H482+H483</f>
        <v>31050</v>
      </c>
      <c r="I479" s="346">
        <f>I480+I481+I482+I483</f>
        <v>17119</v>
      </c>
      <c r="J479" s="620">
        <f t="shared" si="52"/>
        <v>55.13365539452496</v>
      </c>
      <c r="K479" s="156"/>
      <c r="L479" s="647"/>
      <c r="M479" s="339"/>
      <c r="N479" s="620"/>
      <c r="O479" s="156"/>
      <c r="P479" s="801">
        <f t="shared" si="53"/>
        <v>31050</v>
      </c>
      <c r="Q479" s="809">
        <f t="shared" si="53"/>
        <v>17119</v>
      </c>
      <c r="R479" s="763">
        <f t="shared" si="51"/>
        <v>55.13365539452496</v>
      </c>
    </row>
    <row r="480" spans="2:18" ht="12.75">
      <c r="B480" s="177">
        <f t="shared" si="50"/>
        <v>50</v>
      </c>
      <c r="C480" s="153"/>
      <c r="D480" s="138"/>
      <c r="E480" s="138"/>
      <c r="F480" s="138" t="s">
        <v>202</v>
      </c>
      <c r="G480" s="199" t="s">
        <v>335</v>
      </c>
      <c r="H480" s="335">
        <f>24100-300</f>
        <v>23800</v>
      </c>
      <c r="I480" s="335">
        <v>14840</v>
      </c>
      <c r="J480" s="620">
        <f t="shared" si="52"/>
        <v>62.35294117647059</v>
      </c>
      <c r="K480" s="156"/>
      <c r="L480" s="647"/>
      <c r="M480" s="339"/>
      <c r="N480" s="620"/>
      <c r="O480" s="156"/>
      <c r="P480" s="802">
        <f t="shared" si="53"/>
        <v>23800</v>
      </c>
      <c r="Q480" s="810">
        <f t="shared" si="53"/>
        <v>14840</v>
      </c>
      <c r="R480" s="763">
        <f t="shared" si="51"/>
        <v>62.35294117647059</v>
      </c>
    </row>
    <row r="481" spans="2:18" ht="12.75">
      <c r="B481" s="177">
        <f t="shared" si="50"/>
        <v>51</v>
      </c>
      <c r="C481" s="153"/>
      <c r="D481" s="138"/>
      <c r="E481" s="138"/>
      <c r="F481" s="138" t="s">
        <v>203</v>
      </c>
      <c r="G481" s="199" t="s">
        <v>251</v>
      </c>
      <c r="H481" s="335">
        <f>3490+260+480</f>
        <v>4230</v>
      </c>
      <c r="I481" s="335">
        <v>881</v>
      </c>
      <c r="J481" s="620">
        <f t="shared" si="52"/>
        <v>20.8274231678487</v>
      </c>
      <c r="K481" s="156"/>
      <c r="L481" s="647"/>
      <c r="M481" s="339"/>
      <c r="N481" s="620"/>
      <c r="O481" s="156"/>
      <c r="P481" s="802">
        <f t="shared" si="53"/>
        <v>4230</v>
      </c>
      <c r="Q481" s="810">
        <f t="shared" si="53"/>
        <v>881</v>
      </c>
      <c r="R481" s="763">
        <f t="shared" si="51"/>
        <v>20.8274231678487</v>
      </c>
    </row>
    <row r="482" spans="2:18" ht="12.75">
      <c r="B482" s="177">
        <f t="shared" si="50"/>
        <v>52</v>
      </c>
      <c r="C482" s="153"/>
      <c r="D482" s="138"/>
      <c r="E482" s="157"/>
      <c r="F482" s="138" t="s">
        <v>217</v>
      </c>
      <c r="G482" s="199" t="s">
        <v>266</v>
      </c>
      <c r="H482" s="335">
        <v>150</v>
      </c>
      <c r="I482" s="335">
        <v>0</v>
      </c>
      <c r="J482" s="620">
        <f t="shared" si="52"/>
        <v>0</v>
      </c>
      <c r="K482" s="156"/>
      <c r="L482" s="647"/>
      <c r="M482" s="339"/>
      <c r="N482" s="620"/>
      <c r="O482" s="156"/>
      <c r="P482" s="802">
        <f t="shared" si="53"/>
        <v>150</v>
      </c>
      <c r="Q482" s="810">
        <f t="shared" si="53"/>
        <v>0</v>
      </c>
      <c r="R482" s="763">
        <f t="shared" si="51"/>
        <v>0</v>
      </c>
    </row>
    <row r="483" spans="2:18" ht="12.75">
      <c r="B483" s="177">
        <f t="shared" si="50"/>
        <v>53</v>
      </c>
      <c r="C483" s="153"/>
      <c r="D483" s="138"/>
      <c r="E483" s="157"/>
      <c r="F483" s="138" t="s">
        <v>219</v>
      </c>
      <c r="G483" s="199" t="s">
        <v>252</v>
      </c>
      <c r="H483" s="335">
        <f>2470+400</f>
        <v>2870</v>
      </c>
      <c r="I483" s="335">
        <v>1398</v>
      </c>
      <c r="J483" s="620">
        <f t="shared" si="52"/>
        <v>48.71080139372822</v>
      </c>
      <c r="K483" s="156"/>
      <c r="L483" s="647"/>
      <c r="M483" s="339"/>
      <c r="N483" s="620"/>
      <c r="O483" s="156"/>
      <c r="P483" s="802">
        <f t="shared" si="53"/>
        <v>2870</v>
      </c>
      <c r="Q483" s="810">
        <f t="shared" si="53"/>
        <v>1398</v>
      </c>
      <c r="R483" s="763">
        <f t="shared" si="51"/>
        <v>48.71080139372822</v>
      </c>
    </row>
    <row r="484" spans="2:18" ht="12.75">
      <c r="B484" s="177">
        <f t="shared" si="50"/>
        <v>54</v>
      </c>
      <c r="C484" s="153"/>
      <c r="D484" s="138"/>
      <c r="E484" s="157"/>
      <c r="F484" s="277" t="s">
        <v>850</v>
      </c>
      <c r="G484" s="671" t="s">
        <v>871</v>
      </c>
      <c r="H484" s="346">
        <v>0</v>
      </c>
      <c r="I484" s="530">
        <v>328</v>
      </c>
      <c r="J484" s="620"/>
      <c r="K484" s="156"/>
      <c r="L484" s="647"/>
      <c r="M484" s="339"/>
      <c r="N484" s="620"/>
      <c r="O484" s="156"/>
      <c r="P484" s="801">
        <f t="shared" si="53"/>
        <v>0</v>
      </c>
      <c r="Q484" s="809">
        <f t="shared" si="53"/>
        <v>328</v>
      </c>
      <c r="R484" s="763"/>
    </row>
    <row r="485" spans="2:18" ht="12.75">
      <c r="B485" s="177">
        <f t="shared" si="50"/>
        <v>55</v>
      </c>
      <c r="C485" s="153"/>
      <c r="D485" s="138"/>
      <c r="E485" s="157"/>
      <c r="F485" s="154" t="s">
        <v>850</v>
      </c>
      <c r="G485" s="672" t="s">
        <v>872</v>
      </c>
      <c r="H485" s="346">
        <v>0</v>
      </c>
      <c r="I485" s="530">
        <v>228</v>
      </c>
      <c r="J485" s="620"/>
      <c r="K485" s="156"/>
      <c r="L485" s="647"/>
      <c r="M485" s="339"/>
      <c r="N485" s="620"/>
      <c r="O485" s="156"/>
      <c r="P485" s="801">
        <f t="shared" si="53"/>
        <v>0</v>
      </c>
      <c r="Q485" s="809">
        <f t="shared" si="53"/>
        <v>228</v>
      </c>
      <c r="R485" s="763"/>
    </row>
    <row r="486" spans="2:18" ht="15">
      <c r="B486" s="177">
        <f t="shared" si="50"/>
        <v>56</v>
      </c>
      <c r="C486" s="153"/>
      <c r="D486" s="30" t="s">
        <v>170</v>
      </c>
      <c r="E486" s="180" t="s">
        <v>305</v>
      </c>
      <c r="F486" s="158" t="s">
        <v>365</v>
      </c>
      <c r="G486" s="239"/>
      <c r="H486" s="390">
        <f>H487+H488+H489</f>
        <v>200540</v>
      </c>
      <c r="I486" s="390">
        <f>I487+I488+I489+I494+I495</f>
        <v>100532</v>
      </c>
      <c r="J486" s="620">
        <f t="shared" si="52"/>
        <v>50.13064725241847</v>
      </c>
      <c r="K486" s="306"/>
      <c r="L486" s="856"/>
      <c r="M486" s="877"/>
      <c r="N486" s="620"/>
      <c r="O486" s="306"/>
      <c r="P486" s="826">
        <f t="shared" si="53"/>
        <v>200540</v>
      </c>
      <c r="Q486" s="840">
        <f t="shared" si="53"/>
        <v>100532</v>
      </c>
      <c r="R486" s="763">
        <f t="shared" si="51"/>
        <v>50.13064725241847</v>
      </c>
    </row>
    <row r="487" spans="2:18" ht="12.75">
      <c r="B487" s="177">
        <f t="shared" si="50"/>
        <v>57</v>
      </c>
      <c r="C487" s="153"/>
      <c r="D487" s="154"/>
      <c r="E487" s="154"/>
      <c r="F487" s="154" t="s">
        <v>214</v>
      </c>
      <c r="G487" s="206" t="s">
        <v>543</v>
      </c>
      <c r="H487" s="346">
        <f>111980-1180+89</f>
        <v>110889</v>
      </c>
      <c r="I487" s="346">
        <v>53816</v>
      </c>
      <c r="J487" s="620">
        <f t="shared" si="52"/>
        <v>48.53141429718006</v>
      </c>
      <c r="K487" s="156"/>
      <c r="L487" s="647"/>
      <c r="M487" s="339"/>
      <c r="N487" s="620"/>
      <c r="O487" s="156"/>
      <c r="P487" s="801">
        <f t="shared" si="53"/>
        <v>110889</v>
      </c>
      <c r="Q487" s="809">
        <f t="shared" si="53"/>
        <v>53816</v>
      </c>
      <c r="R487" s="763">
        <f t="shared" si="51"/>
        <v>48.53141429718006</v>
      </c>
    </row>
    <row r="488" spans="2:18" ht="12.75">
      <c r="B488" s="177">
        <f t="shared" si="50"/>
        <v>58</v>
      </c>
      <c r="C488" s="153"/>
      <c r="D488" s="154"/>
      <c r="E488" s="154"/>
      <c r="F488" s="154" t="s">
        <v>215</v>
      </c>
      <c r="G488" s="206" t="s">
        <v>264</v>
      </c>
      <c r="H488" s="346">
        <f>41720-660+31</f>
        <v>41091</v>
      </c>
      <c r="I488" s="346">
        <v>19430</v>
      </c>
      <c r="J488" s="620">
        <f t="shared" si="52"/>
        <v>47.28529361660704</v>
      </c>
      <c r="K488" s="156"/>
      <c r="L488" s="647"/>
      <c r="M488" s="339"/>
      <c r="N488" s="620"/>
      <c r="O488" s="156"/>
      <c r="P488" s="801">
        <f t="shared" si="53"/>
        <v>41091</v>
      </c>
      <c r="Q488" s="809">
        <f t="shared" si="53"/>
        <v>19430</v>
      </c>
      <c r="R488" s="763">
        <f t="shared" si="51"/>
        <v>47.28529361660704</v>
      </c>
    </row>
    <row r="489" spans="2:18" ht="12.75">
      <c r="B489" s="177">
        <f t="shared" si="50"/>
        <v>59</v>
      </c>
      <c r="C489" s="153"/>
      <c r="D489" s="154"/>
      <c r="E489" s="154"/>
      <c r="F489" s="154" t="s">
        <v>221</v>
      </c>
      <c r="G489" s="206" t="s">
        <v>360</v>
      </c>
      <c r="H489" s="346">
        <f>H490+H491+H492+H493</f>
        <v>48560</v>
      </c>
      <c r="I489" s="346">
        <f>I490+I491+I492+I493</f>
        <v>26581</v>
      </c>
      <c r="J489" s="620">
        <f t="shared" si="52"/>
        <v>54.738467874794075</v>
      </c>
      <c r="K489" s="156"/>
      <c r="L489" s="647"/>
      <c r="M489" s="339"/>
      <c r="N489" s="620"/>
      <c r="O489" s="156"/>
      <c r="P489" s="801">
        <f t="shared" si="53"/>
        <v>48560</v>
      </c>
      <c r="Q489" s="809">
        <f t="shared" si="53"/>
        <v>26581</v>
      </c>
      <c r="R489" s="763">
        <f t="shared" si="51"/>
        <v>54.738467874794075</v>
      </c>
    </row>
    <row r="490" spans="2:18" ht="12.75">
      <c r="B490" s="177">
        <f t="shared" si="50"/>
        <v>60</v>
      </c>
      <c r="C490" s="153"/>
      <c r="D490" s="138"/>
      <c r="E490" s="138"/>
      <c r="F490" s="138" t="s">
        <v>202</v>
      </c>
      <c r="G490" s="199" t="s">
        <v>335</v>
      </c>
      <c r="H490" s="335">
        <f>39540-1500</f>
        <v>38040</v>
      </c>
      <c r="I490" s="335">
        <v>23449</v>
      </c>
      <c r="J490" s="620">
        <f t="shared" si="52"/>
        <v>61.643007360672975</v>
      </c>
      <c r="K490" s="156"/>
      <c r="L490" s="647"/>
      <c r="M490" s="339"/>
      <c r="N490" s="620"/>
      <c r="O490" s="156"/>
      <c r="P490" s="802">
        <f t="shared" si="53"/>
        <v>38040</v>
      </c>
      <c r="Q490" s="810">
        <f t="shared" si="53"/>
        <v>23449</v>
      </c>
      <c r="R490" s="763">
        <f t="shared" si="51"/>
        <v>61.643007360672975</v>
      </c>
    </row>
    <row r="491" spans="2:18" ht="12.75">
      <c r="B491" s="177">
        <f t="shared" si="50"/>
        <v>61</v>
      </c>
      <c r="C491" s="153"/>
      <c r="D491" s="138"/>
      <c r="E491" s="138"/>
      <c r="F491" s="138" t="s">
        <v>203</v>
      </c>
      <c r="G491" s="199" t="s">
        <v>251</v>
      </c>
      <c r="H491" s="335">
        <f>5150+800+240</f>
        <v>6190</v>
      </c>
      <c r="I491" s="335">
        <v>1218</v>
      </c>
      <c r="J491" s="620">
        <f t="shared" si="52"/>
        <v>19.676898222940224</v>
      </c>
      <c r="K491" s="156"/>
      <c r="L491" s="647"/>
      <c r="M491" s="339"/>
      <c r="N491" s="620"/>
      <c r="O491" s="156"/>
      <c r="P491" s="802">
        <f t="shared" si="53"/>
        <v>6190</v>
      </c>
      <c r="Q491" s="810">
        <f t="shared" si="53"/>
        <v>1218</v>
      </c>
      <c r="R491" s="763">
        <f t="shared" si="51"/>
        <v>19.676898222940224</v>
      </c>
    </row>
    <row r="492" spans="2:18" ht="12.75">
      <c r="B492" s="177">
        <f t="shared" si="50"/>
        <v>62</v>
      </c>
      <c r="C492" s="153"/>
      <c r="D492" s="138"/>
      <c r="E492" s="157"/>
      <c r="F492" s="138" t="s">
        <v>217</v>
      </c>
      <c r="G492" s="199" t="s">
        <v>266</v>
      </c>
      <c r="H492" s="335">
        <v>150</v>
      </c>
      <c r="I492" s="335">
        <v>0</v>
      </c>
      <c r="J492" s="620">
        <f t="shared" si="52"/>
        <v>0</v>
      </c>
      <c r="K492" s="156"/>
      <c r="L492" s="647"/>
      <c r="M492" s="339"/>
      <c r="N492" s="620"/>
      <c r="O492" s="156"/>
      <c r="P492" s="802">
        <f t="shared" si="53"/>
        <v>150</v>
      </c>
      <c r="Q492" s="810">
        <f t="shared" si="53"/>
        <v>0</v>
      </c>
      <c r="R492" s="763">
        <f t="shared" si="51"/>
        <v>0</v>
      </c>
    </row>
    <row r="493" spans="2:18" ht="12.75">
      <c r="B493" s="177">
        <f t="shared" si="50"/>
        <v>63</v>
      </c>
      <c r="C493" s="153"/>
      <c r="D493" s="138"/>
      <c r="E493" s="157"/>
      <c r="F493" s="138" t="s">
        <v>219</v>
      </c>
      <c r="G493" s="199" t="s">
        <v>252</v>
      </c>
      <c r="H493" s="335">
        <f>3940+240</f>
        <v>4180</v>
      </c>
      <c r="I493" s="335">
        <v>1914</v>
      </c>
      <c r="J493" s="620">
        <f t="shared" si="52"/>
        <v>45.78947368421053</v>
      </c>
      <c r="K493" s="156"/>
      <c r="L493" s="647"/>
      <c r="M493" s="339"/>
      <c r="N493" s="620"/>
      <c r="O493" s="156"/>
      <c r="P493" s="802">
        <f t="shared" si="53"/>
        <v>4180</v>
      </c>
      <c r="Q493" s="810">
        <f t="shared" si="53"/>
        <v>1914</v>
      </c>
      <c r="R493" s="763">
        <f t="shared" si="51"/>
        <v>45.78947368421053</v>
      </c>
    </row>
    <row r="494" spans="2:18" ht="12.75">
      <c r="B494" s="177">
        <f t="shared" si="50"/>
        <v>64</v>
      </c>
      <c r="C494" s="153"/>
      <c r="D494" s="138"/>
      <c r="E494" s="157"/>
      <c r="F494" s="277" t="s">
        <v>850</v>
      </c>
      <c r="G494" s="671" t="s">
        <v>871</v>
      </c>
      <c r="H494" s="346">
        <v>0</v>
      </c>
      <c r="I494" s="530">
        <v>221</v>
      </c>
      <c r="J494" s="887"/>
      <c r="K494" s="156"/>
      <c r="L494" s="645"/>
      <c r="M494" s="354"/>
      <c r="N494" s="887"/>
      <c r="O494" s="156"/>
      <c r="P494" s="801">
        <f t="shared" si="53"/>
        <v>0</v>
      </c>
      <c r="Q494" s="809">
        <f t="shared" si="53"/>
        <v>221</v>
      </c>
      <c r="R494" s="763"/>
    </row>
    <row r="495" spans="2:18" ht="12.75">
      <c r="B495" s="177">
        <f t="shared" si="50"/>
        <v>65</v>
      </c>
      <c r="C495" s="153"/>
      <c r="D495" s="138"/>
      <c r="E495" s="157"/>
      <c r="F495" s="154" t="s">
        <v>850</v>
      </c>
      <c r="G495" s="672" t="s">
        <v>872</v>
      </c>
      <c r="H495" s="346">
        <v>0</v>
      </c>
      <c r="I495" s="530">
        <v>484</v>
      </c>
      <c r="J495" s="887"/>
      <c r="K495" s="156"/>
      <c r="L495" s="645"/>
      <c r="M495" s="354"/>
      <c r="N495" s="887"/>
      <c r="O495" s="156"/>
      <c r="P495" s="801">
        <f t="shared" si="53"/>
        <v>0</v>
      </c>
      <c r="Q495" s="809">
        <f t="shared" si="53"/>
        <v>484</v>
      </c>
      <c r="R495" s="763"/>
    </row>
    <row r="496" spans="2:18" ht="15">
      <c r="B496" s="177">
        <f aca="true" t="shared" si="54" ref="B496:B559">B495+1</f>
        <v>66</v>
      </c>
      <c r="C496" s="153"/>
      <c r="D496" s="30" t="s">
        <v>174</v>
      </c>
      <c r="E496" s="180" t="s">
        <v>305</v>
      </c>
      <c r="F496" s="158" t="s">
        <v>368</v>
      </c>
      <c r="G496" s="239"/>
      <c r="H496" s="390">
        <f>H497+H498+H499</f>
        <v>219850</v>
      </c>
      <c r="I496" s="390">
        <f>I497+I498+I499+I504+I505</f>
        <v>108068</v>
      </c>
      <c r="J496" s="620">
        <f t="shared" si="52"/>
        <v>49.1553331817148</v>
      </c>
      <c r="K496" s="306"/>
      <c r="L496" s="856"/>
      <c r="M496" s="877"/>
      <c r="N496" s="620"/>
      <c r="O496" s="306"/>
      <c r="P496" s="826">
        <f t="shared" si="53"/>
        <v>219850</v>
      </c>
      <c r="Q496" s="840">
        <f t="shared" si="53"/>
        <v>108068</v>
      </c>
      <c r="R496" s="763">
        <f t="shared" si="51"/>
        <v>49.1553331817148</v>
      </c>
    </row>
    <row r="497" spans="2:18" ht="12.75">
      <c r="B497" s="177">
        <f t="shared" si="54"/>
        <v>67</v>
      </c>
      <c r="C497" s="153"/>
      <c r="D497" s="154"/>
      <c r="E497" s="154"/>
      <c r="F497" s="154" t="s">
        <v>214</v>
      </c>
      <c r="G497" s="206" t="s">
        <v>543</v>
      </c>
      <c r="H497" s="346">
        <f>109130+8520+89</f>
        <v>117739</v>
      </c>
      <c r="I497" s="346">
        <v>54634</v>
      </c>
      <c r="J497" s="620">
        <f t="shared" si="52"/>
        <v>46.40263633970053</v>
      </c>
      <c r="K497" s="156"/>
      <c r="L497" s="647"/>
      <c r="M497" s="339"/>
      <c r="N497" s="620"/>
      <c r="O497" s="156"/>
      <c r="P497" s="801">
        <f t="shared" si="53"/>
        <v>117739</v>
      </c>
      <c r="Q497" s="809">
        <f t="shared" si="53"/>
        <v>54634</v>
      </c>
      <c r="R497" s="763">
        <f aca="true" t="shared" si="55" ref="R497:R569">Q497/P497*100</f>
        <v>46.40263633970053</v>
      </c>
    </row>
    <row r="498" spans="2:18" ht="12.75">
      <c r="B498" s="177">
        <f t="shared" si="54"/>
        <v>68</v>
      </c>
      <c r="C498" s="153"/>
      <c r="D498" s="154"/>
      <c r="E498" s="154"/>
      <c r="F498" s="154" t="s">
        <v>215</v>
      </c>
      <c r="G498" s="206" t="s">
        <v>264</v>
      </c>
      <c r="H498" s="346">
        <f>40310+3160+31</f>
        <v>43501</v>
      </c>
      <c r="I498" s="346">
        <v>19298</v>
      </c>
      <c r="J498" s="620">
        <f t="shared" si="52"/>
        <v>44.36219857014782</v>
      </c>
      <c r="K498" s="156"/>
      <c r="L498" s="647"/>
      <c r="M498" s="339"/>
      <c r="N498" s="620"/>
      <c r="O498" s="156"/>
      <c r="P498" s="801">
        <f t="shared" si="53"/>
        <v>43501</v>
      </c>
      <c r="Q498" s="809">
        <f t="shared" si="53"/>
        <v>19298</v>
      </c>
      <c r="R498" s="763">
        <f t="shared" si="55"/>
        <v>44.36219857014782</v>
      </c>
    </row>
    <row r="499" spans="2:18" ht="12.75">
      <c r="B499" s="177">
        <f t="shared" si="54"/>
        <v>69</v>
      </c>
      <c r="C499" s="153"/>
      <c r="D499" s="154"/>
      <c r="E499" s="154"/>
      <c r="F499" s="154" t="s">
        <v>221</v>
      </c>
      <c r="G499" s="206" t="s">
        <v>360</v>
      </c>
      <c r="H499" s="346">
        <f>H500+H501+H502+H503</f>
        <v>58610</v>
      </c>
      <c r="I499" s="346">
        <f>I500+I501+I502+I503</f>
        <v>33304</v>
      </c>
      <c r="J499" s="620">
        <f t="shared" si="52"/>
        <v>56.82306773588125</v>
      </c>
      <c r="K499" s="156"/>
      <c r="L499" s="647"/>
      <c r="M499" s="339"/>
      <c r="N499" s="620"/>
      <c r="O499" s="156"/>
      <c r="P499" s="801">
        <f t="shared" si="53"/>
        <v>58610</v>
      </c>
      <c r="Q499" s="809">
        <f t="shared" si="53"/>
        <v>33304</v>
      </c>
      <c r="R499" s="763">
        <f t="shared" si="55"/>
        <v>56.82306773588125</v>
      </c>
    </row>
    <row r="500" spans="2:18" ht="12.75">
      <c r="B500" s="177">
        <f t="shared" si="54"/>
        <v>70</v>
      </c>
      <c r="C500" s="153"/>
      <c r="D500" s="138"/>
      <c r="E500" s="138"/>
      <c r="F500" s="138" t="s">
        <v>202</v>
      </c>
      <c r="G500" s="199" t="s">
        <v>335</v>
      </c>
      <c r="H500" s="335">
        <f>44430+4000</f>
        <v>48430</v>
      </c>
      <c r="I500" s="335">
        <v>29828</v>
      </c>
      <c r="J500" s="620">
        <f t="shared" si="52"/>
        <v>61.589923601073714</v>
      </c>
      <c r="K500" s="156"/>
      <c r="L500" s="647"/>
      <c r="M500" s="339"/>
      <c r="N500" s="620"/>
      <c r="O500" s="156"/>
      <c r="P500" s="802">
        <f t="shared" si="53"/>
        <v>48430</v>
      </c>
      <c r="Q500" s="810">
        <f t="shared" si="53"/>
        <v>29828</v>
      </c>
      <c r="R500" s="763">
        <f t="shared" si="55"/>
        <v>61.589923601073714</v>
      </c>
    </row>
    <row r="501" spans="2:18" ht="12.75">
      <c r="B501" s="177">
        <f t="shared" si="54"/>
        <v>71</v>
      </c>
      <c r="C501" s="153"/>
      <c r="D501" s="138"/>
      <c r="E501" s="138"/>
      <c r="F501" s="138" t="s">
        <v>203</v>
      </c>
      <c r="G501" s="199" t="s">
        <v>251</v>
      </c>
      <c r="H501" s="335">
        <f>5900+500</f>
        <v>6400</v>
      </c>
      <c r="I501" s="335">
        <v>990</v>
      </c>
      <c r="J501" s="620">
        <f t="shared" si="52"/>
        <v>15.46875</v>
      </c>
      <c r="K501" s="156"/>
      <c r="L501" s="647"/>
      <c r="M501" s="339"/>
      <c r="N501" s="620"/>
      <c r="O501" s="156"/>
      <c r="P501" s="802">
        <f t="shared" si="53"/>
        <v>6400</v>
      </c>
      <c r="Q501" s="810">
        <f t="shared" si="53"/>
        <v>990</v>
      </c>
      <c r="R501" s="763">
        <f t="shared" si="55"/>
        <v>15.46875</v>
      </c>
    </row>
    <row r="502" spans="2:18" ht="12.75">
      <c r="B502" s="177">
        <f t="shared" si="54"/>
        <v>72</v>
      </c>
      <c r="C502" s="153"/>
      <c r="D502" s="138"/>
      <c r="E502" s="157"/>
      <c r="F502" s="138" t="s">
        <v>217</v>
      </c>
      <c r="G502" s="199" t="s">
        <v>266</v>
      </c>
      <c r="H502" s="335">
        <v>150</v>
      </c>
      <c r="I502" s="335">
        <v>10</v>
      </c>
      <c r="J502" s="620">
        <f t="shared" si="52"/>
        <v>6.666666666666667</v>
      </c>
      <c r="K502" s="156"/>
      <c r="L502" s="647"/>
      <c r="M502" s="339"/>
      <c r="N502" s="620"/>
      <c r="O502" s="156"/>
      <c r="P502" s="802">
        <f t="shared" si="53"/>
        <v>150</v>
      </c>
      <c r="Q502" s="810">
        <f t="shared" si="53"/>
        <v>10</v>
      </c>
      <c r="R502" s="763">
        <f t="shared" si="55"/>
        <v>6.666666666666667</v>
      </c>
    </row>
    <row r="503" spans="2:18" ht="12.75">
      <c r="B503" s="177">
        <f t="shared" si="54"/>
        <v>73</v>
      </c>
      <c r="C503" s="153"/>
      <c r="D503" s="138"/>
      <c r="E503" s="157"/>
      <c r="F503" s="138" t="s">
        <v>219</v>
      </c>
      <c r="G503" s="199" t="s">
        <v>252</v>
      </c>
      <c r="H503" s="335">
        <f>3230+400</f>
        <v>3630</v>
      </c>
      <c r="I503" s="335">
        <v>2476</v>
      </c>
      <c r="J503" s="620">
        <f t="shared" si="52"/>
        <v>68.20936639118457</v>
      </c>
      <c r="K503" s="156"/>
      <c r="L503" s="647"/>
      <c r="M503" s="339"/>
      <c r="N503" s="620"/>
      <c r="O503" s="156"/>
      <c r="P503" s="802">
        <f t="shared" si="53"/>
        <v>3630</v>
      </c>
      <c r="Q503" s="810">
        <f t="shared" si="53"/>
        <v>2476</v>
      </c>
      <c r="R503" s="763">
        <f t="shared" si="55"/>
        <v>68.20936639118457</v>
      </c>
    </row>
    <row r="504" spans="2:18" ht="12.75">
      <c r="B504" s="177">
        <f t="shared" si="54"/>
        <v>74</v>
      </c>
      <c r="C504" s="153"/>
      <c r="D504" s="138"/>
      <c r="E504" s="157"/>
      <c r="F504" s="277" t="s">
        <v>850</v>
      </c>
      <c r="G504" s="671" t="s">
        <v>871</v>
      </c>
      <c r="H504" s="346">
        <v>0</v>
      </c>
      <c r="I504" s="530">
        <v>452</v>
      </c>
      <c r="J504" s="887"/>
      <c r="K504" s="156"/>
      <c r="L504" s="645"/>
      <c r="M504" s="354"/>
      <c r="N504" s="887"/>
      <c r="O504" s="156"/>
      <c r="P504" s="801">
        <f>H504+L504</f>
        <v>0</v>
      </c>
      <c r="Q504" s="809">
        <f>I504+M504</f>
        <v>452</v>
      </c>
      <c r="R504" s="763"/>
    </row>
    <row r="505" spans="2:18" ht="12.75">
      <c r="B505" s="177">
        <f t="shared" si="54"/>
        <v>75</v>
      </c>
      <c r="C505" s="153"/>
      <c r="D505" s="138"/>
      <c r="E505" s="157"/>
      <c r="F505" s="154" t="s">
        <v>850</v>
      </c>
      <c r="G505" s="672" t="s">
        <v>872</v>
      </c>
      <c r="H505" s="346">
        <v>0</v>
      </c>
      <c r="I505" s="530">
        <v>380</v>
      </c>
      <c r="J505" s="887"/>
      <c r="K505" s="156"/>
      <c r="L505" s="645"/>
      <c r="M505" s="354"/>
      <c r="N505" s="887"/>
      <c r="O505" s="156"/>
      <c r="P505" s="801">
        <f>H505+L505</f>
        <v>0</v>
      </c>
      <c r="Q505" s="809">
        <f>I505+M505</f>
        <v>380</v>
      </c>
      <c r="R505" s="763"/>
    </row>
    <row r="506" spans="2:18" ht="15">
      <c r="B506" s="177">
        <f t="shared" si="54"/>
        <v>76</v>
      </c>
      <c r="C506" s="153"/>
      <c r="D506" s="30" t="s">
        <v>367</v>
      </c>
      <c r="E506" s="180" t="s">
        <v>305</v>
      </c>
      <c r="F506" s="158" t="s">
        <v>370</v>
      </c>
      <c r="G506" s="239"/>
      <c r="H506" s="390">
        <f>H507+H508+H509+H515</f>
        <v>112720</v>
      </c>
      <c r="I506" s="390">
        <f>I507+I508+I509+I515+I514</f>
        <v>49768</v>
      </c>
      <c r="J506" s="620">
        <f t="shared" si="52"/>
        <v>44.151880766501066</v>
      </c>
      <c r="K506" s="306"/>
      <c r="L506" s="854">
        <f>L515</f>
        <v>8300</v>
      </c>
      <c r="M506" s="875">
        <f>M515</f>
        <v>0</v>
      </c>
      <c r="N506" s="638">
        <f>M506/L506*100</f>
        <v>0</v>
      </c>
      <c r="O506" s="306"/>
      <c r="P506" s="826">
        <f t="shared" si="53"/>
        <v>121020</v>
      </c>
      <c r="Q506" s="840">
        <f t="shared" si="53"/>
        <v>49768</v>
      </c>
      <c r="R506" s="763">
        <f t="shared" si="55"/>
        <v>41.123781193191206</v>
      </c>
    </row>
    <row r="507" spans="2:18" ht="12.75">
      <c r="B507" s="177">
        <f t="shared" si="54"/>
        <v>77</v>
      </c>
      <c r="C507" s="153"/>
      <c r="D507" s="154"/>
      <c r="E507" s="154"/>
      <c r="F507" s="154" t="s">
        <v>214</v>
      </c>
      <c r="G507" s="206" t="s">
        <v>543</v>
      </c>
      <c r="H507" s="346">
        <f>62390+1780+67</f>
        <v>64237</v>
      </c>
      <c r="I507" s="346">
        <v>32373</v>
      </c>
      <c r="J507" s="620">
        <f t="shared" si="52"/>
        <v>50.39618911219391</v>
      </c>
      <c r="K507" s="156"/>
      <c r="L507" s="647"/>
      <c r="M507" s="339"/>
      <c r="N507" s="620"/>
      <c r="O507" s="156"/>
      <c r="P507" s="801">
        <f t="shared" si="53"/>
        <v>64237</v>
      </c>
      <c r="Q507" s="809">
        <f t="shared" si="53"/>
        <v>32373</v>
      </c>
      <c r="R507" s="763">
        <f t="shared" si="55"/>
        <v>50.39618911219391</v>
      </c>
    </row>
    <row r="508" spans="2:18" ht="12.75">
      <c r="B508" s="177">
        <f t="shared" si="54"/>
        <v>78</v>
      </c>
      <c r="C508" s="153"/>
      <c r="D508" s="154"/>
      <c r="E508" s="154"/>
      <c r="F508" s="154" t="s">
        <v>215</v>
      </c>
      <c r="G508" s="206" t="s">
        <v>264</v>
      </c>
      <c r="H508" s="346">
        <f>23380+330+23</f>
        <v>23733</v>
      </c>
      <c r="I508" s="346">
        <v>11156</v>
      </c>
      <c r="J508" s="620">
        <f t="shared" si="52"/>
        <v>47.0062781780643</v>
      </c>
      <c r="K508" s="156"/>
      <c r="L508" s="647"/>
      <c r="M508" s="339"/>
      <c r="N508" s="620"/>
      <c r="O508" s="156"/>
      <c r="P508" s="801">
        <f t="shared" si="53"/>
        <v>23733</v>
      </c>
      <c r="Q508" s="809">
        <f t="shared" si="53"/>
        <v>11156</v>
      </c>
      <c r="R508" s="763">
        <f t="shared" si="55"/>
        <v>47.0062781780643</v>
      </c>
    </row>
    <row r="509" spans="2:18" ht="12.75">
      <c r="B509" s="177">
        <f t="shared" si="54"/>
        <v>79</v>
      </c>
      <c r="C509" s="153"/>
      <c r="D509" s="154"/>
      <c r="E509" s="154"/>
      <c r="F509" s="154" t="s">
        <v>221</v>
      </c>
      <c r="G509" s="206" t="s">
        <v>360</v>
      </c>
      <c r="H509" s="346">
        <f>H510+H511+H512+H513</f>
        <v>24750</v>
      </c>
      <c r="I509" s="346">
        <f>I510+I511+I512+I513</f>
        <v>5804</v>
      </c>
      <c r="J509" s="620">
        <f t="shared" si="52"/>
        <v>23.45050505050505</v>
      </c>
      <c r="K509" s="156"/>
      <c r="L509" s="647"/>
      <c r="M509" s="339"/>
      <c r="N509" s="620"/>
      <c r="O509" s="156"/>
      <c r="P509" s="801">
        <f t="shared" si="53"/>
        <v>24750</v>
      </c>
      <c r="Q509" s="809">
        <f t="shared" si="53"/>
        <v>5804</v>
      </c>
      <c r="R509" s="763">
        <f t="shared" si="55"/>
        <v>23.45050505050505</v>
      </c>
    </row>
    <row r="510" spans="2:18" ht="12.75">
      <c r="B510" s="177">
        <f t="shared" si="54"/>
        <v>80</v>
      </c>
      <c r="C510" s="153"/>
      <c r="D510" s="138"/>
      <c r="E510" s="138"/>
      <c r="F510" s="138" t="s">
        <v>202</v>
      </c>
      <c r="G510" s="199" t="s">
        <v>335</v>
      </c>
      <c r="H510" s="335">
        <f>17640-2100</f>
        <v>15540</v>
      </c>
      <c r="I510" s="335">
        <v>3992</v>
      </c>
      <c r="J510" s="620">
        <f t="shared" si="52"/>
        <v>25.688545688545688</v>
      </c>
      <c r="K510" s="156"/>
      <c r="L510" s="647"/>
      <c r="M510" s="339"/>
      <c r="N510" s="620"/>
      <c r="O510" s="156"/>
      <c r="P510" s="802">
        <f t="shared" si="53"/>
        <v>15540</v>
      </c>
      <c r="Q510" s="810">
        <f t="shared" si="53"/>
        <v>3992</v>
      </c>
      <c r="R510" s="763">
        <f t="shared" si="55"/>
        <v>25.688545688545688</v>
      </c>
    </row>
    <row r="511" spans="2:18" ht="12.75">
      <c r="B511" s="177">
        <f t="shared" si="54"/>
        <v>81</v>
      </c>
      <c r="C511" s="153"/>
      <c r="D511" s="138"/>
      <c r="E511" s="138"/>
      <c r="F511" s="281" t="s">
        <v>203</v>
      </c>
      <c r="G511" s="199" t="s">
        <v>251</v>
      </c>
      <c r="H511" s="335">
        <f>5170+800+700</f>
        <v>6670</v>
      </c>
      <c r="I511" s="335">
        <v>400</v>
      </c>
      <c r="J511" s="620">
        <f t="shared" si="52"/>
        <v>5.997001499250374</v>
      </c>
      <c r="K511" s="156"/>
      <c r="L511" s="647"/>
      <c r="M511" s="339"/>
      <c r="N511" s="620"/>
      <c r="O511" s="156"/>
      <c r="P511" s="802">
        <f aca="true" t="shared" si="56" ref="P511:Q551">H511+L511</f>
        <v>6670</v>
      </c>
      <c r="Q511" s="810">
        <f t="shared" si="56"/>
        <v>400</v>
      </c>
      <c r="R511" s="763">
        <f t="shared" si="55"/>
        <v>5.997001499250374</v>
      </c>
    </row>
    <row r="512" spans="2:18" ht="12.75">
      <c r="B512" s="177">
        <f t="shared" si="54"/>
        <v>82</v>
      </c>
      <c r="C512" s="153"/>
      <c r="D512" s="138"/>
      <c r="E512" s="157"/>
      <c r="F512" s="281" t="s">
        <v>217</v>
      </c>
      <c r="G512" s="199" t="s">
        <v>266</v>
      </c>
      <c r="H512" s="335">
        <v>150</v>
      </c>
      <c r="I512" s="335">
        <v>0</v>
      </c>
      <c r="J512" s="620">
        <f t="shared" si="52"/>
        <v>0</v>
      </c>
      <c r="K512" s="156"/>
      <c r="L512" s="647"/>
      <c r="M512" s="339"/>
      <c r="N512" s="620"/>
      <c r="O512" s="156"/>
      <c r="P512" s="802">
        <f t="shared" si="56"/>
        <v>150</v>
      </c>
      <c r="Q512" s="810">
        <f t="shared" si="56"/>
        <v>0</v>
      </c>
      <c r="R512" s="763">
        <f t="shared" si="55"/>
        <v>0</v>
      </c>
    </row>
    <row r="513" spans="2:18" ht="12.75">
      <c r="B513" s="177">
        <f t="shared" si="54"/>
        <v>83</v>
      </c>
      <c r="C513" s="153"/>
      <c r="D513" s="138"/>
      <c r="E513" s="157"/>
      <c r="F513" s="138" t="s">
        <v>219</v>
      </c>
      <c r="G513" s="199" t="s">
        <v>252</v>
      </c>
      <c r="H513" s="335">
        <f>1890+500</f>
        <v>2390</v>
      </c>
      <c r="I513" s="335">
        <v>1412</v>
      </c>
      <c r="J513" s="620">
        <f aca="true" t="shared" si="57" ref="J513:J584">I513/H513*100</f>
        <v>59.07949790794979</v>
      </c>
      <c r="K513" s="156"/>
      <c r="L513" s="647"/>
      <c r="M513" s="339"/>
      <c r="N513" s="620"/>
      <c r="O513" s="156"/>
      <c r="P513" s="802">
        <f t="shared" si="56"/>
        <v>2390</v>
      </c>
      <c r="Q513" s="810">
        <f t="shared" si="56"/>
        <v>1412</v>
      </c>
      <c r="R513" s="763">
        <f t="shared" si="55"/>
        <v>59.07949790794979</v>
      </c>
    </row>
    <row r="514" spans="2:18" ht="12.75">
      <c r="B514" s="177">
        <f t="shared" si="54"/>
        <v>84</v>
      </c>
      <c r="C514" s="153"/>
      <c r="D514" s="138"/>
      <c r="E514" s="157"/>
      <c r="F514" s="277" t="s">
        <v>850</v>
      </c>
      <c r="G514" s="671" t="s">
        <v>871</v>
      </c>
      <c r="H514" s="346">
        <v>0</v>
      </c>
      <c r="I514" s="530">
        <v>435</v>
      </c>
      <c r="J514" s="620"/>
      <c r="K514" s="156"/>
      <c r="L514" s="647"/>
      <c r="M514" s="339"/>
      <c r="N514" s="620"/>
      <c r="O514" s="156"/>
      <c r="P514" s="801">
        <f t="shared" si="56"/>
        <v>0</v>
      </c>
      <c r="Q514" s="809">
        <f t="shared" si="56"/>
        <v>435</v>
      </c>
      <c r="R514" s="763"/>
    </row>
    <row r="515" spans="2:18" ht="12.75">
      <c r="B515" s="177">
        <f t="shared" si="54"/>
        <v>85</v>
      </c>
      <c r="C515" s="153"/>
      <c r="D515" s="138"/>
      <c r="E515" s="157"/>
      <c r="F515" s="138" t="s">
        <v>340</v>
      </c>
      <c r="G515" s="199" t="s">
        <v>775</v>
      </c>
      <c r="H515" s="335">
        <v>0</v>
      </c>
      <c r="I515" s="335"/>
      <c r="J515" s="620"/>
      <c r="K515" s="139"/>
      <c r="L515" s="647">
        <f>1700+6600</f>
        <v>8300</v>
      </c>
      <c r="M515" s="339">
        <v>0</v>
      </c>
      <c r="N515" s="638">
        <f>M515/L515*100</f>
        <v>0</v>
      </c>
      <c r="O515" s="139"/>
      <c r="P515" s="802">
        <f>H515+L515</f>
        <v>8300</v>
      </c>
      <c r="Q515" s="810">
        <f>I515+M515</f>
        <v>0</v>
      </c>
      <c r="R515" s="763">
        <f t="shared" si="55"/>
        <v>0</v>
      </c>
    </row>
    <row r="516" spans="2:18" ht="15">
      <c r="B516" s="177">
        <f t="shared" si="54"/>
        <v>86</v>
      </c>
      <c r="C516" s="153"/>
      <c r="D516" s="30" t="s">
        <v>369</v>
      </c>
      <c r="E516" s="180" t="s">
        <v>305</v>
      </c>
      <c r="F516" s="158" t="s">
        <v>372</v>
      </c>
      <c r="G516" s="239"/>
      <c r="H516" s="390">
        <f>H517+H518+H519</f>
        <v>180210</v>
      </c>
      <c r="I516" s="390">
        <f>I517+I518+I519+I524+I525</f>
        <v>92024</v>
      </c>
      <c r="J516" s="620">
        <f t="shared" si="57"/>
        <v>51.06486876421952</v>
      </c>
      <c r="K516" s="306"/>
      <c r="L516" s="854">
        <f>SUM(L517:L528)</f>
        <v>28000</v>
      </c>
      <c r="M516" s="875">
        <f>SUM(M517:M528)</f>
        <v>0</v>
      </c>
      <c r="N516" s="638">
        <f>M516/L516*100</f>
        <v>0</v>
      </c>
      <c r="O516" s="306"/>
      <c r="P516" s="826">
        <f t="shared" si="56"/>
        <v>208210</v>
      </c>
      <c r="Q516" s="840">
        <f t="shared" si="56"/>
        <v>92024</v>
      </c>
      <c r="R516" s="763">
        <f t="shared" si="55"/>
        <v>44.19768502953749</v>
      </c>
    </row>
    <row r="517" spans="2:18" ht="12.75">
      <c r="B517" s="177">
        <f t="shared" si="54"/>
        <v>87</v>
      </c>
      <c r="C517" s="153"/>
      <c r="D517" s="154"/>
      <c r="E517" s="154"/>
      <c r="F517" s="154" t="s">
        <v>214</v>
      </c>
      <c r="G517" s="206" t="s">
        <v>543</v>
      </c>
      <c r="H517" s="346">
        <f>96030+740+74</f>
        <v>96844</v>
      </c>
      <c r="I517" s="346">
        <v>48138</v>
      </c>
      <c r="J517" s="620">
        <f t="shared" si="57"/>
        <v>49.70674486803519</v>
      </c>
      <c r="K517" s="156"/>
      <c r="L517" s="647"/>
      <c r="M517" s="339"/>
      <c r="N517" s="639"/>
      <c r="O517" s="156"/>
      <c r="P517" s="801">
        <f t="shared" si="56"/>
        <v>96844</v>
      </c>
      <c r="Q517" s="809">
        <f t="shared" si="56"/>
        <v>48138</v>
      </c>
      <c r="R517" s="763">
        <f t="shared" si="55"/>
        <v>49.70674486803519</v>
      </c>
    </row>
    <row r="518" spans="2:18" ht="12.75">
      <c r="B518" s="177">
        <f t="shared" si="54"/>
        <v>88</v>
      </c>
      <c r="C518" s="153"/>
      <c r="D518" s="154"/>
      <c r="E518" s="154"/>
      <c r="F518" s="154" t="s">
        <v>215</v>
      </c>
      <c r="G518" s="206" t="s">
        <v>264</v>
      </c>
      <c r="H518" s="346">
        <f>35320+435+26</f>
        <v>35781</v>
      </c>
      <c r="I518" s="346">
        <v>17474</v>
      </c>
      <c r="J518" s="620">
        <f t="shared" si="57"/>
        <v>48.83597439982113</v>
      </c>
      <c r="K518" s="156"/>
      <c r="L518" s="647"/>
      <c r="M518" s="339"/>
      <c r="N518" s="639"/>
      <c r="O518" s="156"/>
      <c r="P518" s="801">
        <f t="shared" si="56"/>
        <v>35781</v>
      </c>
      <c r="Q518" s="809">
        <f t="shared" si="56"/>
        <v>17474</v>
      </c>
      <c r="R518" s="763">
        <f t="shared" si="55"/>
        <v>48.83597439982113</v>
      </c>
    </row>
    <row r="519" spans="2:18" ht="12.75">
      <c r="B519" s="177">
        <f t="shared" si="54"/>
        <v>89</v>
      </c>
      <c r="C519" s="153"/>
      <c r="D519" s="154"/>
      <c r="E519" s="154"/>
      <c r="F519" s="154" t="s">
        <v>221</v>
      </c>
      <c r="G519" s="206" t="s">
        <v>360</v>
      </c>
      <c r="H519" s="346">
        <f>H520+H521+H522+H523</f>
        <v>47585</v>
      </c>
      <c r="I519" s="346">
        <f>I520+I521+I522+I523</f>
        <v>25957</v>
      </c>
      <c r="J519" s="620">
        <f t="shared" si="57"/>
        <v>54.548702322160345</v>
      </c>
      <c r="K519" s="156"/>
      <c r="L519" s="647"/>
      <c r="M519" s="339"/>
      <c r="N519" s="639"/>
      <c r="O519" s="156"/>
      <c r="P519" s="801">
        <f t="shared" si="56"/>
        <v>47585</v>
      </c>
      <c r="Q519" s="809">
        <f t="shared" si="56"/>
        <v>25957</v>
      </c>
      <c r="R519" s="763">
        <f t="shared" si="55"/>
        <v>54.548702322160345</v>
      </c>
    </row>
    <row r="520" spans="2:18" ht="12.75">
      <c r="B520" s="177">
        <f t="shared" si="54"/>
        <v>90</v>
      </c>
      <c r="C520" s="153"/>
      <c r="D520" s="138"/>
      <c r="E520" s="138"/>
      <c r="F520" s="138" t="s">
        <v>202</v>
      </c>
      <c r="G520" s="199" t="s">
        <v>335</v>
      </c>
      <c r="H520" s="335">
        <f>38095-300</f>
        <v>37795</v>
      </c>
      <c r="I520" s="335">
        <v>22863</v>
      </c>
      <c r="J520" s="620">
        <f t="shared" si="57"/>
        <v>60.49212858843762</v>
      </c>
      <c r="K520" s="156"/>
      <c r="L520" s="647"/>
      <c r="M520" s="339"/>
      <c r="N520" s="639"/>
      <c r="O520" s="156"/>
      <c r="P520" s="802">
        <f t="shared" si="56"/>
        <v>37795</v>
      </c>
      <c r="Q520" s="810">
        <f t="shared" si="56"/>
        <v>22863</v>
      </c>
      <c r="R520" s="763">
        <f t="shared" si="55"/>
        <v>60.49212858843762</v>
      </c>
    </row>
    <row r="521" spans="2:18" ht="12.75">
      <c r="B521" s="177">
        <f t="shared" si="54"/>
        <v>91</v>
      </c>
      <c r="C521" s="153"/>
      <c r="D521" s="138"/>
      <c r="E521" s="138"/>
      <c r="F521" s="138" t="s">
        <v>203</v>
      </c>
      <c r="G521" s="199" t="s">
        <v>251</v>
      </c>
      <c r="H521" s="335">
        <f>5390+1000</f>
        <v>6390</v>
      </c>
      <c r="I521" s="335">
        <v>1236</v>
      </c>
      <c r="J521" s="620">
        <f t="shared" si="57"/>
        <v>19.342723004694836</v>
      </c>
      <c r="K521" s="156"/>
      <c r="L521" s="647"/>
      <c r="M521" s="339"/>
      <c r="N521" s="639"/>
      <c r="O521" s="156"/>
      <c r="P521" s="802">
        <f t="shared" si="56"/>
        <v>6390</v>
      </c>
      <c r="Q521" s="810">
        <f t="shared" si="56"/>
        <v>1236</v>
      </c>
      <c r="R521" s="763">
        <f t="shared" si="55"/>
        <v>19.342723004694836</v>
      </c>
    </row>
    <row r="522" spans="2:18" ht="12.75">
      <c r="B522" s="177">
        <f t="shared" si="54"/>
        <v>92</v>
      </c>
      <c r="C522" s="153"/>
      <c r="D522" s="138"/>
      <c r="E522" s="157"/>
      <c r="F522" s="138" t="s">
        <v>217</v>
      </c>
      <c r="G522" s="199" t="s">
        <v>266</v>
      </c>
      <c r="H522" s="335">
        <v>150</v>
      </c>
      <c r="I522" s="335">
        <v>0</v>
      </c>
      <c r="J522" s="620">
        <f t="shared" si="57"/>
        <v>0</v>
      </c>
      <c r="K522" s="156"/>
      <c r="L522" s="647"/>
      <c r="M522" s="335"/>
      <c r="N522" s="639"/>
      <c r="O522" s="156"/>
      <c r="P522" s="802">
        <f t="shared" si="56"/>
        <v>150</v>
      </c>
      <c r="Q522" s="810">
        <f t="shared" si="56"/>
        <v>0</v>
      </c>
      <c r="R522" s="763">
        <f t="shared" si="55"/>
        <v>0</v>
      </c>
    </row>
    <row r="523" spans="2:18" ht="12.75">
      <c r="B523" s="177">
        <f t="shared" si="54"/>
        <v>93</v>
      </c>
      <c r="C523" s="280"/>
      <c r="D523" s="281"/>
      <c r="E523" s="366"/>
      <c r="F523" s="281" t="s">
        <v>219</v>
      </c>
      <c r="G523" s="209" t="s">
        <v>252</v>
      </c>
      <c r="H523" s="335">
        <f>2750+500</f>
        <v>3250</v>
      </c>
      <c r="I523" s="335">
        <v>1858</v>
      </c>
      <c r="J523" s="620">
        <f t="shared" si="57"/>
        <v>57.16923076923077</v>
      </c>
      <c r="K523" s="276"/>
      <c r="L523" s="649"/>
      <c r="M523" s="335"/>
      <c r="N523" s="639"/>
      <c r="O523" s="276"/>
      <c r="P523" s="804">
        <f t="shared" si="56"/>
        <v>3250</v>
      </c>
      <c r="Q523" s="812">
        <f t="shared" si="56"/>
        <v>1858</v>
      </c>
      <c r="R523" s="763">
        <f t="shared" si="55"/>
        <v>57.16923076923077</v>
      </c>
    </row>
    <row r="524" spans="2:18" ht="12.75">
      <c r="B524" s="177">
        <f t="shared" si="54"/>
        <v>94</v>
      </c>
      <c r="C524" s="153"/>
      <c r="D524" s="138"/>
      <c r="E524" s="157"/>
      <c r="F524" s="277" t="s">
        <v>850</v>
      </c>
      <c r="G524" s="671" t="s">
        <v>871</v>
      </c>
      <c r="H524" s="346">
        <v>0</v>
      </c>
      <c r="I524" s="530">
        <v>184</v>
      </c>
      <c r="J524" s="887"/>
      <c r="K524" s="276"/>
      <c r="L524" s="888"/>
      <c r="M524" s="346"/>
      <c r="N524" s="889"/>
      <c r="O524" s="276"/>
      <c r="P524" s="830">
        <f t="shared" si="56"/>
        <v>0</v>
      </c>
      <c r="Q524" s="844">
        <f t="shared" si="56"/>
        <v>184</v>
      </c>
      <c r="R524" s="763"/>
    </row>
    <row r="525" spans="2:18" ht="12.75">
      <c r="B525" s="177">
        <f t="shared" si="54"/>
        <v>95</v>
      </c>
      <c r="C525" s="153"/>
      <c r="D525" s="138"/>
      <c r="E525" s="157"/>
      <c r="F525" s="154" t="s">
        <v>850</v>
      </c>
      <c r="G525" s="672" t="s">
        <v>872</v>
      </c>
      <c r="H525" s="346">
        <v>0</v>
      </c>
      <c r="I525" s="530">
        <v>271</v>
      </c>
      <c r="J525" s="887"/>
      <c r="K525" s="276"/>
      <c r="L525" s="888"/>
      <c r="M525" s="346"/>
      <c r="N525" s="889"/>
      <c r="O525" s="276"/>
      <c r="P525" s="830">
        <f t="shared" si="56"/>
        <v>0</v>
      </c>
      <c r="Q525" s="844">
        <f t="shared" si="56"/>
        <v>271</v>
      </c>
      <c r="R525" s="763"/>
    </row>
    <row r="526" spans="2:18" ht="12.75">
      <c r="B526" s="177">
        <f t="shared" si="54"/>
        <v>96</v>
      </c>
      <c r="C526" s="153"/>
      <c r="D526" s="138"/>
      <c r="E526" s="157"/>
      <c r="F526" s="138" t="s">
        <v>462</v>
      </c>
      <c r="G526" s="199" t="s">
        <v>637</v>
      </c>
      <c r="H526" s="341"/>
      <c r="I526" s="341"/>
      <c r="J526" s="620"/>
      <c r="K526" s="276"/>
      <c r="L526" s="150">
        <v>2000</v>
      </c>
      <c r="M526" s="335">
        <v>0</v>
      </c>
      <c r="N526" s="638">
        <f>M526/L526*100</f>
        <v>0</v>
      </c>
      <c r="O526" s="276"/>
      <c r="P526" s="804">
        <f t="shared" si="56"/>
        <v>2000</v>
      </c>
      <c r="Q526" s="812">
        <f t="shared" si="56"/>
        <v>0</v>
      </c>
      <c r="R526" s="763">
        <f t="shared" si="55"/>
        <v>0</v>
      </c>
    </row>
    <row r="527" spans="2:18" ht="12.75">
      <c r="B527" s="177">
        <f t="shared" si="54"/>
        <v>97</v>
      </c>
      <c r="C527" s="153"/>
      <c r="D527" s="138"/>
      <c r="E527" s="157"/>
      <c r="F527" s="138" t="s">
        <v>340</v>
      </c>
      <c r="G527" s="199" t="s">
        <v>591</v>
      </c>
      <c r="H527" s="341"/>
      <c r="I527" s="341"/>
      <c r="J527" s="620"/>
      <c r="K527" s="276"/>
      <c r="L527" s="150">
        <v>23000</v>
      </c>
      <c r="M527" s="335">
        <v>0</v>
      </c>
      <c r="N527" s="638">
        <f>M527/L527*100</f>
        <v>0</v>
      </c>
      <c r="O527" s="276"/>
      <c r="P527" s="805">
        <f t="shared" si="56"/>
        <v>23000</v>
      </c>
      <c r="Q527" s="813">
        <f t="shared" si="56"/>
        <v>0</v>
      </c>
      <c r="R527" s="763">
        <f t="shared" si="55"/>
        <v>0</v>
      </c>
    </row>
    <row r="528" spans="2:18" ht="12.75">
      <c r="B528" s="177">
        <f t="shared" si="54"/>
        <v>98</v>
      </c>
      <c r="C528" s="153"/>
      <c r="D528" s="138"/>
      <c r="E528" s="157"/>
      <c r="F528" s="138" t="s">
        <v>813</v>
      </c>
      <c r="G528" s="199" t="s">
        <v>814</v>
      </c>
      <c r="H528" s="341"/>
      <c r="I528" s="341"/>
      <c r="J528" s="620"/>
      <c r="K528" s="156"/>
      <c r="L528" s="150">
        <v>3000</v>
      </c>
      <c r="M528" s="335">
        <v>0</v>
      </c>
      <c r="N528" s="638">
        <f>M528/L528*100</f>
        <v>0</v>
      </c>
      <c r="O528" s="156"/>
      <c r="P528" s="805">
        <f t="shared" si="56"/>
        <v>3000</v>
      </c>
      <c r="Q528" s="813">
        <f t="shared" si="56"/>
        <v>0</v>
      </c>
      <c r="R528" s="763">
        <f t="shared" si="55"/>
        <v>0</v>
      </c>
    </row>
    <row r="529" spans="2:18" ht="15">
      <c r="B529" s="177">
        <f t="shared" si="54"/>
        <v>99</v>
      </c>
      <c r="C529" s="153"/>
      <c r="D529" s="30" t="s">
        <v>371</v>
      </c>
      <c r="E529" s="263" t="s">
        <v>305</v>
      </c>
      <c r="F529" s="264" t="s">
        <v>374</v>
      </c>
      <c r="G529" s="265"/>
      <c r="H529" s="392">
        <f>H530+H531+H532</f>
        <v>195710</v>
      </c>
      <c r="I529" s="392">
        <f>I530+I531+I532+I537+I538</f>
        <v>79809</v>
      </c>
      <c r="J529" s="620">
        <f t="shared" si="57"/>
        <v>40.779214143375405</v>
      </c>
      <c r="K529" s="306"/>
      <c r="L529" s="459">
        <f>SUM(L531:L540)</f>
        <v>21500</v>
      </c>
      <c r="M529" s="391">
        <f>SUM(M531:M540)</f>
        <v>0</v>
      </c>
      <c r="N529" s="638">
        <f>M529/L529*100</f>
        <v>0</v>
      </c>
      <c r="O529" s="306"/>
      <c r="P529" s="828">
        <f t="shared" si="56"/>
        <v>217210</v>
      </c>
      <c r="Q529" s="842">
        <f t="shared" si="56"/>
        <v>79809</v>
      </c>
      <c r="R529" s="763">
        <f t="shared" si="55"/>
        <v>36.74278348142351</v>
      </c>
    </row>
    <row r="530" spans="2:18" ht="12.75">
      <c r="B530" s="177">
        <f t="shared" si="54"/>
        <v>100</v>
      </c>
      <c r="C530" s="153"/>
      <c r="D530" s="154"/>
      <c r="E530" s="154"/>
      <c r="F530" s="154" t="s">
        <v>214</v>
      </c>
      <c r="G530" s="206" t="s">
        <v>543</v>
      </c>
      <c r="H530" s="346">
        <f>96730+11350+67</f>
        <v>108147</v>
      </c>
      <c r="I530" s="346">
        <v>48189</v>
      </c>
      <c r="J530" s="620">
        <f t="shared" si="57"/>
        <v>44.558794973508284</v>
      </c>
      <c r="K530" s="156"/>
      <c r="L530" s="150"/>
      <c r="M530" s="335"/>
      <c r="N530" s="620"/>
      <c r="O530" s="156"/>
      <c r="P530" s="801">
        <f t="shared" si="56"/>
        <v>108147</v>
      </c>
      <c r="Q530" s="809">
        <f t="shared" si="56"/>
        <v>48189</v>
      </c>
      <c r="R530" s="763">
        <f t="shared" si="55"/>
        <v>44.558794973508284</v>
      </c>
    </row>
    <row r="531" spans="2:18" ht="12.75">
      <c r="B531" s="177">
        <f t="shared" si="54"/>
        <v>101</v>
      </c>
      <c r="C531" s="153"/>
      <c r="D531" s="154"/>
      <c r="E531" s="154"/>
      <c r="F531" s="154" t="s">
        <v>215</v>
      </c>
      <c r="G531" s="206" t="s">
        <v>264</v>
      </c>
      <c r="H531" s="346">
        <f>36230+3580+23</f>
        <v>39833</v>
      </c>
      <c r="I531" s="346">
        <v>17784</v>
      </c>
      <c r="J531" s="620">
        <f t="shared" si="57"/>
        <v>44.6463987146336</v>
      </c>
      <c r="K531" s="156"/>
      <c r="L531" s="150"/>
      <c r="M531" s="339"/>
      <c r="N531" s="620"/>
      <c r="O531" s="156"/>
      <c r="P531" s="801">
        <f t="shared" si="56"/>
        <v>39833</v>
      </c>
      <c r="Q531" s="809">
        <f t="shared" si="56"/>
        <v>17784</v>
      </c>
      <c r="R531" s="763">
        <f t="shared" si="55"/>
        <v>44.6463987146336</v>
      </c>
    </row>
    <row r="532" spans="2:18" ht="12.75">
      <c r="B532" s="177">
        <f t="shared" si="54"/>
        <v>102</v>
      </c>
      <c r="C532" s="153"/>
      <c r="D532" s="154"/>
      <c r="E532" s="154"/>
      <c r="F532" s="154" t="s">
        <v>221</v>
      </c>
      <c r="G532" s="206" t="s">
        <v>360</v>
      </c>
      <c r="H532" s="346">
        <f>H533+H534+H535+H536</f>
        <v>47730</v>
      </c>
      <c r="I532" s="346">
        <f>I533+I534+I535+I536</f>
        <v>13300</v>
      </c>
      <c r="J532" s="620">
        <f t="shared" si="57"/>
        <v>27.86507437670228</v>
      </c>
      <c r="K532" s="156"/>
      <c r="L532" s="647"/>
      <c r="M532" s="339"/>
      <c r="N532" s="620"/>
      <c r="O532" s="156"/>
      <c r="P532" s="801">
        <f t="shared" si="56"/>
        <v>47730</v>
      </c>
      <c r="Q532" s="809">
        <f t="shared" si="56"/>
        <v>13300</v>
      </c>
      <c r="R532" s="763">
        <f t="shared" si="55"/>
        <v>27.86507437670228</v>
      </c>
    </row>
    <row r="533" spans="2:18" ht="12.75">
      <c r="B533" s="177">
        <f t="shared" si="54"/>
        <v>103</v>
      </c>
      <c r="C533" s="153"/>
      <c r="D533" s="138"/>
      <c r="E533" s="138"/>
      <c r="F533" s="138" t="s">
        <v>202</v>
      </c>
      <c r="G533" s="199" t="s">
        <v>335</v>
      </c>
      <c r="H533" s="335">
        <f>35010-1500</f>
        <v>33510</v>
      </c>
      <c r="I533" s="335">
        <v>9296</v>
      </c>
      <c r="J533" s="620">
        <f t="shared" si="57"/>
        <v>27.740972843927185</v>
      </c>
      <c r="K533" s="156"/>
      <c r="L533" s="647"/>
      <c r="M533" s="339"/>
      <c r="N533" s="620"/>
      <c r="O533" s="156"/>
      <c r="P533" s="802">
        <f t="shared" si="56"/>
        <v>33510</v>
      </c>
      <c r="Q533" s="810">
        <f t="shared" si="56"/>
        <v>9296</v>
      </c>
      <c r="R533" s="763">
        <f t="shared" si="55"/>
        <v>27.740972843927185</v>
      </c>
    </row>
    <row r="534" spans="2:18" ht="12.75">
      <c r="B534" s="177">
        <f t="shared" si="54"/>
        <v>104</v>
      </c>
      <c r="C534" s="153"/>
      <c r="D534" s="138"/>
      <c r="E534" s="138"/>
      <c r="F534" s="138" t="s">
        <v>203</v>
      </c>
      <c r="G534" s="199" t="s">
        <v>251</v>
      </c>
      <c r="H534" s="335">
        <f>6490+3400</f>
        <v>9890</v>
      </c>
      <c r="I534" s="335">
        <v>1548</v>
      </c>
      <c r="J534" s="620">
        <f t="shared" si="57"/>
        <v>15.65217391304348</v>
      </c>
      <c r="K534" s="156"/>
      <c r="L534" s="647"/>
      <c r="M534" s="339"/>
      <c r="N534" s="620"/>
      <c r="O534" s="156"/>
      <c r="P534" s="802">
        <f t="shared" si="56"/>
        <v>9890</v>
      </c>
      <c r="Q534" s="810">
        <f t="shared" si="56"/>
        <v>1548</v>
      </c>
      <c r="R534" s="763">
        <f t="shared" si="55"/>
        <v>15.65217391304348</v>
      </c>
    </row>
    <row r="535" spans="2:18" ht="12.75">
      <c r="B535" s="177">
        <f t="shared" si="54"/>
        <v>105</v>
      </c>
      <c r="C535" s="153"/>
      <c r="D535" s="138"/>
      <c r="E535" s="157"/>
      <c r="F535" s="138" t="s">
        <v>217</v>
      </c>
      <c r="G535" s="199" t="s">
        <v>266</v>
      </c>
      <c r="H535" s="335">
        <v>150</v>
      </c>
      <c r="I535" s="335">
        <v>0</v>
      </c>
      <c r="J535" s="620">
        <f t="shared" si="57"/>
        <v>0</v>
      </c>
      <c r="K535" s="156"/>
      <c r="L535" s="647"/>
      <c r="M535" s="339"/>
      <c r="N535" s="620"/>
      <c r="O535" s="156"/>
      <c r="P535" s="802">
        <f t="shared" si="56"/>
        <v>150</v>
      </c>
      <c r="Q535" s="810">
        <f t="shared" si="56"/>
        <v>0</v>
      </c>
      <c r="R535" s="763">
        <f t="shared" si="55"/>
        <v>0</v>
      </c>
    </row>
    <row r="536" spans="2:18" ht="12.75">
      <c r="B536" s="177">
        <f t="shared" si="54"/>
        <v>106</v>
      </c>
      <c r="C536" s="153"/>
      <c r="D536" s="138"/>
      <c r="E536" s="157"/>
      <c r="F536" s="138" t="s">
        <v>219</v>
      </c>
      <c r="G536" s="199" t="s">
        <v>252</v>
      </c>
      <c r="H536" s="335">
        <f>3180+1000</f>
        <v>4180</v>
      </c>
      <c r="I536" s="335">
        <v>2456</v>
      </c>
      <c r="J536" s="620">
        <f t="shared" si="57"/>
        <v>58.75598086124402</v>
      </c>
      <c r="K536" s="156"/>
      <c r="L536" s="647"/>
      <c r="M536" s="339"/>
      <c r="N536" s="620"/>
      <c r="O536" s="156"/>
      <c r="P536" s="802">
        <f t="shared" si="56"/>
        <v>4180</v>
      </c>
      <c r="Q536" s="810">
        <f t="shared" si="56"/>
        <v>2456</v>
      </c>
      <c r="R536" s="763">
        <f t="shared" si="55"/>
        <v>58.75598086124402</v>
      </c>
    </row>
    <row r="537" spans="2:18" ht="12.75">
      <c r="B537" s="177">
        <f t="shared" si="54"/>
        <v>107</v>
      </c>
      <c r="C537" s="153"/>
      <c r="D537" s="138"/>
      <c r="E537" s="157"/>
      <c r="F537" s="277" t="s">
        <v>850</v>
      </c>
      <c r="G537" s="671" t="s">
        <v>871</v>
      </c>
      <c r="H537" s="346">
        <v>0</v>
      </c>
      <c r="I537" s="530">
        <v>281</v>
      </c>
      <c r="J537" s="887"/>
      <c r="K537" s="156"/>
      <c r="L537" s="645"/>
      <c r="M537" s="354"/>
      <c r="N537" s="887"/>
      <c r="O537" s="156"/>
      <c r="P537" s="801">
        <f t="shared" si="56"/>
        <v>0</v>
      </c>
      <c r="Q537" s="809">
        <f t="shared" si="56"/>
        <v>281</v>
      </c>
      <c r="R537" s="763"/>
    </row>
    <row r="538" spans="2:18" ht="12.75">
      <c r="B538" s="177">
        <f t="shared" si="54"/>
        <v>108</v>
      </c>
      <c r="C538" s="153"/>
      <c r="D538" s="138"/>
      <c r="E538" s="157"/>
      <c r="F538" s="154" t="s">
        <v>850</v>
      </c>
      <c r="G538" s="672" t="s">
        <v>872</v>
      </c>
      <c r="H538" s="346">
        <v>0</v>
      </c>
      <c r="I538" s="530">
        <v>255</v>
      </c>
      <c r="J538" s="887"/>
      <c r="K538" s="156"/>
      <c r="L538" s="645"/>
      <c r="M538" s="354"/>
      <c r="N538" s="887"/>
      <c r="O538" s="156"/>
      <c r="P538" s="801">
        <f t="shared" si="56"/>
        <v>0</v>
      </c>
      <c r="Q538" s="809">
        <f t="shared" si="56"/>
        <v>255</v>
      </c>
      <c r="R538" s="763"/>
    </row>
    <row r="539" spans="2:18" ht="12.75">
      <c r="B539" s="177">
        <f t="shared" si="54"/>
        <v>109</v>
      </c>
      <c r="C539" s="153"/>
      <c r="D539" s="138"/>
      <c r="E539" s="157"/>
      <c r="F539" s="138" t="s">
        <v>340</v>
      </c>
      <c r="G539" s="199" t="s">
        <v>740</v>
      </c>
      <c r="H539" s="335"/>
      <c r="I539" s="335"/>
      <c r="J539" s="620"/>
      <c r="K539" s="156"/>
      <c r="L539" s="647">
        <v>10000</v>
      </c>
      <c r="M539" s="339">
        <v>0</v>
      </c>
      <c r="N539" s="638">
        <f>M539/L539*100</f>
        <v>0</v>
      </c>
      <c r="O539" s="156"/>
      <c r="P539" s="802">
        <f t="shared" si="56"/>
        <v>10000</v>
      </c>
      <c r="Q539" s="810">
        <f t="shared" si="56"/>
        <v>0</v>
      </c>
      <c r="R539" s="763">
        <f t="shared" si="55"/>
        <v>0</v>
      </c>
    </row>
    <row r="540" spans="2:18" ht="12.75">
      <c r="B540" s="177">
        <f t="shared" si="54"/>
        <v>110</v>
      </c>
      <c r="C540" s="153"/>
      <c r="D540" s="138"/>
      <c r="E540" s="157"/>
      <c r="F540" s="281" t="s">
        <v>340</v>
      </c>
      <c r="G540" s="199" t="s">
        <v>798</v>
      </c>
      <c r="H540" s="335"/>
      <c r="I540" s="335"/>
      <c r="J540" s="620"/>
      <c r="K540" s="156"/>
      <c r="L540" s="647">
        <v>11500</v>
      </c>
      <c r="M540" s="339">
        <v>0</v>
      </c>
      <c r="N540" s="638">
        <f>M540/L540*100</f>
        <v>0</v>
      </c>
      <c r="O540" s="156"/>
      <c r="P540" s="802">
        <f t="shared" si="56"/>
        <v>11500</v>
      </c>
      <c r="Q540" s="810">
        <f t="shared" si="56"/>
        <v>0</v>
      </c>
      <c r="R540" s="763">
        <f t="shared" si="55"/>
        <v>0</v>
      </c>
    </row>
    <row r="541" spans="2:18" ht="15">
      <c r="B541" s="177">
        <f t="shared" si="54"/>
        <v>111</v>
      </c>
      <c r="C541" s="153"/>
      <c r="D541" s="30" t="s">
        <v>373</v>
      </c>
      <c r="E541" s="180" t="s">
        <v>305</v>
      </c>
      <c r="F541" s="158" t="s">
        <v>375</v>
      </c>
      <c r="G541" s="239"/>
      <c r="H541" s="390">
        <f>H542+H544+H543</f>
        <v>124275</v>
      </c>
      <c r="I541" s="390">
        <f>I542+I544+I543+I549</f>
        <v>64640</v>
      </c>
      <c r="J541" s="620">
        <f t="shared" si="57"/>
        <v>52.013679340173</v>
      </c>
      <c r="K541" s="306"/>
      <c r="L541" s="856"/>
      <c r="M541" s="877"/>
      <c r="N541" s="620"/>
      <c r="O541" s="306"/>
      <c r="P541" s="826">
        <f t="shared" si="56"/>
        <v>124275</v>
      </c>
      <c r="Q541" s="840">
        <f t="shared" si="56"/>
        <v>64640</v>
      </c>
      <c r="R541" s="763">
        <f t="shared" si="55"/>
        <v>52.013679340173</v>
      </c>
    </row>
    <row r="542" spans="2:18" ht="12.75">
      <c r="B542" s="177">
        <f t="shared" si="54"/>
        <v>112</v>
      </c>
      <c r="C542" s="153"/>
      <c r="D542" s="154"/>
      <c r="E542" s="154"/>
      <c r="F542" s="154" t="s">
        <v>214</v>
      </c>
      <c r="G542" s="206" t="s">
        <v>543</v>
      </c>
      <c r="H542" s="346">
        <f>75430-1680+63</f>
        <v>73813</v>
      </c>
      <c r="I542" s="346">
        <v>37282</v>
      </c>
      <c r="J542" s="620">
        <f t="shared" si="57"/>
        <v>50.5087179765082</v>
      </c>
      <c r="K542" s="156"/>
      <c r="L542" s="647"/>
      <c r="M542" s="339"/>
      <c r="N542" s="620"/>
      <c r="O542" s="156"/>
      <c r="P542" s="801">
        <f t="shared" si="56"/>
        <v>73813</v>
      </c>
      <c r="Q542" s="809">
        <f t="shared" si="56"/>
        <v>37282</v>
      </c>
      <c r="R542" s="763">
        <f t="shared" si="55"/>
        <v>50.5087179765082</v>
      </c>
    </row>
    <row r="543" spans="2:18" ht="12.75">
      <c r="B543" s="177">
        <f t="shared" si="54"/>
        <v>113</v>
      </c>
      <c r="C543" s="153"/>
      <c r="D543" s="154"/>
      <c r="E543" s="154"/>
      <c r="F543" s="154" t="s">
        <v>215</v>
      </c>
      <c r="G543" s="206" t="s">
        <v>264</v>
      </c>
      <c r="H543" s="346">
        <f>28260-660+22</f>
        <v>27622</v>
      </c>
      <c r="I543" s="346">
        <v>13654</v>
      </c>
      <c r="J543" s="620">
        <f t="shared" si="57"/>
        <v>49.43161248280356</v>
      </c>
      <c r="K543" s="156"/>
      <c r="L543" s="647"/>
      <c r="M543" s="339"/>
      <c r="N543" s="620"/>
      <c r="O543" s="156"/>
      <c r="P543" s="801">
        <f t="shared" si="56"/>
        <v>27622</v>
      </c>
      <c r="Q543" s="809">
        <f t="shared" si="56"/>
        <v>13654</v>
      </c>
      <c r="R543" s="763">
        <f t="shared" si="55"/>
        <v>49.43161248280356</v>
      </c>
    </row>
    <row r="544" spans="2:18" ht="12.75">
      <c r="B544" s="177">
        <f t="shared" si="54"/>
        <v>114</v>
      </c>
      <c r="C544" s="153"/>
      <c r="D544" s="154"/>
      <c r="E544" s="154"/>
      <c r="F544" s="154" t="s">
        <v>221</v>
      </c>
      <c r="G544" s="206" t="s">
        <v>360</v>
      </c>
      <c r="H544" s="346">
        <f>H545+H546+H547+H548</f>
        <v>22840</v>
      </c>
      <c r="I544" s="346">
        <f>I545+I546+I547+I548</f>
        <v>13609</v>
      </c>
      <c r="J544" s="620">
        <f t="shared" si="57"/>
        <v>59.58406304728546</v>
      </c>
      <c r="K544" s="156"/>
      <c r="L544" s="647"/>
      <c r="M544" s="339"/>
      <c r="N544" s="620"/>
      <c r="O544" s="156"/>
      <c r="P544" s="801">
        <f t="shared" si="56"/>
        <v>22840</v>
      </c>
      <c r="Q544" s="809">
        <f t="shared" si="56"/>
        <v>13609</v>
      </c>
      <c r="R544" s="763">
        <f t="shared" si="55"/>
        <v>59.58406304728546</v>
      </c>
    </row>
    <row r="545" spans="2:18" ht="12.75">
      <c r="B545" s="177">
        <f t="shared" si="54"/>
        <v>115</v>
      </c>
      <c r="C545" s="153"/>
      <c r="D545" s="138"/>
      <c r="E545" s="138"/>
      <c r="F545" s="138" t="s">
        <v>202</v>
      </c>
      <c r="G545" s="199" t="s">
        <v>335</v>
      </c>
      <c r="H545" s="335">
        <f>16530-1000</f>
        <v>15530</v>
      </c>
      <c r="I545" s="335">
        <v>11514</v>
      </c>
      <c r="J545" s="620">
        <f t="shared" si="57"/>
        <v>74.14037347070187</v>
      </c>
      <c r="K545" s="156"/>
      <c r="L545" s="647"/>
      <c r="M545" s="339"/>
      <c r="N545" s="620"/>
      <c r="O545" s="156"/>
      <c r="P545" s="802">
        <f t="shared" si="56"/>
        <v>15530</v>
      </c>
      <c r="Q545" s="810">
        <f t="shared" si="56"/>
        <v>11514</v>
      </c>
      <c r="R545" s="763">
        <f t="shared" si="55"/>
        <v>74.14037347070187</v>
      </c>
    </row>
    <row r="546" spans="2:18" ht="12.75">
      <c r="B546" s="177">
        <f t="shared" si="54"/>
        <v>116</v>
      </c>
      <c r="C546" s="153"/>
      <c r="D546" s="138"/>
      <c r="E546" s="138"/>
      <c r="F546" s="138" t="s">
        <v>203</v>
      </c>
      <c r="G546" s="199" t="s">
        <v>251</v>
      </c>
      <c r="H546" s="335">
        <f>3700+600+260</f>
        <v>4560</v>
      </c>
      <c r="I546" s="335">
        <v>766</v>
      </c>
      <c r="J546" s="620">
        <f t="shared" si="57"/>
        <v>16.798245614035086</v>
      </c>
      <c r="K546" s="156"/>
      <c r="L546" s="647"/>
      <c r="M546" s="339"/>
      <c r="N546" s="620"/>
      <c r="O546" s="156"/>
      <c r="P546" s="802">
        <f t="shared" si="56"/>
        <v>4560</v>
      </c>
      <c r="Q546" s="810">
        <f t="shared" si="56"/>
        <v>766</v>
      </c>
      <c r="R546" s="763">
        <f t="shared" si="55"/>
        <v>16.798245614035086</v>
      </c>
    </row>
    <row r="547" spans="2:18" ht="12.75">
      <c r="B547" s="177">
        <f t="shared" si="54"/>
        <v>117</v>
      </c>
      <c r="C547" s="153"/>
      <c r="D547" s="138"/>
      <c r="E547" s="157"/>
      <c r="F547" s="138" t="s">
        <v>217</v>
      </c>
      <c r="G547" s="199" t="s">
        <v>266</v>
      </c>
      <c r="H547" s="335">
        <v>150</v>
      </c>
      <c r="I547" s="335">
        <v>12</v>
      </c>
      <c r="J547" s="620">
        <f t="shared" si="57"/>
        <v>8</v>
      </c>
      <c r="K547" s="156"/>
      <c r="L547" s="647"/>
      <c r="M547" s="339"/>
      <c r="N547" s="620"/>
      <c r="O547" s="156"/>
      <c r="P547" s="802">
        <f t="shared" si="56"/>
        <v>150</v>
      </c>
      <c r="Q547" s="810">
        <f t="shared" si="56"/>
        <v>12</v>
      </c>
      <c r="R547" s="763">
        <f t="shared" si="55"/>
        <v>8</v>
      </c>
    </row>
    <row r="548" spans="2:18" ht="12.75">
      <c r="B548" s="177">
        <f t="shared" si="54"/>
        <v>118</v>
      </c>
      <c r="C548" s="153"/>
      <c r="D548" s="138"/>
      <c r="E548" s="157"/>
      <c r="F548" s="138" t="s">
        <v>219</v>
      </c>
      <c r="G548" s="199" t="s">
        <v>252</v>
      </c>
      <c r="H548" s="335">
        <f>2490+110</f>
        <v>2600</v>
      </c>
      <c r="I548" s="335">
        <v>1317</v>
      </c>
      <c r="J548" s="620">
        <f t="shared" si="57"/>
        <v>50.653846153846146</v>
      </c>
      <c r="K548" s="156"/>
      <c r="L548" s="647"/>
      <c r="M548" s="339"/>
      <c r="N548" s="620"/>
      <c r="O548" s="156"/>
      <c r="P548" s="802">
        <f t="shared" si="56"/>
        <v>2600</v>
      </c>
      <c r="Q548" s="810">
        <f t="shared" si="56"/>
        <v>1317</v>
      </c>
      <c r="R548" s="763">
        <f t="shared" si="55"/>
        <v>50.653846153846146</v>
      </c>
    </row>
    <row r="549" spans="2:18" ht="12.75">
      <c r="B549" s="177">
        <f t="shared" si="54"/>
        <v>119</v>
      </c>
      <c r="C549" s="153"/>
      <c r="D549" s="138"/>
      <c r="E549" s="157"/>
      <c r="F549" s="154" t="s">
        <v>850</v>
      </c>
      <c r="G549" s="672" t="s">
        <v>866</v>
      </c>
      <c r="H549" s="346">
        <v>0</v>
      </c>
      <c r="I549" s="530">
        <v>95</v>
      </c>
      <c r="J549" s="887"/>
      <c r="K549" s="156"/>
      <c r="L549" s="645"/>
      <c r="M549" s="354"/>
      <c r="N549" s="887"/>
      <c r="O549" s="156"/>
      <c r="P549" s="801">
        <f t="shared" si="56"/>
        <v>0</v>
      </c>
      <c r="Q549" s="809">
        <f t="shared" si="56"/>
        <v>95</v>
      </c>
      <c r="R549" s="763"/>
    </row>
    <row r="550" spans="2:18" ht="15">
      <c r="B550" s="177">
        <f t="shared" si="54"/>
        <v>120</v>
      </c>
      <c r="C550" s="153"/>
      <c r="D550" s="30" t="s">
        <v>376</v>
      </c>
      <c r="E550" s="180" t="s">
        <v>305</v>
      </c>
      <c r="F550" s="158" t="s">
        <v>377</v>
      </c>
      <c r="G550" s="239"/>
      <c r="H550" s="390">
        <f>H551+H552+H553</f>
        <v>66755</v>
      </c>
      <c r="I550" s="390">
        <f>I551+I552+I553</f>
        <v>28105</v>
      </c>
      <c r="J550" s="620">
        <f t="shared" si="57"/>
        <v>42.101715227323794</v>
      </c>
      <c r="K550" s="306"/>
      <c r="L550" s="856"/>
      <c r="M550" s="877"/>
      <c r="N550" s="620"/>
      <c r="O550" s="306"/>
      <c r="P550" s="826">
        <f t="shared" si="56"/>
        <v>66755</v>
      </c>
      <c r="Q550" s="840">
        <f t="shared" si="56"/>
        <v>28105</v>
      </c>
      <c r="R550" s="763">
        <f t="shared" si="55"/>
        <v>42.101715227323794</v>
      </c>
    </row>
    <row r="551" spans="2:18" ht="12.75">
      <c r="B551" s="177">
        <f t="shared" si="54"/>
        <v>121</v>
      </c>
      <c r="C551" s="153"/>
      <c r="D551" s="154"/>
      <c r="E551" s="154"/>
      <c r="F551" s="154" t="s">
        <v>214</v>
      </c>
      <c r="G551" s="206" t="s">
        <v>543</v>
      </c>
      <c r="H551" s="346">
        <f>37290+3020+59</f>
        <v>40369</v>
      </c>
      <c r="I551" s="346">
        <v>17956</v>
      </c>
      <c r="J551" s="620">
        <f t="shared" si="57"/>
        <v>44.47967499814214</v>
      </c>
      <c r="K551" s="156"/>
      <c r="L551" s="647"/>
      <c r="M551" s="339"/>
      <c r="N551" s="620"/>
      <c r="O551" s="156"/>
      <c r="P551" s="801">
        <f t="shared" si="56"/>
        <v>40369</v>
      </c>
      <c r="Q551" s="809">
        <f t="shared" si="56"/>
        <v>17956</v>
      </c>
      <c r="R551" s="763">
        <f t="shared" si="55"/>
        <v>44.47967499814214</v>
      </c>
    </row>
    <row r="552" spans="2:18" ht="12.75">
      <c r="B552" s="177">
        <f t="shared" si="54"/>
        <v>122</v>
      </c>
      <c r="C552" s="153"/>
      <c r="D552" s="154"/>
      <c r="E552" s="154"/>
      <c r="F552" s="154" t="s">
        <v>215</v>
      </c>
      <c r="G552" s="206" t="s">
        <v>264</v>
      </c>
      <c r="H552" s="346">
        <f>13930+970+21</f>
        <v>14921</v>
      </c>
      <c r="I552" s="346">
        <v>6150</v>
      </c>
      <c r="J552" s="620">
        <f t="shared" si="57"/>
        <v>41.21707660344481</v>
      </c>
      <c r="K552" s="156"/>
      <c r="L552" s="647"/>
      <c r="M552" s="339"/>
      <c r="N552" s="620"/>
      <c r="O552" s="156"/>
      <c r="P552" s="801">
        <f aca="true" t="shared" si="58" ref="P552:Q585">H552+L552</f>
        <v>14921</v>
      </c>
      <c r="Q552" s="809">
        <f t="shared" si="58"/>
        <v>6150</v>
      </c>
      <c r="R552" s="763">
        <f t="shared" si="55"/>
        <v>41.21707660344481</v>
      </c>
    </row>
    <row r="553" spans="2:18" ht="12.75">
      <c r="B553" s="177">
        <f t="shared" si="54"/>
        <v>123</v>
      </c>
      <c r="C553" s="153"/>
      <c r="D553" s="154"/>
      <c r="E553" s="154"/>
      <c r="F553" s="154" t="s">
        <v>221</v>
      </c>
      <c r="G553" s="206" t="s">
        <v>360</v>
      </c>
      <c r="H553" s="346">
        <f>H554+H555+H556+H557</f>
        <v>11465</v>
      </c>
      <c r="I553" s="346">
        <f>I554+I555+I556+I557</f>
        <v>3999</v>
      </c>
      <c r="J553" s="620">
        <f t="shared" si="57"/>
        <v>34.88006977758395</v>
      </c>
      <c r="K553" s="156"/>
      <c r="L553" s="647"/>
      <c r="M553" s="339"/>
      <c r="N553" s="620"/>
      <c r="O553" s="156"/>
      <c r="P553" s="801">
        <f t="shared" si="58"/>
        <v>11465</v>
      </c>
      <c r="Q553" s="809">
        <f t="shared" si="58"/>
        <v>3999</v>
      </c>
      <c r="R553" s="763">
        <f t="shared" si="55"/>
        <v>34.88006977758395</v>
      </c>
    </row>
    <row r="554" spans="2:18" ht="12.75">
      <c r="B554" s="177">
        <f t="shared" si="54"/>
        <v>124</v>
      </c>
      <c r="C554" s="153"/>
      <c r="D554" s="138"/>
      <c r="E554" s="138"/>
      <c r="F554" s="138" t="s">
        <v>202</v>
      </c>
      <c r="G554" s="199" t="s">
        <v>335</v>
      </c>
      <c r="H554" s="335">
        <f>7590-1190</f>
        <v>6400</v>
      </c>
      <c r="I554" s="335">
        <v>2787</v>
      </c>
      <c r="J554" s="620">
        <f t="shared" si="57"/>
        <v>43.546875</v>
      </c>
      <c r="K554" s="156"/>
      <c r="L554" s="647"/>
      <c r="M554" s="339"/>
      <c r="N554" s="620"/>
      <c r="O554" s="156"/>
      <c r="P554" s="802">
        <f t="shared" si="58"/>
        <v>6400</v>
      </c>
      <c r="Q554" s="810">
        <f t="shared" si="58"/>
        <v>2787</v>
      </c>
      <c r="R554" s="763">
        <f t="shared" si="55"/>
        <v>43.546875</v>
      </c>
    </row>
    <row r="555" spans="2:18" ht="12.75">
      <c r="B555" s="177">
        <f t="shared" si="54"/>
        <v>125</v>
      </c>
      <c r="C555" s="153"/>
      <c r="D555" s="138"/>
      <c r="E555" s="138"/>
      <c r="F555" s="138" t="s">
        <v>203</v>
      </c>
      <c r="G555" s="199" t="s">
        <v>251</v>
      </c>
      <c r="H555" s="335">
        <f>2370+1200</f>
        <v>3570</v>
      </c>
      <c r="I555" s="335">
        <v>479</v>
      </c>
      <c r="J555" s="620">
        <f t="shared" si="57"/>
        <v>13.417366946778712</v>
      </c>
      <c r="K555" s="156"/>
      <c r="L555" s="647"/>
      <c r="M555" s="339"/>
      <c r="N555" s="620"/>
      <c r="O555" s="156"/>
      <c r="P555" s="802">
        <f t="shared" si="58"/>
        <v>3570</v>
      </c>
      <c r="Q555" s="810">
        <f t="shared" si="58"/>
        <v>479</v>
      </c>
      <c r="R555" s="763">
        <f t="shared" si="55"/>
        <v>13.417366946778712</v>
      </c>
    </row>
    <row r="556" spans="2:18" ht="12.75">
      <c r="B556" s="177">
        <f t="shared" si="54"/>
        <v>126</v>
      </c>
      <c r="C556" s="153"/>
      <c r="D556" s="138"/>
      <c r="E556" s="157"/>
      <c r="F556" s="138" t="s">
        <v>217</v>
      </c>
      <c r="G556" s="199" t="s">
        <v>266</v>
      </c>
      <c r="H556" s="335">
        <v>150</v>
      </c>
      <c r="I556" s="356">
        <v>733</v>
      </c>
      <c r="J556" s="620">
        <f t="shared" si="57"/>
        <v>488.6666666666667</v>
      </c>
      <c r="K556" s="156"/>
      <c r="L556" s="647"/>
      <c r="M556" s="339"/>
      <c r="N556" s="620"/>
      <c r="O556" s="156"/>
      <c r="P556" s="802">
        <f t="shared" si="58"/>
        <v>150</v>
      </c>
      <c r="Q556" s="810">
        <f t="shared" si="58"/>
        <v>733</v>
      </c>
      <c r="R556" s="763">
        <f t="shared" si="55"/>
        <v>488.6666666666667</v>
      </c>
    </row>
    <row r="557" spans="2:18" ht="12.75">
      <c r="B557" s="177">
        <f t="shared" si="54"/>
        <v>127</v>
      </c>
      <c r="C557" s="153"/>
      <c r="D557" s="138"/>
      <c r="E557" s="157"/>
      <c r="F557" s="138" t="s">
        <v>219</v>
      </c>
      <c r="G557" s="199" t="s">
        <v>252</v>
      </c>
      <c r="H557" s="335">
        <f>1145+200</f>
        <v>1345</v>
      </c>
      <c r="I557" s="335">
        <v>0</v>
      </c>
      <c r="J557" s="620">
        <f t="shared" si="57"/>
        <v>0</v>
      </c>
      <c r="K557" s="156"/>
      <c r="L557" s="647"/>
      <c r="M557" s="339"/>
      <c r="N557" s="620"/>
      <c r="O557" s="156"/>
      <c r="P557" s="802">
        <f t="shared" si="58"/>
        <v>1345</v>
      </c>
      <c r="Q557" s="810">
        <f t="shared" si="58"/>
        <v>0</v>
      </c>
      <c r="R557" s="763">
        <f t="shared" si="55"/>
        <v>0</v>
      </c>
    </row>
    <row r="558" spans="2:18" ht="15">
      <c r="B558" s="177">
        <f t="shared" si="54"/>
        <v>128</v>
      </c>
      <c r="C558" s="153"/>
      <c r="D558" s="30" t="s">
        <v>378</v>
      </c>
      <c r="E558" s="180" t="s">
        <v>305</v>
      </c>
      <c r="F558" s="158" t="s">
        <v>379</v>
      </c>
      <c r="G558" s="239"/>
      <c r="H558" s="390">
        <f>H559+H560+H561</f>
        <v>78235</v>
      </c>
      <c r="I558" s="390">
        <f>I559+I560+I561+I566+I567</f>
        <v>41889</v>
      </c>
      <c r="J558" s="620">
        <f t="shared" si="57"/>
        <v>53.54253211478238</v>
      </c>
      <c r="K558" s="306"/>
      <c r="L558" s="854">
        <f>SUM(L560:L568)</f>
        <v>34000</v>
      </c>
      <c r="M558" s="875">
        <f>SUM(M560:M568)</f>
        <v>0</v>
      </c>
      <c r="N558" s="638">
        <f>M558/L558*100</f>
        <v>0</v>
      </c>
      <c r="O558" s="306"/>
      <c r="P558" s="826">
        <f t="shared" si="58"/>
        <v>112235</v>
      </c>
      <c r="Q558" s="840">
        <f t="shared" si="58"/>
        <v>41889</v>
      </c>
      <c r="R558" s="763">
        <f t="shared" si="55"/>
        <v>37.322582082238156</v>
      </c>
    </row>
    <row r="559" spans="2:18" ht="12.75">
      <c r="B559" s="177">
        <f t="shared" si="54"/>
        <v>129</v>
      </c>
      <c r="C559" s="153"/>
      <c r="D559" s="154"/>
      <c r="E559" s="154"/>
      <c r="F559" s="154" t="s">
        <v>214</v>
      </c>
      <c r="G559" s="206" t="s">
        <v>543</v>
      </c>
      <c r="H559" s="346">
        <f>46190+4100+48</f>
        <v>50338</v>
      </c>
      <c r="I559" s="346">
        <v>23673</v>
      </c>
      <c r="J559" s="620">
        <f t="shared" si="57"/>
        <v>47.02809011085065</v>
      </c>
      <c r="K559" s="156"/>
      <c r="L559" s="647"/>
      <c r="M559" s="339"/>
      <c r="N559" s="620"/>
      <c r="O559" s="156"/>
      <c r="P559" s="801">
        <f t="shared" si="58"/>
        <v>50338</v>
      </c>
      <c r="Q559" s="809">
        <f t="shared" si="58"/>
        <v>23673</v>
      </c>
      <c r="R559" s="763">
        <f t="shared" si="55"/>
        <v>47.02809011085065</v>
      </c>
    </row>
    <row r="560" spans="2:18" ht="12.75">
      <c r="B560" s="177">
        <f aca="true" t="shared" si="59" ref="B560:B622">B559+1</f>
        <v>130</v>
      </c>
      <c r="C560" s="153"/>
      <c r="D560" s="154"/>
      <c r="E560" s="154"/>
      <c r="F560" s="154" t="s">
        <v>215</v>
      </c>
      <c r="G560" s="206" t="s">
        <v>264</v>
      </c>
      <c r="H560" s="346">
        <f>17290-1240+17</f>
        <v>16067</v>
      </c>
      <c r="I560" s="346">
        <v>8736</v>
      </c>
      <c r="J560" s="620">
        <f t="shared" si="57"/>
        <v>54.37231592705546</v>
      </c>
      <c r="K560" s="156"/>
      <c r="L560" s="647"/>
      <c r="M560" s="339"/>
      <c r="N560" s="620"/>
      <c r="O560" s="156"/>
      <c r="P560" s="801">
        <f t="shared" si="58"/>
        <v>16067</v>
      </c>
      <c r="Q560" s="809">
        <f t="shared" si="58"/>
        <v>8736</v>
      </c>
      <c r="R560" s="763">
        <f t="shared" si="55"/>
        <v>54.37231592705546</v>
      </c>
    </row>
    <row r="561" spans="2:18" ht="12.75">
      <c r="B561" s="177">
        <f t="shared" si="59"/>
        <v>131</v>
      </c>
      <c r="C561" s="153"/>
      <c r="D561" s="154"/>
      <c r="E561" s="154"/>
      <c r="F561" s="154" t="s">
        <v>221</v>
      </c>
      <c r="G561" s="206" t="s">
        <v>360</v>
      </c>
      <c r="H561" s="346">
        <f>H562+H563+H564+H565</f>
        <v>11830</v>
      </c>
      <c r="I561" s="346">
        <f>I562+I563+I564+I565</f>
        <v>9265</v>
      </c>
      <c r="J561" s="620">
        <f t="shared" si="57"/>
        <v>78.31783601014371</v>
      </c>
      <c r="K561" s="156"/>
      <c r="L561" s="647"/>
      <c r="M561" s="339"/>
      <c r="N561" s="620"/>
      <c r="O561" s="156"/>
      <c r="P561" s="801">
        <f t="shared" si="58"/>
        <v>11830</v>
      </c>
      <c r="Q561" s="809">
        <f t="shared" si="58"/>
        <v>9265</v>
      </c>
      <c r="R561" s="763">
        <f t="shared" si="55"/>
        <v>78.31783601014371</v>
      </c>
    </row>
    <row r="562" spans="2:18" ht="12.75">
      <c r="B562" s="177">
        <f t="shared" si="59"/>
        <v>132</v>
      </c>
      <c r="C562" s="153"/>
      <c r="D562" s="138"/>
      <c r="E562" s="138"/>
      <c r="F562" s="138" t="s">
        <v>202</v>
      </c>
      <c r="G562" s="199" t="s">
        <v>335</v>
      </c>
      <c r="H562" s="335">
        <f>7720-700</f>
        <v>7020</v>
      </c>
      <c r="I562" s="356">
        <v>7612</v>
      </c>
      <c r="J562" s="620">
        <f t="shared" si="57"/>
        <v>108.43304843304844</v>
      </c>
      <c r="K562" s="156"/>
      <c r="L562" s="647"/>
      <c r="M562" s="339"/>
      <c r="N562" s="620"/>
      <c r="O562" s="156"/>
      <c r="P562" s="802">
        <f t="shared" si="58"/>
        <v>7020</v>
      </c>
      <c r="Q562" s="810">
        <f t="shared" si="58"/>
        <v>7612</v>
      </c>
      <c r="R562" s="763">
        <f t="shared" si="55"/>
        <v>108.43304843304844</v>
      </c>
    </row>
    <row r="563" spans="2:18" ht="12.75">
      <c r="B563" s="177">
        <f t="shared" si="59"/>
        <v>133</v>
      </c>
      <c r="C563" s="153"/>
      <c r="D563" s="138"/>
      <c r="E563" s="138"/>
      <c r="F563" s="281" t="s">
        <v>203</v>
      </c>
      <c r="G563" s="199" t="s">
        <v>251</v>
      </c>
      <c r="H563" s="335">
        <f>2640+400</f>
        <v>3040</v>
      </c>
      <c r="I563" s="335">
        <v>609</v>
      </c>
      <c r="J563" s="620">
        <f t="shared" si="57"/>
        <v>20.032894736842106</v>
      </c>
      <c r="K563" s="156"/>
      <c r="L563" s="647"/>
      <c r="M563" s="339"/>
      <c r="N563" s="620"/>
      <c r="O563" s="156"/>
      <c r="P563" s="802">
        <f t="shared" si="58"/>
        <v>3040</v>
      </c>
      <c r="Q563" s="810">
        <f t="shared" si="58"/>
        <v>609</v>
      </c>
      <c r="R563" s="763">
        <f t="shared" si="55"/>
        <v>20.032894736842106</v>
      </c>
    </row>
    <row r="564" spans="2:18" ht="12.75">
      <c r="B564" s="177">
        <f t="shared" si="59"/>
        <v>134</v>
      </c>
      <c r="C564" s="153"/>
      <c r="D564" s="138"/>
      <c r="E564" s="157"/>
      <c r="F564" s="138" t="s">
        <v>217</v>
      </c>
      <c r="G564" s="199" t="s">
        <v>266</v>
      </c>
      <c r="H564" s="335">
        <v>150</v>
      </c>
      <c r="I564" s="335">
        <v>65</v>
      </c>
      <c r="J564" s="620">
        <f t="shared" si="57"/>
        <v>43.333333333333336</v>
      </c>
      <c r="K564" s="156"/>
      <c r="L564" s="647"/>
      <c r="M564" s="339"/>
      <c r="N564" s="620"/>
      <c r="O564" s="156"/>
      <c r="P564" s="802">
        <f t="shared" si="58"/>
        <v>150</v>
      </c>
      <c r="Q564" s="810">
        <f t="shared" si="58"/>
        <v>65</v>
      </c>
      <c r="R564" s="763">
        <f t="shared" si="55"/>
        <v>43.333333333333336</v>
      </c>
    </row>
    <row r="565" spans="2:18" ht="12.75">
      <c r="B565" s="177">
        <f t="shared" si="59"/>
        <v>135</v>
      </c>
      <c r="C565" s="153"/>
      <c r="D565" s="138"/>
      <c r="E565" s="157"/>
      <c r="F565" s="138" t="s">
        <v>219</v>
      </c>
      <c r="G565" s="199" t="s">
        <v>252</v>
      </c>
      <c r="H565" s="341">
        <f>1410+210</f>
        <v>1620</v>
      </c>
      <c r="I565" s="341">
        <v>979</v>
      </c>
      <c r="J565" s="620">
        <f t="shared" si="57"/>
        <v>60.432098765432094</v>
      </c>
      <c r="K565" s="303"/>
      <c r="L565" s="647"/>
      <c r="M565" s="339"/>
      <c r="N565" s="620"/>
      <c r="O565" s="303"/>
      <c r="P565" s="802">
        <f t="shared" si="58"/>
        <v>1620</v>
      </c>
      <c r="Q565" s="810">
        <f t="shared" si="58"/>
        <v>979</v>
      </c>
      <c r="R565" s="763">
        <f t="shared" si="55"/>
        <v>60.432098765432094</v>
      </c>
    </row>
    <row r="566" spans="2:18" ht="12.75">
      <c r="B566" s="177">
        <f t="shared" si="59"/>
        <v>136</v>
      </c>
      <c r="C566" s="153"/>
      <c r="D566" s="138"/>
      <c r="E566" s="157"/>
      <c r="F566" s="277" t="s">
        <v>850</v>
      </c>
      <c r="G566" s="671" t="s">
        <v>871</v>
      </c>
      <c r="H566" s="346">
        <v>0</v>
      </c>
      <c r="I566" s="530">
        <v>107</v>
      </c>
      <c r="J566" s="887"/>
      <c r="K566" s="156"/>
      <c r="L566" s="645"/>
      <c r="M566" s="354"/>
      <c r="N566" s="887"/>
      <c r="O566" s="156"/>
      <c r="P566" s="801">
        <f t="shared" si="58"/>
        <v>0</v>
      </c>
      <c r="Q566" s="809">
        <f t="shared" si="58"/>
        <v>107</v>
      </c>
      <c r="R566" s="763"/>
    </row>
    <row r="567" spans="2:18" ht="12.75">
      <c r="B567" s="177">
        <f t="shared" si="59"/>
        <v>137</v>
      </c>
      <c r="C567" s="153"/>
      <c r="D567" s="138"/>
      <c r="E567" s="157"/>
      <c r="F567" s="154" t="s">
        <v>850</v>
      </c>
      <c r="G567" s="672" t="s">
        <v>872</v>
      </c>
      <c r="H567" s="346">
        <v>0</v>
      </c>
      <c r="I567" s="530">
        <v>108</v>
      </c>
      <c r="J567" s="887"/>
      <c r="K567" s="156"/>
      <c r="L567" s="645"/>
      <c r="M567" s="354"/>
      <c r="N567" s="887"/>
      <c r="O567" s="156"/>
      <c r="P567" s="801">
        <f t="shared" si="58"/>
        <v>0</v>
      </c>
      <c r="Q567" s="809">
        <f t="shared" si="58"/>
        <v>108</v>
      </c>
      <c r="R567" s="763"/>
    </row>
    <row r="568" spans="2:18" ht="12.75">
      <c r="B568" s="177">
        <f t="shared" si="59"/>
        <v>138</v>
      </c>
      <c r="C568" s="153"/>
      <c r="D568" s="138"/>
      <c r="E568" s="157"/>
      <c r="F568" s="138" t="s">
        <v>340</v>
      </c>
      <c r="G568" s="199" t="s">
        <v>741</v>
      </c>
      <c r="H568" s="341"/>
      <c r="I568" s="341"/>
      <c r="J568" s="620"/>
      <c r="K568" s="156"/>
      <c r="L568" s="647">
        <v>34000</v>
      </c>
      <c r="M568" s="339">
        <v>0</v>
      </c>
      <c r="N568" s="638">
        <f>M568/L568*100</f>
        <v>0</v>
      </c>
      <c r="O568" s="156"/>
      <c r="P568" s="802">
        <f t="shared" si="58"/>
        <v>34000</v>
      </c>
      <c r="Q568" s="810">
        <f t="shared" si="58"/>
        <v>0</v>
      </c>
      <c r="R568" s="763">
        <f t="shared" si="55"/>
        <v>0</v>
      </c>
    </row>
    <row r="569" spans="2:18" ht="15">
      <c r="B569" s="177">
        <f t="shared" si="59"/>
        <v>139</v>
      </c>
      <c r="C569" s="153"/>
      <c r="D569" s="30" t="s">
        <v>380</v>
      </c>
      <c r="E569" s="180" t="s">
        <v>305</v>
      </c>
      <c r="F569" s="158" t="s">
        <v>381</v>
      </c>
      <c r="G569" s="239"/>
      <c r="H569" s="390">
        <f>H570+H571+H572</f>
        <v>69975</v>
      </c>
      <c r="I569" s="390">
        <f>I570+I571+I572</f>
        <v>28191</v>
      </c>
      <c r="J569" s="620">
        <f t="shared" si="57"/>
        <v>40.28724544480172</v>
      </c>
      <c r="K569" s="306"/>
      <c r="L569" s="856"/>
      <c r="M569" s="877"/>
      <c r="N569" s="620"/>
      <c r="O569" s="306"/>
      <c r="P569" s="826">
        <f t="shared" si="58"/>
        <v>69975</v>
      </c>
      <c r="Q569" s="840">
        <f t="shared" si="58"/>
        <v>28191</v>
      </c>
      <c r="R569" s="763">
        <f t="shared" si="55"/>
        <v>40.28724544480172</v>
      </c>
    </row>
    <row r="570" spans="2:18" ht="12.75">
      <c r="B570" s="177">
        <f t="shared" si="59"/>
        <v>140</v>
      </c>
      <c r="C570" s="153"/>
      <c r="D570" s="154"/>
      <c r="E570" s="154"/>
      <c r="F570" s="154" t="s">
        <v>214</v>
      </c>
      <c r="G570" s="206" t="s">
        <v>543</v>
      </c>
      <c r="H570" s="346">
        <f>39140+1190+48</f>
        <v>40378</v>
      </c>
      <c r="I570" s="346">
        <v>19917</v>
      </c>
      <c r="J570" s="620">
        <f t="shared" si="57"/>
        <v>49.32636584278568</v>
      </c>
      <c r="K570" s="156"/>
      <c r="L570" s="647"/>
      <c r="M570" s="339"/>
      <c r="N570" s="620"/>
      <c r="O570" s="156"/>
      <c r="P570" s="801">
        <f t="shared" si="58"/>
        <v>40378</v>
      </c>
      <c r="Q570" s="809">
        <f t="shared" si="58"/>
        <v>19917</v>
      </c>
      <c r="R570" s="763">
        <f aca="true" t="shared" si="60" ref="R570:R640">Q570/P570*100</f>
        <v>49.32636584278568</v>
      </c>
    </row>
    <row r="571" spans="2:18" ht="12.75">
      <c r="B571" s="177">
        <f t="shared" si="59"/>
        <v>141</v>
      </c>
      <c r="C571" s="153"/>
      <c r="D571" s="154"/>
      <c r="E571" s="154"/>
      <c r="F571" s="154" t="s">
        <v>215</v>
      </c>
      <c r="G571" s="206" t="s">
        <v>264</v>
      </c>
      <c r="H571" s="346">
        <f>14580+320+17</f>
        <v>14917</v>
      </c>
      <c r="I571" s="346">
        <v>7103</v>
      </c>
      <c r="J571" s="620">
        <f t="shared" si="57"/>
        <v>47.61681303211102</v>
      </c>
      <c r="K571" s="156"/>
      <c r="L571" s="647"/>
      <c r="M571" s="339"/>
      <c r="N571" s="620"/>
      <c r="O571" s="156"/>
      <c r="P571" s="801">
        <f t="shared" si="58"/>
        <v>14917</v>
      </c>
      <c r="Q571" s="809">
        <f t="shared" si="58"/>
        <v>7103</v>
      </c>
      <c r="R571" s="763">
        <f t="shared" si="60"/>
        <v>47.61681303211102</v>
      </c>
    </row>
    <row r="572" spans="2:18" ht="12.75">
      <c r="B572" s="177">
        <f t="shared" si="59"/>
        <v>142</v>
      </c>
      <c r="C572" s="153"/>
      <c r="D572" s="154"/>
      <c r="E572" s="154"/>
      <c r="F572" s="154" t="s">
        <v>221</v>
      </c>
      <c r="G572" s="206" t="s">
        <v>360</v>
      </c>
      <c r="H572" s="346">
        <f>H573+H574+H575+H576+H577</f>
        <v>14680</v>
      </c>
      <c r="I572" s="346">
        <f>I573+I574+I575+I576+I577</f>
        <v>1171</v>
      </c>
      <c r="J572" s="620">
        <f t="shared" si="57"/>
        <v>7.97683923705722</v>
      </c>
      <c r="K572" s="156"/>
      <c r="L572" s="647"/>
      <c r="M572" s="339"/>
      <c r="N572" s="620"/>
      <c r="O572" s="156"/>
      <c r="P572" s="801">
        <f t="shared" si="58"/>
        <v>14680</v>
      </c>
      <c r="Q572" s="809">
        <f t="shared" si="58"/>
        <v>1171</v>
      </c>
      <c r="R572" s="763">
        <f t="shared" si="60"/>
        <v>7.97683923705722</v>
      </c>
    </row>
    <row r="573" spans="2:18" ht="12.75">
      <c r="B573" s="177">
        <f t="shared" si="59"/>
        <v>143</v>
      </c>
      <c r="C573" s="153"/>
      <c r="D573" s="138"/>
      <c r="E573" s="138"/>
      <c r="F573" s="138" t="s">
        <v>202</v>
      </c>
      <c r="G573" s="199" t="s">
        <v>335</v>
      </c>
      <c r="H573" s="335">
        <v>300</v>
      </c>
      <c r="I573" s="335">
        <v>149</v>
      </c>
      <c r="J573" s="620">
        <f t="shared" si="57"/>
        <v>49.666666666666664</v>
      </c>
      <c r="K573" s="156"/>
      <c r="L573" s="647"/>
      <c r="M573" s="339"/>
      <c r="N573" s="620"/>
      <c r="O573" s="156"/>
      <c r="P573" s="802">
        <f t="shared" si="58"/>
        <v>300</v>
      </c>
      <c r="Q573" s="810">
        <f t="shared" si="58"/>
        <v>149</v>
      </c>
      <c r="R573" s="763">
        <f t="shared" si="60"/>
        <v>49.666666666666664</v>
      </c>
    </row>
    <row r="574" spans="2:18" ht="12.75">
      <c r="B574" s="177">
        <f t="shared" si="59"/>
        <v>144</v>
      </c>
      <c r="C574" s="153"/>
      <c r="D574" s="138"/>
      <c r="E574" s="138"/>
      <c r="F574" s="138" t="s">
        <v>203</v>
      </c>
      <c r="G574" s="199" t="s">
        <v>251</v>
      </c>
      <c r="H574" s="335">
        <f>2400+1400</f>
        <v>3800</v>
      </c>
      <c r="I574" s="335">
        <v>498</v>
      </c>
      <c r="J574" s="620">
        <f t="shared" si="57"/>
        <v>13.105263157894736</v>
      </c>
      <c r="K574" s="156"/>
      <c r="L574" s="647"/>
      <c r="M574" s="339"/>
      <c r="N574" s="620"/>
      <c r="O574" s="156"/>
      <c r="P574" s="802">
        <f t="shared" si="58"/>
        <v>3800</v>
      </c>
      <c r="Q574" s="810">
        <f t="shared" si="58"/>
        <v>498</v>
      </c>
      <c r="R574" s="763">
        <f t="shared" si="60"/>
        <v>13.105263157894736</v>
      </c>
    </row>
    <row r="575" spans="2:18" ht="12.75">
      <c r="B575" s="177">
        <f t="shared" si="59"/>
        <v>145</v>
      </c>
      <c r="C575" s="153"/>
      <c r="D575" s="138"/>
      <c r="E575" s="157"/>
      <c r="F575" s="138" t="s">
        <v>217</v>
      </c>
      <c r="G575" s="199" t="s">
        <v>266</v>
      </c>
      <c r="H575" s="335">
        <v>100</v>
      </c>
      <c r="I575" s="335">
        <v>0</v>
      </c>
      <c r="J575" s="620">
        <f t="shared" si="57"/>
        <v>0</v>
      </c>
      <c r="K575" s="156"/>
      <c r="L575" s="647"/>
      <c r="M575" s="339"/>
      <c r="N575" s="620"/>
      <c r="O575" s="156"/>
      <c r="P575" s="802">
        <f t="shared" si="58"/>
        <v>100</v>
      </c>
      <c r="Q575" s="810">
        <f t="shared" si="58"/>
        <v>0</v>
      </c>
      <c r="R575" s="763">
        <f t="shared" si="60"/>
        <v>0</v>
      </c>
    </row>
    <row r="576" spans="2:18" ht="12.75">
      <c r="B576" s="177">
        <f t="shared" si="59"/>
        <v>146</v>
      </c>
      <c r="C576" s="153"/>
      <c r="D576" s="138"/>
      <c r="E576" s="157"/>
      <c r="F576" s="138" t="s">
        <v>218</v>
      </c>
      <c r="G576" s="199" t="s">
        <v>366</v>
      </c>
      <c r="H576" s="335">
        <f>14900-6000</f>
        <v>8900</v>
      </c>
      <c r="I576" s="335">
        <v>0</v>
      </c>
      <c r="J576" s="620">
        <f t="shared" si="57"/>
        <v>0</v>
      </c>
      <c r="K576" s="156"/>
      <c r="L576" s="647"/>
      <c r="M576" s="339"/>
      <c r="N576" s="620"/>
      <c r="O576" s="156"/>
      <c r="P576" s="802">
        <f t="shared" si="58"/>
        <v>8900</v>
      </c>
      <c r="Q576" s="810">
        <f t="shared" si="58"/>
        <v>0</v>
      </c>
      <c r="R576" s="763">
        <f t="shared" si="60"/>
        <v>0</v>
      </c>
    </row>
    <row r="577" spans="2:18" ht="12.75">
      <c r="B577" s="177">
        <f t="shared" si="59"/>
        <v>147</v>
      </c>
      <c r="C577" s="153"/>
      <c r="D577" s="138"/>
      <c r="E577" s="157"/>
      <c r="F577" s="138" t="s">
        <v>219</v>
      </c>
      <c r="G577" s="199" t="s">
        <v>252</v>
      </c>
      <c r="H577" s="335">
        <v>1580</v>
      </c>
      <c r="I577" s="335">
        <v>524</v>
      </c>
      <c r="J577" s="620">
        <f t="shared" si="57"/>
        <v>33.164556962025316</v>
      </c>
      <c r="K577" s="156"/>
      <c r="L577" s="647"/>
      <c r="M577" s="339"/>
      <c r="N577" s="620"/>
      <c r="O577" s="156"/>
      <c r="P577" s="802">
        <f t="shared" si="58"/>
        <v>1580</v>
      </c>
      <c r="Q577" s="810">
        <f t="shared" si="58"/>
        <v>524</v>
      </c>
      <c r="R577" s="763">
        <f t="shared" si="60"/>
        <v>33.164556962025316</v>
      </c>
    </row>
    <row r="578" spans="2:18" ht="15">
      <c r="B578" s="177">
        <f t="shared" si="59"/>
        <v>148</v>
      </c>
      <c r="C578" s="153"/>
      <c r="D578" s="30" t="s">
        <v>382</v>
      </c>
      <c r="E578" s="180" t="s">
        <v>305</v>
      </c>
      <c r="F578" s="158" t="s">
        <v>383</v>
      </c>
      <c r="G578" s="239"/>
      <c r="H578" s="390">
        <f>H579+H580+H581+H589</f>
        <v>197950</v>
      </c>
      <c r="I578" s="390">
        <f>I579+I580+I581+I589+I587+I588</f>
        <v>78241</v>
      </c>
      <c r="J578" s="620">
        <f t="shared" si="57"/>
        <v>39.52563778732003</v>
      </c>
      <c r="K578" s="306"/>
      <c r="L578" s="854">
        <f>SUM(L579:L589)</f>
        <v>18000</v>
      </c>
      <c r="M578" s="875">
        <f>SUM(M579:M589)</f>
        <v>0</v>
      </c>
      <c r="N578" s="638">
        <f>M578/L578*100</f>
        <v>0</v>
      </c>
      <c r="O578" s="306"/>
      <c r="P578" s="826">
        <f>H578+L578</f>
        <v>215950</v>
      </c>
      <c r="Q578" s="840">
        <f>I578+M578</f>
        <v>78241</v>
      </c>
      <c r="R578" s="763">
        <f t="shared" si="60"/>
        <v>36.23107200740912</v>
      </c>
    </row>
    <row r="579" spans="2:18" ht="12.75">
      <c r="B579" s="177">
        <f t="shared" si="59"/>
        <v>149</v>
      </c>
      <c r="C579" s="153"/>
      <c r="D579" s="154"/>
      <c r="E579" s="154"/>
      <c r="F579" s="154" t="s">
        <v>214</v>
      </c>
      <c r="G579" s="206" t="s">
        <v>543</v>
      </c>
      <c r="H579" s="346">
        <f>91730+14690+111</f>
        <v>106531</v>
      </c>
      <c r="I579" s="346">
        <v>45164</v>
      </c>
      <c r="J579" s="620">
        <f t="shared" si="57"/>
        <v>42.39517135857168</v>
      </c>
      <c r="K579" s="156"/>
      <c r="L579" s="647"/>
      <c r="M579" s="339"/>
      <c r="N579" s="620"/>
      <c r="O579" s="156"/>
      <c r="P579" s="801">
        <f t="shared" si="58"/>
        <v>106531</v>
      </c>
      <c r="Q579" s="809">
        <f t="shared" si="58"/>
        <v>45164</v>
      </c>
      <c r="R579" s="763">
        <f t="shared" si="60"/>
        <v>42.39517135857168</v>
      </c>
    </row>
    <row r="580" spans="2:18" ht="12.75">
      <c r="B580" s="177">
        <f t="shared" si="59"/>
        <v>150</v>
      </c>
      <c r="C580" s="153"/>
      <c r="D580" s="154"/>
      <c r="E580" s="154"/>
      <c r="F580" s="154" t="s">
        <v>215</v>
      </c>
      <c r="G580" s="206" t="s">
        <v>264</v>
      </c>
      <c r="H580" s="346">
        <f>30720+8360+39</f>
        <v>39119</v>
      </c>
      <c r="I580" s="346">
        <v>16535</v>
      </c>
      <c r="J580" s="620">
        <f t="shared" si="57"/>
        <v>42.268462895268286</v>
      </c>
      <c r="K580" s="156"/>
      <c r="L580" s="647"/>
      <c r="M580" s="339"/>
      <c r="N580" s="620"/>
      <c r="O580" s="156"/>
      <c r="P580" s="801">
        <f t="shared" si="58"/>
        <v>39119</v>
      </c>
      <c r="Q580" s="809">
        <f t="shared" si="58"/>
        <v>16535</v>
      </c>
      <c r="R580" s="763">
        <f t="shared" si="60"/>
        <v>42.268462895268286</v>
      </c>
    </row>
    <row r="581" spans="2:18" ht="12.75">
      <c r="B581" s="177">
        <f t="shared" si="59"/>
        <v>151</v>
      </c>
      <c r="C581" s="153"/>
      <c r="D581" s="154"/>
      <c r="E581" s="154"/>
      <c r="F581" s="154" t="s">
        <v>221</v>
      </c>
      <c r="G581" s="206" t="s">
        <v>360</v>
      </c>
      <c r="H581" s="346">
        <f>H582+H583+H584+H585+H586</f>
        <v>52300</v>
      </c>
      <c r="I581" s="346">
        <f>I582+I583+I584+I585+I586</f>
        <v>15812</v>
      </c>
      <c r="J581" s="620">
        <f t="shared" si="57"/>
        <v>30.233269598470365</v>
      </c>
      <c r="K581" s="156"/>
      <c r="L581" s="647"/>
      <c r="M581" s="339"/>
      <c r="N581" s="620"/>
      <c r="O581" s="156"/>
      <c r="P581" s="801">
        <f t="shared" si="58"/>
        <v>52300</v>
      </c>
      <c r="Q581" s="809">
        <f t="shared" si="58"/>
        <v>15812</v>
      </c>
      <c r="R581" s="763">
        <f t="shared" si="60"/>
        <v>30.233269598470365</v>
      </c>
    </row>
    <row r="582" spans="2:18" ht="12.75">
      <c r="B582" s="177">
        <f t="shared" si="59"/>
        <v>152</v>
      </c>
      <c r="C582" s="153"/>
      <c r="D582" s="138"/>
      <c r="E582" s="138"/>
      <c r="F582" s="138" t="s">
        <v>202</v>
      </c>
      <c r="G582" s="199" t="s">
        <v>335</v>
      </c>
      <c r="H582" s="335">
        <f>480+26600</f>
        <v>27080</v>
      </c>
      <c r="I582" s="335">
        <v>11032</v>
      </c>
      <c r="J582" s="620">
        <f t="shared" si="57"/>
        <v>40.73855243722304</v>
      </c>
      <c r="K582" s="156"/>
      <c r="L582" s="647"/>
      <c r="M582" s="339"/>
      <c r="N582" s="620"/>
      <c r="O582" s="156"/>
      <c r="P582" s="802">
        <f t="shared" si="58"/>
        <v>27080</v>
      </c>
      <c r="Q582" s="810">
        <f t="shared" si="58"/>
        <v>11032</v>
      </c>
      <c r="R582" s="763">
        <f t="shared" si="60"/>
        <v>40.73855243722304</v>
      </c>
    </row>
    <row r="583" spans="2:18" ht="12.75">
      <c r="B583" s="177">
        <f t="shared" si="59"/>
        <v>153</v>
      </c>
      <c r="C583" s="153"/>
      <c r="D583" s="138"/>
      <c r="E583" s="138"/>
      <c r="F583" s="138" t="s">
        <v>203</v>
      </c>
      <c r="G583" s="199" t="s">
        <v>251</v>
      </c>
      <c r="H583" s="335">
        <f>4950+10500-980</f>
        <v>14470</v>
      </c>
      <c r="I583" s="335">
        <v>429</v>
      </c>
      <c r="J583" s="620">
        <f t="shared" si="57"/>
        <v>2.9647546648237735</v>
      </c>
      <c r="K583" s="156"/>
      <c r="L583" s="647"/>
      <c r="M583" s="339"/>
      <c r="N583" s="620"/>
      <c r="O583" s="156"/>
      <c r="P583" s="802">
        <f t="shared" si="58"/>
        <v>14470</v>
      </c>
      <c r="Q583" s="810">
        <f t="shared" si="58"/>
        <v>429</v>
      </c>
      <c r="R583" s="763">
        <f t="shared" si="60"/>
        <v>2.9647546648237735</v>
      </c>
    </row>
    <row r="584" spans="2:18" ht="12.75">
      <c r="B584" s="177">
        <f t="shared" si="59"/>
        <v>154</v>
      </c>
      <c r="C584" s="153"/>
      <c r="D584" s="138"/>
      <c r="E584" s="157"/>
      <c r="F584" s="138" t="s">
        <v>217</v>
      </c>
      <c r="G584" s="199" t="s">
        <v>266</v>
      </c>
      <c r="H584" s="335">
        <v>150</v>
      </c>
      <c r="I584" s="335">
        <v>0</v>
      </c>
      <c r="J584" s="620">
        <f t="shared" si="57"/>
        <v>0</v>
      </c>
      <c r="K584" s="156"/>
      <c r="L584" s="647"/>
      <c r="M584" s="339"/>
      <c r="N584" s="620"/>
      <c r="O584" s="156"/>
      <c r="P584" s="802">
        <f t="shared" si="58"/>
        <v>150</v>
      </c>
      <c r="Q584" s="810">
        <f t="shared" si="58"/>
        <v>0</v>
      </c>
      <c r="R584" s="763">
        <f t="shared" si="60"/>
        <v>0</v>
      </c>
    </row>
    <row r="585" spans="2:18" ht="12.75">
      <c r="B585" s="177">
        <f t="shared" si="59"/>
        <v>155</v>
      </c>
      <c r="C585" s="153"/>
      <c r="D585" s="138"/>
      <c r="E585" s="157"/>
      <c r="F585" s="138" t="s">
        <v>218</v>
      </c>
      <c r="G585" s="199" t="s">
        <v>366</v>
      </c>
      <c r="H585" s="335">
        <f>35500-30800</f>
        <v>4700</v>
      </c>
      <c r="I585" s="335">
        <v>2037</v>
      </c>
      <c r="J585" s="620">
        <f aca="true" t="shared" si="61" ref="J585:J652">I585/H585*100</f>
        <v>43.340425531914896</v>
      </c>
      <c r="K585" s="156"/>
      <c r="L585" s="647"/>
      <c r="M585" s="339"/>
      <c r="N585" s="620"/>
      <c r="O585" s="156"/>
      <c r="P585" s="802">
        <f t="shared" si="58"/>
        <v>4700</v>
      </c>
      <c r="Q585" s="810">
        <f t="shared" si="58"/>
        <v>2037</v>
      </c>
      <c r="R585" s="763">
        <f t="shared" si="60"/>
        <v>43.340425531914896</v>
      </c>
    </row>
    <row r="586" spans="2:18" ht="12.75">
      <c r="B586" s="177">
        <f t="shared" si="59"/>
        <v>156</v>
      </c>
      <c r="C586" s="153"/>
      <c r="D586" s="138"/>
      <c r="E586" s="157"/>
      <c r="F586" s="138" t="s">
        <v>219</v>
      </c>
      <c r="G586" s="199" t="s">
        <v>252</v>
      </c>
      <c r="H586" s="335">
        <f>4080+1820</f>
        <v>5900</v>
      </c>
      <c r="I586" s="335">
        <v>2314</v>
      </c>
      <c r="J586" s="620">
        <f t="shared" si="61"/>
        <v>39.220338983050844</v>
      </c>
      <c r="K586" s="156"/>
      <c r="L586" s="647"/>
      <c r="M586" s="339"/>
      <c r="N586" s="620"/>
      <c r="O586" s="156"/>
      <c r="P586" s="802">
        <f aca="true" t="shared" si="62" ref="P586:Q601">H586+L586</f>
        <v>5900</v>
      </c>
      <c r="Q586" s="810">
        <f t="shared" si="62"/>
        <v>2314</v>
      </c>
      <c r="R586" s="763">
        <f t="shared" si="60"/>
        <v>39.220338983050844</v>
      </c>
    </row>
    <row r="587" spans="2:18" ht="12.75">
      <c r="B587" s="177">
        <f t="shared" si="59"/>
        <v>157</v>
      </c>
      <c r="C587" s="153"/>
      <c r="D587" s="138"/>
      <c r="E587" s="157"/>
      <c r="F587" s="277" t="s">
        <v>850</v>
      </c>
      <c r="G587" s="671" t="s">
        <v>871</v>
      </c>
      <c r="H587" s="346">
        <v>0</v>
      </c>
      <c r="I587" s="530">
        <v>281</v>
      </c>
      <c r="J587" s="887"/>
      <c r="K587" s="156"/>
      <c r="L587" s="645"/>
      <c r="M587" s="354"/>
      <c r="N587" s="887"/>
      <c r="O587" s="156"/>
      <c r="P587" s="801">
        <f>H587+L587</f>
        <v>0</v>
      </c>
      <c r="Q587" s="809">
        <f>I587+M587</f>
        <v>281</v>
      </c>
      <c r="R587" s="763"/>
    </row>
    <row r="588" spans="2:18" ht="12.75">
      <c r="B588" s="177">
        <f t="shared" si="59"/>
        <v>158</v>
      </c>
      <c r="C588" s="153"/>
      <c r="D588" s="138"/>
      <c r="E588" s="157"/>
      <c r="F588" s="154" t="s">
        <v>850</v>
      </c>
      <c r="G588" s="672" t="s">
        <v>872</v>
      </c>
      <c r="H588" s="346">
        <v>0</v>
      </c>
      <c r="I588" s="530">
        <v>449</v>
      </c>
      <c r="J588" s="887"/>
      <c r="K588" s="156"/>
      <c r="L588" s="645"/>
      <c r="M588" s="354"/>
      <c r="N588" s="887"/>
      <c r="O588" s="156"/>
      <c r="P588" s="801">
        <f>H588+L588</f>
        <v>0</v>
      </c>
      <c r="Q588" s="809">
        <f>I588+M588</f>
        <v>449</v>
      </c>
      <c r="R588" s="763"/>
    </row>
    <row r="589" spans="2:18" ht="12.75">
      <c r="B589" s="177">
        <f t="shared" si="59"/>
        <v>159</v>
      </c>
      <c r="C589" s="153"/>
      <c r="D589" s="138"/>
      <c r="E589" s="157"/>
      <c r="F589" s="281" t="s">
        <v>340</v>
      </c>
      <c r="G589" s="199" t="s">
        <v>789</v>
      </c>
      <c r="H589" s="335"/>
      <c r="I589" s="335"/>
      <c r="J589" s="620"/>
      <c r="K589" s="156"/>
      <c r="L589" s="647">
        <v>18000</v>
      </c>
      <c r="M589" s="339">
        <v>0</v>
      </c>
      <c r="N589" s="638">
        <f>M589/L589*100</f>
        <v>0</v>
      </c>
      <c r="O589" s="156"/>
      <c r="P589" s="802">
        <f t="shared" si="62"/>
        <v>18000</v>
      </c>
      <c r="Q589" s="810">
        <f t="shared" si="62"/>
        <v>0</v>
      </c>
      <c r="R589" s="763">
        <f t="shared" si="60"/>
        <v>0</v>
      </c>
    </row>
    <row r="590" spans="2:18" ht="15">
      <c r="B590" s="177">
        <f t="shared" si="59"/>
        <v>160</v>
      </c>
      <c r="C590" s="153"/>
      <c r="D590" s="30" t="s">
        <v>384</v>
      </c>
      <c r="E590" s="180" t="s">
        <v>305</v>
      </c>
      <c r="F590" s="158" t="s">
        <v>666</v>
      </c>
      <c r="G590" s="239"/>
      <c r="H590" s="390">
        <f>H591+H592+H593</f>
        <v>338590</v>
      </c>
      <c r="I590" s="390">
        <f>I591+I592+I593+I599</f>
        <v>169805</v>
      </c>
      <c r="J590" s="620">
        <f t="shared" si="61"/>
        <v>50.15062464928084</v>
      </c>
      <c r="K590" s="306"/>
      <c r="L590" s="856"/>
      <c r="M590" s="877"/>
      <c r="N590" s="620"/>
      <c r="O590" s="306"/>
      <c r="P590" s="826">
        <f t="shared" si="62"/>
        <v>338590</v>
      </c>
      <c r="Q590" s="840">
        <f t="shared" si="62"/>
        <v>169805</v>
      </c>
      <c r="R590" s="763">
        <f t="shared" si="60"/>
        <v>50.15062464928084</v>
      </c>
    </row>
    <row r="591" spans="2:18" ht="12.75">
      <c r="B591" s="177">
        <f t="shared" si="59"/>
        <v>161</v>
      </c>
      <c r="C591" s="153"/>
      <c r="D591" s="154"/>
      <c r="E591" s="154"/>
      <c r="F591" s="154" t="s">
        <v>214</v>
      </c>
      <c r="G591" s="206" t="s">
        <v>543</v>
      </c>
      <c r="H591" s="346">
        <f>180530+15100</f>
        <v>195630</v>
      </c>
      <c r="I591" s="346">
        <v>96662</v>
      </c>
      <c r="J591" s="620">
        <f t="shared" si="61"/>
        <v>49.410622092726065</v>
      </c>
      <c r="K591" s="156"/>
      <c r="L591" s="647"/>
      <c r="M591" s="339"/>
      <c r="N591" s="620"/>
      <c r="O591" s="156"/>
      <c r="P591" s="801">
        <f t="shared" si="62"/>
        <v>195630</v>
      </c>
      <c r="Q591" s="809">
        <f t="shared" si="62"/>
        <v>96662</v>
      </c>
      <c r="R591" s="763">
        <f t="shared" si="60"/>
        <v>49.410622092726065</v>
      </c>
    </row>
    <row r="592" spans="2:18" ht="12.75">
      <c r="B592" s="177">
        <f t="shared" si="59"/>
        <v>162</v>
      </c>
      <c r="C592" s="153"/>
      <c r="D592" s="154"/>
      <c r="E592" s="154"/>
      <c r="F592" s="154" t="s">
        <v>215</v>
      </c>
      <c r="G592" s="206" t="s">
        <v>264</v>
      </c>
      <c r="H592" s="346">
        <f>69950+1490+320</f>
        <v>71760</v>
      </c>
      <c r="I592" s="346">
        <v>35047</v>
      </c>
      <c r="J592" s="620">
        <f t="shared" si="61"/>
        <v>48.8391861761427</v>
      </c>
      <c r="K592" s="156"/>
      <c r="L592" s="647"/>
      <c r="M592" s="339"/>
      <c r="N592" s="620"/>
      <c r="O592" s="156"/>
      <c r="P592" s="801">
        <f t="shared" si="62"/>
        <v>71760</v>
      </c>
      <c r="Q592" s="809">
        <f t="shared" si="62"/>
        <v>35047</v>
      </c>
      <c r="R592" s="763">
        <f t="shared" si="60"/>
        <v>48.8391861761427</v>
      </c>
    </row>
    <row r="593" spans="2:18" ht="12.75">
      <c r="B593" s="177">
        <f t="shared" si="59"/>
        <v>163</v>
      </c>
      <c r="C593" s="153"/>
      <c r="D593" s="154"/>
      <c r="E593" s="154"/>
      <c r="F593" s="154" t="s">
        <v>221</v>
      </c>
      <c r="G593" s="206" t="s">
        <v>360</v>
      </c>
      <c r="H593" s="346">
        <f>H594+H595+H596+H597+H598</f>
        <v>71200</v>
      </c>
      <c r="I593" s="346">
        <f>I594+I595+I596+I597+I598</f>
        <v>37401</v>
      </c>
      <c r="J593" s="620">
        <f t="shared" si="61"/>
        <v>52.52949438202247</v>
      </c>
      <c r="K593" s="156"/>
      <c r="L593" s="647"/>
      <c r="M593" s="339"/>
      <c r="N593" s="620"/>
      <c r="O593" s="156"/>
      <c r="P593" s="801">
        <f t="shared" si="62"/>
        <v>71200</v>
      </c>
      <c r="Q593" s="809">
        <f t="shared" si="62"/>
        <v>37401</v>
      </c>
      <c r="R593" s="763">
        <f t="shared" si="60"/>
        <v>52.52949438202247</v>
      </c>
    </row>
    <row r="594" spans="2:18" ht="12.75">
      <c r="B594" s="177">
        <f t="shared" si="59"/>
        <v>164</v>
      </c>
      <c r="C594" s="153"/>
      <c r="D594" s="138"/>
      <c r="E594" s="138"/>
      <c r="F594" s="138" t="s">
        <v>202</v>
      </c>
      <c r="G594" s="199" t="s">
        <v>335</v>
      </c>
      <c r="H594" s="335">
        <f>52550-5250</f>
        <v>47300</v>
      </c>
      <c r="I594" s="335">
        <v>27809</v>
      </c>
      <c r="J594" s="620">
        <f t="shared" si="61"/>
        <v>58.79281183932347</v>
      </c>
      <c r="K594" s="156"/>
      <c r="L594" s="647"/>
      <c r="M594" s="339"/>
      <c r="N594" s="620"/>
      <c r="O594" s="156"/>
      <c r="P594" s="802">
        <f t="shared" si="62"/>
        <v>47300</v>
      </c>
      <c r="Q594" s="810">
        <f t="shared" si="62"/>
        <v>27809</v>
      </c>
      <c r="R594" s="763">
        <f t="shared" si="60"/>
        <v>58.79281183932347</v>
      </c>
    </row>
    <row r="595" spans="2:18" ht="12.75">
      <c r="B595" s="177">
        <f t="shared" si="59"/>
        <v>165</v>
      </c>
      <c r="C595" s="153"/>
      <c r="D595" s="138"/>
      <c r="E595" s="138"/>
      <c r="F595" s="138" t="s">
        <v>203</v>
      </c>
      <c r="G595" s="199" t="s">
        <v>251</v>
      </c>
      <c r="H595" s="335">
        <f>3180+6120+200</f>
        <v>9500</v>
      </c>
      <c r="I595" s="335">
        <v>2572</v>
      </c>
      <c r="J595" s="620">
        <f t="shared" si="61"/>
        <v>27.073684210526316</v>
      </c>
      <c r="K595" s="156"/>
      <c r="L595" s="647"/>
      <c r="M595" s="339"/>
      <c r="N595" s="620"/>
      <c r="O595" s="156"/>
      <c r="P595" s="802">
        <f t="shared" si="62"/>
        <v>9500</v>
      </c>
      <c r="Q595" s="810">
        <f t="shared" si="62"/>
        <v>2572</v>
      </c>
      <c r="R595" s="763">
        <f t="shared" si="60"/>
        <v>27.073684210526316</v>
      </c>
    </row>
    <row r="596" spans="2:18" ht="12.75">
      <c r="B596" s="177">
        <f t="shared" si="59"/>
        <v>166</v>
      </c>
      <c r="C596" s="153"/>
      <c r="D596" s="138"/>
      <c r="E596" s="157"/>
      <c r="F596" s="138" t="s">
        <v>217</v>
      </c>
      <c r="G596" s="199" t="s">
        <v>266</v>
      </c>
      <c r="H596" s="341">
        <v>150</v>
      </c>
      <c r="I596" s="341">
        <v>19</v>
      </c>
      <c r="J596" s="620">
        <f t="shared" si="61"/>
        <v>12.666666666666668</v>
      </c>
      <c r="K596" s="303"/>
      <c r="L596" s="647"/>
      <c r="M596" s="339"/>
      <c r="N596" s="620"/>
      <c r="O596" s="303"/>
      <c r="P596" s="802">
        <f t="shared" si="62"/>
        <v>150</v>
      </c>
      <c r="Q596" s="810">
        <f t="shared" si="62"/>
        <v>19</v>
      </c>
      <c r="R596" s="763">
        <f t="shared" si="60"/>
        <v>12.666666666666668</v>
      </c>
    </row>
    <row r="597" spans="2:18" ht="12.75">
      <c r="B597" s="177">
        <f t="shared" si="59"/>
        <v>167</v>
      </c>
      <c r="C597" s="153"/>
      <c r="D597" s="138"/>
      <c r="E597" s="157"/>
      <c r="F597" s="138" t="s">
        <v>218</v>
      </c>
      <c r="G597" s="199" t="s">
        <v>366</v>
      </c>
      <c r="H597" s="335">
        <f>6500+720</f>
        <v>7220</v>
      </c>
      <c r="I597" s="335">
        <v>3475</v>
      </c>
      <c r="J597" s="620">
        <f t="shared" si="61"/>
        <v>48.13019390581717</v>
      </c>
      <c r="K597" s="156"/>
      <c r="L597" s="647"/>
      <c r="M597" s="339"/>
      <c r="N597" s="620"/>
      <c r="O597" s="156"/>
      <c r="P597" s="802">
        <f t="shared" si="62"/>
        <v>7220</v>
      </c>
      <c r="Q597" s="810">
        <f t="shared" si="62"/>
        <v>3475</v>
      </c>
      <c r="R597" s="763">
        <f t="shared" si="60"/>
        <v>48.13019390581717</v>
      </c>
    </row>
    <row r="598" spans="2:18" ht="12.75">
      <c r="B598" s="177">
        <f t="shared" si="59"/>
        <v>168</v>
      </c>
      <c r="C598" s="153"/>
      <c r="D598" s="138"/>
      <c r="E598" s="157"/>
      <c r="F598" s="138" t="s">
        <v>219</v>
      </c>
      <c r="G598" s="199" t="s">
        <v>252</v>
      </c>
      <c r="H598" s="335">
        <f>6530+500</f>
        <v>7030</v>
      </c>
      <c r="I598" s="335">
        <v>3526</v>
      </c>
      <c r="J598" s="620">
        <f t="shared" si="61"/>
        <v>50.156472261735416</v>
      </c>
      <c r="K598" s="156"/>
      <c r="L598" s="647"/>
      <c r="M598" s="339"/>
      <c r="N598" s="620"/>
      <c r="O598" s="156"/>
      <c r="P598" s="802">
        <f t="shared" si="62"/>
        <v>7030</v>
      </c>
      <c r="Q598" s="810">
        <f t="shared" si="62"/>
        <v>3526</v>
      </c>
      <c r="R598" s="763">
        <f t="shared" si="60"/>
        <v>50.156472261735416</v>
      </c>
    </row>
    <row r="599" spans="2:18" ht="12.75">
      <c r="B599" s="177">
        <f t="shared" si="59"/>
        <v>169</v>
      </c>
      <c r="C599" s="153"/>
      <c r="D599" s="138"/>
      <c r="E599" s="157"/>
      <c r="F599" s="138" t="s">
        <v>850</v>
      </c>
      <c r="G599" s="672" t="s">
        <v>872</v>
      </c>
      <c r="H599" s="335"/>
      <c r="I599" s="530">
        <v>695</v>
      </c>
      <c r="J599" s="887"/>
      <c r="K599" s="156"/>
      <c r="L599" s="645"/>
      <c r="M599" s="354"/>
      <c r="N599" s="887"/>
      <c r="O599" s="156"/>
      <c r="P599" s="801"/>
      <c r="Q599" s="809">
        <f t="shared" si="62"/>
        <v>695</v>
      </c>
      <c r="R599" s="763"/>
    </row>
    <row r="600" spans="2:18" ht="12.75">
      <c r="B600" s="177">
        <f t="shared" si="59"/>
        <v>170</v>
      </c>
      <c r="C600" s="153"/>
      <c r="D600" s="138"/>
      <c r="E600" s="157"/>
      <c r="F600" s="138"/>
      <c r="G600" s="199"/>
      <c r="H600" s="335"/>
      <c r="I600" s="335"/>
      <c r="J600" s="620"/>
      <c r="K600" s="156"/>
      <c r="L600" s="647"/>
      <c r="M600" s="339"/>
      <c r="N600" s="620"/>
      <c r="O600" s="156"/>
      <c r="P600" s="802"/>
      <c r="Q600" s="810"/>
      <c r="R600" s="763"/>
    </row>
    <row r="601" spans="2:18" ht="12.75">
      <c r="B601" s="177">
        <f t="shared" si="59"/>
        <v>171</v>
      </c>
      <c r="C601" s="153"/>
      <c r="D601" s="138"/>
      <c r="E601" s="157"/>
      <c r="F601" s="138" t="s">
        <v>221</v>
      </c>
      <c r="G601" s="330" t="s">
        <v>786</v>
      </c>
      <c r="H601" s="356">
        <v>2157</v>
      </c>
      <c r="I601" s="356">
        <v>0</v>
      </c>
      <c r="J601" s="620">
        <f t="shared" si="61"/>
        <v>0</v>
      </c>
      <c r="K601" s="156"/>
      <c r="L601" s="647"/>
      <c r="M601" s="339"/>
      <c r="N601" s="620"/>
      <c r="O601" s="156"/>
      <c r="P601" s="802">
        <f t="shared" si="62"/>
        <v>2157</v>
      </c>
      <c r="Q601" s="810">
        <f t="shared" si="62"/>
        <v>0</v>
      </c>
      <c r="R601" s="763">
        <f t="shared" si="60"/>
        <v>0</v>
      </c>
    </row>
    <row r="602" spans="2:18" ht="12.75">
      <c r="B602" s="177">
        <f t="shared" si="59"/>
        <v>172</v>
      </c>
      <c r="C602" s="153"/>
      <c r="D602" s="138"/>
      <c r="E602" s="157"/>
      <c r="F602" s="138"/>
      <c r="G602" s="206"/>
      <c r="H602" s="346"/>
      <c r="I602" s="346"/>
      <c r="J602" s="620"/>
      <c r="K602" s="156"/>
      <c r="L602" s="647"/>
      <c r="M602" s="339"/>
      <c r="N602" s="620"/>
      <c r="O602" s="156"/>
      <c r="P602" s="802"/>
      <c r="Q602" s="810"/>
      <c r="R602" s="763"/>
    </row>
    <row r="603" spans="2:18" ht="12.75">
      <c r="B603" s="177">
        <f t="shared" si="59"/>
        <v>173</v>
      </c>
      <c r="C603" s="153"/>
      <c r="D603" s="138"/>
      <c r="E603" s="157"/>
      <c r="F603" s="138" t="s">
        <v>220</v>
      </c>
      <c r="G603" s="206" t="s">
        <v>552</v>
      </c>
      <c r="H603" s="346">
        <v>32548</v>
      </c>
      <c r="I603" s="346">
        <v>16272</v>
      </c>
      <c r="J603" s="620">
        <f t="shared" si="61"/>
        <v>49.99385522919995</v>
      </c>
      <c r="K603" s="156"/>
      <c r="L603" s="647"/>
      <c r="M603" s="339"/>
      <c r="N603" s="620"/>
      <c r="O603" s="156"/>
      <c r="P603" s="801">
        <f aca="true" t="shared" si="63" ref="P603:Q605">H603+L603</f>
        <v>32548</v>
      </c>
      <c r="Q603" s="809">
        <f t="shared" si="63"/>
        <v>16272</v>
      </c>
      <c r="R603" s="763">
        <f t="shared" si="60"/>
        <v>49.99385522919995</v>
      </c>
    </row>
    <row r="604" spans="2:18" ht="12.75">
      <c r="B604" s="177">
        <f t="shared" si="59"/>
        <v>174</v>
      </c>
      <c r="C604" s="153"/>
      <c r="D604" s="138"/>
      <c r="E604" s="157"/>
      <c r="F604" s="138" t="s">
        <v>220</v>
      </c>
      <c r="G604" s="206" t="s">
        <v>553</v>
      </c>
      <c r="H604" s="346">
        <v>42452</v>
      </c>
      <c r="I604" s="346">
        <v>21222</v>
      </c>
      <c r="J604" s="620">
        <f t="shared" si="61"/>
        <v>49.99057759351738</v>
      </c>
      <c r="K604" s="156"/>
      <c r="L604" s="647"/>
      <c r="M604" s="339"/>
      <c r="N604" s="620"/>
      <c r="O604" s="156"/>
      <c r="P604" s="801">
        <f t="shared" si="63"/>
        <v>42452</v>
      </c>
      <c r="Q604" s="809">
        <f t="shared" si="63"/>
        <v>21222</v>
      </c>
      <c r="R604" s="763">
        <f t="shared" si="60"/>
        <v>49.99057759351738</v>
      </c>
    </row>
    <row r="605" spans="2:18" ht="12.75">
      <c r="B605" s="177">
        <f t="shared" si="59"/>
        <v>175</v>
      </c>
      <c r="C605" s="153"/>
      <c r="D605" s="138"/>
      <c r="E605" s="157"/>
      <c r="F605" s="138" t="s">
        <v>220</v>
      </c>
      <c r="G605" s="206" t="s">
        <v>554</v>
      </c>
      <c r="H605" s="346">
        <v>58020</v>
      </c>
      <c r="I605" s="346">
        <v>29010</v>
      </c>
      <c r="J605" s="620">
        <f t="shared" si="61"/>
        <v>50</v>
      </c>
      <c r="K605" s="156"/>
      <c r="L605" s="647"/>
      <c r="M605" s="339"/>
      <c r="N605" s="620"/>
      <c r="O605" s="156"/>
      <c r="P605" s="801">
        <f t="shared" si="63"/>
        <v>58020</v>
      </c>
      <c r="Q605" s="809">
        <f t="shared" si="63"/>
        <v>29010</v>
      </c>
      <c r="R605" s="763">
        <f t="shared" si="60"/>
        <v>50</v>
      </c>
    </row>
    <row r="606" spans="2:18" ht="12.75">
      <c r="B606" s="177">
        <f t="shared" si="59"/>
        <v>176</v>
      </c>
      <c r="C606" s="153"/>
      <c r="D606" s="138"/>
      <c r="E606" s="157"/>
      <c r="F606" s="138"/>
      <c r="G606" s="206"/>
      <c r="H606" s="346"/>
      <c r="I606" s="346"/>
      <c r="J606" s="620"/>
      <c r="K606" s="156"/>
      <c r="L606" s="647"/>
      <c r="M606" s="339"/>
      <c r="N606" s="620"/>
      <c r="O606" s="156"/>
      <c r="P606" s="802"/>
      <c r="Q606" s="810"/>
      <c r="R606" s="763"/>
    </row>
    <row r="607" spans="2:18" ht="12.75">
      <c r="B607" s="177">
        <f t="shared" si="59"/>
        <v>177</v>
      </c>
      <c r="C607" s="153"/>
      <c r="D607" s="138"/>
      <c r="E607" s="157" t="s">
        <v>305</v>
      </c>
      <c r="F607" s="138" t="s">
        <v>340</v>
      </c>
      <c r="G607" s="199" t="s">
        <v>456</v>
      </c>
      <c r="H607" s="346"/>
      <c r="I607" s="346"/>
      <c r="J607" s="620"/>
      <c r="K607" s="156"/>
      <c r="L607" s="647">
        <v>8783</v>
      </c>
      <c r="M607" s="339">
        <v>4392</v>
      </c>
      <c r="N607" s="638">
        <f>M607/L607*100</f>
        <v>50.00569281566663</v>
      </c>
      <c r="O607" s="156"/>
      <c r="P607" s="802">
        <f>H607+L607</f>
        <v>8783</v>
      </c>
      <c r="Q607" s="810">
        <f>I607+M607</f>
        <v>4392</v>
      </c>
      <c r="R607" s="763">
        <f t="shared" si="60"/>
        <v>50.00569281566663</v>
      </c>
    </row>
    <row r="608" spans="2:18" ht="12.75">
      <c r="B608" s="177">
        <f t="shared" si="59"/>
        <v>178</v>
      </c>
      <c r="C608" s="153"/>
      <c r="D608" s="138"/>
      <c r="E608" s="157" t="s">
        <v>305</v>
      </c>
      <c r="F608" s="138" t="s">
        <v>340</v>
      </c>
      <c r="G608" s="199" t="s">
        <v>457</v>
      </c>
      <c r="H608" s="346"/>
      <c r="I608" s="346"/>
      <c r="J608" s="620"/>
      <c r="K608" s="156"/>
      <c r="L608" s="647">
        <v>27710</v>
      </c>
      <c r="M608" s="339">
        <v>13855</v>
      </c>
      <c r="N608" s="638">
        <f>M608/L608*100</f>
        <v>50</v>
      </c>
      <c r="O608" s="156"/>
      <c r="P608" s="802">
        <f>H608+L608</f>
        <v>27710</v>
      </c>
      <c r="Q608" s="810">
        <f>I608+M608</f>
        <v>13855</v>
      </c>
      <c r="R608" s="763">
        <f t="shared" si="60"/>
        <v>50</v>
      </c>
    </row>
    <row r="609" spans="2:18" ht="12.75">
      <c r="B609" s="177">
        <f t="shared" si="59"/>
        <v>179</v>
      </c>
      <c r="C609" s="153"/>
      <c r="D609" s="138"/>
      <c r="E609" s="157"/>
      <c r="F609" s="138"/>
      <c r="G609" s="206"/>
      <c r="H609" s="346"/>
      <c r="I609" s="346"/>
      <c r="J609" s="620"/>
      <c r="K609" s="156"/>
      <c r="L609" s="649"/>
      <c r="M609" s="335"/>
      <c r="N609" s="620"/>
      <c r="O609" s="156"/>
      <c r="P609" s="802"/>
      <c r="Q609" s="810"/>
      <c r="R609" s="763"/>
    </row>
    <row r="610" spans="2:18" ht="15.75">
      <c r="B610" s="177">
        <f t="shared" si="59"/>
        <v>180</v>
      </c>
      <c r="C610" s="21">
        <v>2</v>
      </c>
      <c r="D610" s="133" t="s">
        <v>108</v>
      </c>
      <c r="E610" s="22"/>
      <c r="F610" s="22"/>
      <c r="G610" s="200"/>
      <c r="H610" s="371">
        <f>H611+H619+H635+H651+H668+H687+H702+H720+H736+H757+H751</f>
        <v>6118430</v>
      </c>
      <c r="I610" s="371">
        <f>I611+I619+I635+I651+I668+I687+I702+I720+I736+I757+I751+I756</f>
        <v>2552690</v>
      </c>
      <c r="J610" s="620">
        <f t="shared" si="61"/>
        <v>41.72132393440801</v>
      </c>
      <c r="K610" s="113"/>
      <c r="L610" s="859">
        <f>L611+L619+L635+L651+L668+L687+L702+L720+L736+L753+L754</f>
        <v>164032</v>
      </c>
      <c r="M610" s="879">
        <f>M611+M619+M635+M651+M668+M687+M702+M720+M736+M753+M754</f>
        <v>85939</v>
      </c>
      <c r="N610" s="638">
        <f>M610/L610*100</f>
        <v>52.39160651580179</v>
      </c>
      <c r="O610" s="113"/>
      <c r="P610" s="757">
        <f aca="true" t="shared" si="64" ref="P610:Q643">H610+L610</f>
        <v>6282462</v>
      </c>
      <c r="Q610" s="769">
        <f t="shared" si="64"/>
        <v>2638629</v>
      </c>
      <c r="R610" s="763">
        <f t="shared" si="60"/>
        <v>41.999919776673536</v>
      </c>
    </row>
    <row r="611" spans="2:18" ht="15">
      <c r="B611" s="177">
        <f t="shared" si="59"/>
        <v>181</v>
      </c>
      <c r="C611" s="153"/>
      <c r="D611" s="161" t="s">
        <v>4</v>
      </c>
      <c r="E611" s="158" t="s">
        <v>450</v>
      </c>
      <c r="F611" s="158" t="s">
        <v>249</v>
      </c>
      <c r="G611" s="239"/>
      <c r="H611" s="390">
        <f>H612+H613+H614</f>
        <v>104517</v>
      </c>
      <c r="I611" s="390">
        <f>I612+I613+I614</f>
        <v>50686</v>
      </c>
      <c r="J611" s="620">
        <f t="shared" si="61"/>
        <v>48.49546006869696</v>
      </c>
      <c r="K611" s="304"/>
      <c r="L611" s="853"/>
      <c r="M611" s="874"/>
      <c r="N611" s="638"/>
      <c r="O611" s="304"/>
      <c r="P611" s="825">
        <f t="shared" si="64"/>
        <v>104517</v>
      </c>
      <c r="Q611" s="839">
        <f t="shared" si="64"/>
        <v>50686</v>
      </c>
      <c r="R611" s="763">
        <f t="shared" si="60"/>
        <v>48.49546006869696</v>
      </c>
    </row>
    <row r="612" spans="2:18" ht="12.75">
      <c r="B612" s="177">
        <f t="shared" si="59"/>
        <v>182</v>
      </c>
      <c r="C612" s="153"/>
      <c r="D612" s="154"/>
      <c r="E612" s="154"/>
      <c r="F612" s="154" t="s">
        <v>214</v>
      </c>
      <c r="G612" s="206" t="s">
        <v>543</v>
      </c>
      <c r="H612" s="393">
        <f>47650+593</f>
        <v>48243</v>
      </c>
      <c r="I612" s="393">
        <v>19522</v>
      </c>
      <c r="J612" s="620">
        <f t="shared" si="61"/>
        <v>40.465974338245964</v>
      </c>
      <c r="K612" s="307"/>
      <c r="L612" s="860"/>
      <c r="M612" s="361"/>
      <c r="N612" s="620"/>
      <c r="O612" s="307"/>
      <c r="P612" s="801">
        <f t="shared" si="64"/>
        <v>48243</v>
      </c>
      <c r="Q612" s="809">
        <f t="shared" si="64"/>
        <v>19522</v>
      </c>
      <c r="R612" s="763">
        <f t="shared" si="60"/>
        <v>40.465974338245964</v>
      </c>
    </row>
    <row r="613" spans="2:18" ht="12.75">
      <c r="B613" s="177">
        <f t="shared" si="59"/>
        <v>183</v>
      </c>
      <c r="C613" s="153"/>
      <c r="D613" s="154"/>
      <c r="E613" s="154"/>
      <c r="F613" s="154" t="s">
        <v>215</v>
      </c>
      <c r="G613" s="206" t="s">
        <v>264</v>
      </c>
      <c r="H613" s="393">
        <f>16652+207</f>
        <v>16859</v>
      </c>
      <c r="I613" s="393">
        <v>7281</v>
      </c>
      <c r="J613" s="620">
        <f t="shared" si="61"/>
        <v>43.187614923779584</v>
      </c>
      <c r="K613" s="307"/>
      <c r="L613" s="860"/>
      <c r="M613" s="361"/>
      <c r="N613" s="620"/>
      <c r="O613" s="307"/>
      <c r="P613" s="801">
        <f t="shared" si="64"/>
        <v>16859</v>
      </c>
      <c r="Q613" s="809">
        <f t="shared" si="64"/>
        <v>7281</v>
      </c>
      <c r="R613" s="763">
        <f t="shared" si="60"/>
        <v>43.187614923779584</v>
      </c>
    </row>
    <row r="614" spans="2:18" ht="12.75">
      <c r="B614" s="177">
        <f t="shared" si="59"/>
        <v>184</v>
      </c>
      <c r="C614" s="153"/>
      <c r="D614" s="154"/>
      <c r="E614" s="154"/>
      <c r="F614" s="154" t="s">
        <v>221</v>
      </c>
      <c r="G614" s="206" t="s">
        <v>360</v>
      </c>
      <c r="H614" s="393">
        <f>H615+H616+H617+H618</f>
        <v>39415</v>
      </c>
      <c r="I614" s="393">
        <f>I615+I616+I617+I618</f>
        <v>23883</v>
      </c>
      <c r="J614" s="620">
        <f t="shared" si="61"/>
        <v>60.59368260814411</v>
      </c>
      <c r="K614" s="307"/>
      <c r="L614" s="860"/>
      <c r="M614" s="361"/>
      <c r="N614" s="620"/>
      <c r="O614" s="307"/>
      <c r="P614" s="801">
        <f t="shared" si="64"/>
        <v>39415</v>
      </c>
      <c r="Q614" s="809">
        <f t="shared" si="64"/>
        <v>23883</v>
      </c>
      <c r="R614" s="763">
        <f t="shared" si="60"/>
        <v>60.59368260814411</v>
      </c>
    </row>
    <row r="615" spans="2:18" ht="12.75">
      <c r="B615" s="177">
        <f t="shared" si="59"/>
        <v>185</v>
      </c>
      <c r="C615" s="153"/>
      <c r="D615" s="154"/>
      <c r="E615" s="154"/>
      <c r="F615" s="138" t="s">
        <v>202</v>
      </c>
      <c r="G615" s="199" t="s">
        <v>250</v>
      </c>
      <c r="H615" s="357">
        <v>9389</v>
      </c>
      <c r="I615" s="357">
        <v>2973</v>
      </c>
      <c r="J615" s="620">
        <f t="shared" si="61"/>
        <v>31.664714027052938</v>
      </c>
      <c r="K615" s="307"/>
      <c r="L615" s="860"/>
      <c r="M615" s="361"/>
      <c r="N615" s="620"/>
      <c r="O615" s="307"/>
      <c r="P615" s="802">
        <f t="shared" si="64"/>
        <v>9389</v>
      </c>
      <c r="Q615" s="810">
        <f t="shared" si="64"/>
        <v>2973</v>
      </c>
      <c r="R615" s="763">
        <f t="shared" si="60"/>
        <v>31.664714027052938</v>
      </c>
    </row>
    <row r="616" spans="2:18" ht="12.75">
      <c r="B616" s="177">
        <f t="shared" si="59"/>
        <v>186</v>
      </c>
      <c r="C616" s="153"/>
      <c r="D616" s="154"/>
      <c r="E616" s="154"/>
      <c r="F616" s="138" t="s">
        <v>203</v>
      </c>
      <c r="G616" s="199" t="s">
        <v>251</v>
      </c>
      <c r="H616" s="357">
        <v>8025</v>
      </c>
      <c r="I616" s="357">
        <v>202</v>
      </c>
      <c r="J616" s="620">
        <f t="shared" si="61"/>
        <v>2.517133956386293</v>
      </c>
      <c r="K616" s="307"/>
      <c r="L616" s="860"/>
      <c r="M616" s="361"/>
      <c r="N616" s="620"/>
      <c r="O616" s="307"/>
      <c r="P616" s="802">
        <f t="shared" si="64"/>
        <v>8025</v>
      </c>
      <c r="Q616" s="810">
        <f t="shared" si="64"/>
        <v>202</v>
      </c>
      <c r="R616" s="763">
        <f t="shared" si="60"/>
        <v>2.517133956386293</v>
      </c>
    </row>
    <row r="617" spans="2:18" ht="12.75">
      <c r="B617" s="177">
        <f t="shared" si="59"/>
        <v>187</v>
      </c>
      <c r="C617" s="153"/>
      <c r="D617" s="154"/>
      <c r="E617" s="154"/>
      <c r="F617" s="138" t="s">
        <v>219</v>
      </c>
      <c r="G617" s="199" t="s">
        <v>252</v>
      </c>
      <c r="H617" s="357">
        <v>2240</v>
      </c>
      <c r="I617" s="357">
        <v>947</v>
      </c>
      <c r="J617" s="620">
        <f t="shared" si="61"/>
        <v>42.276785714285715</v>
      </c>
      <c r="K617" s="307"/>
      <c r="L617" s="860"/>
      <c r="M617" s="361"/>
      <c r="N617" s="620"/>
      <c r="O617" s="307"/>
      <c r="P617" s="802">
        <f t="shared" si="64"/>
        <v>2240</v>
      </c>
      <c r="Q617" s="810">
        <f t="shared" si="64"/>
        <v>947</v>
      </c>
      <c r="R617" s="763">
        <f t="shared" si="60"/>
        <v>42.276785714285715</v>
      </c>
    </row>
    <row r="618" spans="2:18" ht="12.75">
      <c r="B618" s="177">
        <f t="shared" si="59"/>
        <v>188</v>
      </c>
      <c r="C618" s="153"/>
      <c r="D618" s="154"/>
      <c r="E618" s="154"/>
      <c r="F618" s="138" t="s">
        <v>221</v>
      </c>
      <c r="G618" s="199" t="s">
        <v>786</v>
      </c>
      <c r="H618" s="357">
        <f>21918-2157</f>
        <v>19761</v>
      </c>
      <c r="I618" s="357">
        <v>19761</v>
      </c>
      <c r="J618" s="620">
        <f t="shared" si="61"/>
        <v>100</v>
      </c>
      <c r="K618" s="307"/>
      <c r="L618" s="861"/>
      <c r="M618" s="393"/>
      <c r="N618" s="620"/>
      <c r="O618" s="307"/>
      <c r="P618" s="804">
        <f t="shared" si="64"/>
        <v>19761</v>
      </c>
      <c r="Q618" s="812">
        <f t="shared" si="64"/>
        <v>19761</v>
      </c>
      <c r="R618" s="763">
        <f t="shared" si="60"/>
        <v>100</v>
      </c>
    </row>
    <row r="619" spans="2:18" ht="15">
      <c r="B619" s="177">
        <f t="shared" si="59"/>
        <v>189</v>
      </c>
      <c r="C619" s="77"/>
      <c r="D619" s="264">
        <v>2</v>
      </c>
      <c r="E619" s="264" t="s">
        <v>450</v>
      </c>
      <c r="F619" s="264" t="s">
        <v>385</v>
      </c>
      <c r="G619" s="265"/>
      <c r="H619" s="392">
        <f>H620+H621+H622+H632+H633</f>
        <v>1020107</v>
      </c>
      <c r="I619" s="392">
        <f>I620+I621+I622+I632+I633+I634</f>
        <v>460874</v>
      </c>
      <c r="J619" s="620">
        <f t="shared" si="61"/>
        <v>45.17898612596522</v>
      </c>
      <c r="K619" s="305"/>
      <c r="L619" s="862"/>
      <c r="M619" s="880"/>
      <c r="N619" s="620"/>
      <c r="O619" s="305"/>
      <c r="P619" s="829">
        <f t="shared" si="64"/>
        <v>1020107</v>
      </c>
      <c r="Q619" s="843">
        <f t="shared" si="64"/>
        <v>460874</v>
      </c>
      <c r="R619" s="763">
        <f t="shared" si="60"/>
        <v>45.17898612596522</v>
      </c>
    </row>
    <row r="620" spans="2:18" ht="12.75">
      <c r="B620" s="177">
        <f t="shared" si="59"/>
        <v>190</v>
      </c>
      <c r="C620" s="153"/>
      <c r="D620" s="138"/>
      <c r="E620" s="154"/>
      <c r="F620" s="154" t="s">
        <v>214</v>
      </c>
      <c r="G620" s="206" t="s">
        <v>543</v>
      </c>
      <c r="H620" s="393">
        <f>525800+5425</f>
        <v>531225</v>
      </c>
      <c r="I620" s="393">
        <f>245207-300</f>
        <v>244907</v>
      </c>
      <c r="J620" s="620">
        <f t="shared" si="61"/>
        <v>46.10231069697397</v>
      </c>
      <c r="K620" s="307"/>
      <c r="L620" s="860"/>
      <c r="M620" s="361"/>
      <c r="N620" s="620"/>
      <c r="O620" s="307"/>
      <c r="P620" s="801">
        <f t="shared" si="64"/>
        <v>531225</v>
      </c>
      <c r="Q620" s="809">
        <f t="shared" si="64"/>
        <v>244907</v>
      </c>
      <c r="R620" s="763">
        <f t="shared" si="60"/>
        <v>46.10231069697397</v>
      </c>
    </row>
    <row r="621" spans="2:18" ht="12.75">
      <c r="B621" s="177">
        <f t="shared" si="59"/>
        <v>191</v>
      </c>
      <c r="C621" s="153"/>
      <c r="D621" s="138"/>
      <c r="E621" s="154"/>
      <c r="F621" s="154" t="s">
        <v>215</v>
      </c>
      <c r="G621" s="206" t="s">
        <v>264</v>
      </c>
      <c r="H621" s="393">
        <f>184049+1876</f>
        <v>185925</v>
      </c>
      <c r="I621" s="393">
        <f>83879-104</f>
        <v>83775</v>
      </c>
      <c r="J621" s="620">
        <f t="shared" si="61"/>
        <v>45.05849132714804</v>
      </c>
      <c r="K621" s="307"/>
      <c r="L621" s="860"/>
      <c r="M621" s="361"/>
      <c r="N621" s="620"/>
      <c r="O621" s="307"/>
      <c r="P621" s="801">
        <f t="shared" si="64"/>
        <v>185925</v>
      </c>
      <c r="Q621" s="809">
        <f t="shared" si="64"/>
        <v>83775</v>
      </c>
      <c r="R621" s="763">
        <f t="shared" si="60"/>
        <v>45.05849132714804</v>
      </c>
    </row>
    <row r="622" spans="2:18" ht="12.75">
      <c r="B622" s="177">
        <f t="shared" si="59"/>
        <v>192</v>
      </c>
      <c r="C622" s="153"/>
      <c r="D622" s="138"/>
      <c r="E622" s="154"/>
      <c r="F622" s="154" t="s">
        <v>221</v>
      </c>
      <c r="G622" s="206" t="s">
        <v>360</v>
      </c>
      <c r="H622" s="393">
        <f>H623+H624+H625+H626+H627+H628+H629+H630+H631</f>
        <v>261957</v>
      </c>
      <c r="I622" s="393">
        <f>I623+I624+I625+I626+I627+I628+I629+I630+I631</f>
        <v>119424</v>
      </c>
      <c r="J622" s="620">
        <f t="shared" si="61"/>
        <v>45.58916157995397</v>
      </c>
      <c r="K622" s="307"/>
      <c r="L622" s="860"/>
      <c r="M622" s="361"/>
      <c r="N622" s="620"/>
      <c r="O622" s="307"/>
      <c r="P622" s="801">
        <f t="shared" si="64"/>
        <v>261957</v>
      </c>
      <c r="Q622" s="809">
        <f t="shared" si="64"/>
        <v>119424</v>
      </c>
      <c r="R622" s="763">
        <f t="shared" si="60"/>
        <v>45.58916157995397</v>
      </c>
    </row>
    <row r="623" spans="2:18" ht="12.75">
      <c r="B623" s="177">
        <f aca="true" t="shared" si="65" ref="B623:B686">B622+1</f>
        <v>193</v>
      </c>
      <c r="C623" s="137"/>
      <c r="D623" s="138"/>
      <c r="E623" s="138"/>
      <c r="F623" s="138" t="s">
        <v>216</v>
      </c>
      <c r="G623" s="199" t="s">
        <v>260</v>
      </c>
      <c r="H623" s="357">
        <v>40</v>
      </c>
      <c r="I623" s="399">
        <v>107</v>
      </c>
      <c r="J623" s="620">
        <f t="shared" si="61"/>
        <v>267.5</v>
      </c>
      <c r="K623" s="309"/>
      <c r="L623" s="863"/>
      <c r="M623" s="402"/>
      <c r="N623" s="620"/>
      <c r="O623" s="309"/>
      <c r="P623" s="802">
        <f t="shared" si="64"/>
        <v>40</v>
      </c>
      <c r="Q623" s="810">
        <f t="shared" si="64"/>
        <v>107</v>
      </c>
      <c r="R623" s="763">
        <f t="shared" si="60"/>
        <v>267.5</v>
      </c>
    </row>
    <row r="624" spans="2:18" ht="12.75">
      <c r="B624" s="177">
        <f t="shared" si="65"/>
        <v>194</v>
      </c>
      <c r="C624" s="137"/>
      <c r="D624" s="138"/>
      <c r="E624" s="138"/>
      <c r="F624" s="138" t="s">
        <v>202</v>
      </c>
      <c r="G624" s="199" t="s">
        <v>335</v>
      </c>
      <c r="H624" s="357">
        <v>135161</v>
      </c>
      <c r="I624" s="399">
        <v>32152</v>
      </c>
      <c r="J624" s="620">
        <f t="shared" si="61"/>
        <v>23.78792699077397</v>
      </c>
      <c r="K624" s="309"/>
      <c r="L624" s="863"/>
      <c r="M624" s="402"/>
      <c r="N624" s="620"/>
      <c r="O624" s="309"/>
      <c r="P624" s="802">
        <f t="shared" si="64"/>
        <v>135161</v>
      </c>
      <c r="Q624" s="810">
        <f t="shared" si="64"/>
        <v>32152</v>
      </c>
      <c r="R624" s="763">
        <f t="shared" si="60"/>
        <v>23.78792699077397</v>
      </c>
    </row>
    <row r="625" spans="2:18" ht="12.75">
      <c r="B625" s="177">
        <f t="shared" si="65"/>
        <v>195</v>
      </c>
      <c r="C625" s="137"/>
      <c r="D625" s="138"/>
      <c r="E625" s="138"/>
      <c r="F625" s="138" t="s">
        <v>203</v>
      </c>
      <c r="G625" s="199" t="s">
        <v>251</v>
      </c>
      <c r="H625" s="357">
        <v>36260</v>
      </c>
      <c r="I625" s="399">
        <v>16489</v>
      </c>
      <c r="J625" s="620">
        <f t="shared" si="61"/>
        <v>45.47435190292333</v>
      </c>
      <c r="K625" s="309"/>
      <c r="L625" s="863"/>
      <c r="M625" s="402"/>
      <c r="N625" s="620"/>
      <c r="O625" s="309"/>
      <c r="P625" s="802">
        <f t="shared" si="64"/>
        <v>36260</v>
      </c>
      <c r="Q625" s="810">
        <f t="shared" si="64"/>
        <v>16489</v>
      </c>
      <c r="R625" s="763">
        <f t="shared" si="60"/>
        <v>45.47435190292333</v>
      </c>
    </row>
    <row r="626" spans="2:18" ht="12.75">
      <c r="B626" s="177">
        <f t="shared" si="65"/>
        <v>196</v>
      </c>
      <c r="C626" s="153"/>
      <c r="D626" s="138"/>
      <c r="E626" s="157"/>
      <c r="F626" s="138" t="s">
        <v>204</v>
      </c>
      <c r="G626" s="199" t="s">
        <v>386</v>
      </c>
      <c r="H626" s="357">
        <v>26</v>
      </c>
      <c r="I626" s="399">
        <v>0</v>
      </c>
      <c r="J626" s="620">
        <f t="shared" si="61"/>
        <v>0</v>
      </c>
      <c r="K626" s="307"/>
      <c r="L626" s="860"/>
      <c r="M626" s="361"/>
      <c r="N626" s="620"/>
      <c r="O626" s="307"/>
      <c r="P626" s="802">
        <f t="shared" si="64"/>
        <v>26</v>
      </c>
      <c r="Q626" s="810">
        <f t="shared" si="64"/>
        <v>0</v>
      </c>
      <c r="R626" s="763">
        <f t="shared" si="60"/>
        <v>0</v>
      </c>
    </row>
    <row r="627" spans="2:18" ht="12.75">
      <c r="B627" s="177">
        <f t="shared" si="65"/>
        <v>197</v>
      </c>
      <c r="C627" s="77"/>
      <c r="D627" s="138"/>
      <c r="E627" s="157"/>
      <c r="F627" s="138" t="s">
        <v>217</v>
      </c>
      <c r="G627" s="199" t="s">
        <v>266</v>
      </c>
      <c r="H627" s="357">
        <v>6030</v>
      </c>
      <c r="I627" s="399">
        <v>7709</v>
      </c>
      <c r="J627" s="620">
        <f t="shared" si="61"/>
        <v>127.8441127694859</v>
      </c>
      <c r="K627" s="309"/>
      <c r="L627" s="863"/>
      <c r="M627" s="402"/>
      <c r="N627" s="620"/>
      <c r="O627" s="309"/>
      <c r="P627" s="802">
        <f t="shared" si="64"/>
        <v>6030</v>
      </c>
      <c r="Q627" s="810">
        <f t="shared" si="64"/>
        <v>7709</v>
      </c>
      <c r="R627" s="763">
        <f t="shared" si="60"/>
        <v>127.8441127694859</v>
      </c>
    </row>
    <row r="628" spans="2:18" ht="12.75">
      <c r="B628" s="177">
        <f t="shared" si="65"/>
        <v>198</v>
      </c>
      <c r="C628" s="137"/>
      <c r="D628" s="138"/>
      <c r="E628" s="157"/>
      <c r="F628" s="138" t="s">
        <v>219</v>
      </c>
      <c r="G628" s="199" t="s">
        <v>252</v>
      </c>
      <c r="H628" s="357">
        <v>30560</v>
      </c>
      <c r="I628" s="399">
        <v>12781</v>
      </c>
      <c r="J628" s="620">
        <f t="shared" si="61"/>
        <v>41.822643979057595</v>
      </c>
      <c r="K628" s="309"/>
      <c r="L628" s="863"/>
      <c r="M628" s="402"/>
      <c r="N628" s="620"/>
      <c r="O628" s="309"/>
      <c r="P628" s="802">
        <f t="shared" si="64"/>
        <v>30560</v>
      </c>
      <c r="Q628" s="810">
        <f t="shared" si="64"/>
        <v>12781</v>
      </c>
      <c r="R628" s="763">
        <f t="shared" si="60"/>
        <v>41.822643979057595</v>
      </c>
    </row>
    <row r="629" spans="2:18" ht="12.75">
      <c r="B629" s="177">
        <f t="shared" si="65"/>
        <v>199</v>
      </c>
      <c r="C629" s="153"/>
      <c r="D629" s="138"/>
      <c r="E629" s="154"/>
      <c r="F629" s="138" t="s">
        <v>221</v>
      </c>
      <c r="G629" s="199" t="s">
        <v>253</v>
      </c>
      <c r="H629" s="399">
        <f>11116-7301</f>
        <v>3815</v>
      </c>
      <c r="I629" s="399">
        <v>1213</v>
      </c>
      <c r="J629" s="620">
        <f t="shared" si="61"/>
        <v>31.795543905635647</v>
      </c>
      <c r="K629" s="307"/>
      <c r="L629" s="860"/>
      <c r="M629" s="361"/>
      <c r="N629" s="620"/>
      <c r="O629" s="307"/>
      <c r="P629" s="802">
        <f t="shared" si="64"/>
        <v>3815</v>
      </c>
      <c r="Q629" s="810">
        <f t="shared" si="64"/>
        <v>1213</v>
      </c>
      <c r="R629" s="763">
        <f t="shared" si="60"/>
        <v>31.795543905635647</v>
      </c>
    </row>
    <row r="630" spans="2:18" ht="12.75">
      <c r="B630" s="177">
        <f t="shared" si="65"/>
        <v>200</v>
      </c>
      <c r="C630" s="153"/>
      <c r="D630" s="138"/>
      <c r="E630" s="157"/>
      <c r="F630" s="138" t="s">
        <v>221</v>
      </c>
      <c r="G630" s="199" t="s">
        <v>541</v>
      </c>
      <c r="H630" s="399">
        <v>1092</v>
      </c>
      <c r="I630" s="399">
        <v>0</v>
      </c>
      <c r="J630" s="620">
        <f t="shared" si="61"/>
        <v>0</v>
      </c>
      <c r="K630" s="307"/>
      <c r="L630" s="860"/>
      <c r="M630" s="361"/>
      <c r="N630" s="620"/>
      <c r="O630" s="307"/>
      <c r="P630" s="802">
        <f t="shared" si="64"/>
        <v>1092</v>
      </c>
      <c r="Q630" s="810">
        <f t="shared" si="64"/>
        <v>0</v>
      </c>
      <c r="R630" s="763">
        <f t="shared" si="60"/>
        <v>0</v>
      </c>
    </row>
    <row r="631" spans="2:18" ht="12.75">
      <c r="B631" s="177">
        <f t="shared" si="65"/>
        <v>201</v>
      </c>
      <c r="C631" s="153"/>
      <c r="D631" s="138"/>
      <c r="E631" s="255"/>
      <c r="F631" s="298" t="s">
        <v>221</v>
      </c>
      <c r="G631" s="228" t="s">
        <v>786</v>
      </c>
      <c r="H631" s="584">
        <v>48973</v>
      </c>
      <c r="I631" s="584">
        <v>48973</v>
      </c>
      <c r="J631" s="620">
        <f t="shared" si="61"/>
        <v>100</v>
      </c>
      <c r="K631" s="307"/>
      <c r="L631" s="860"/>
      <c r="M631" s="361"/>
      <c r="N631" s="620"/>
      <c r="O631" s="307"/>
      <c r="P631" s="802">
        <f t="shared" si="64"/>
        <v>48973</v>
      </c>
      <c r="Q631" s="810">
        <f t="shared" si="64"/>
        <v>48973</v>
      </c>
      <c r="R631" s="763">
        <f t="shared" si="60"/>
        <v>100</v>
      </c>
    </row>
    <row r="632" spans="2:18" ht="12.75">
      <c r="B632" s="177">
        <f t="shared" si="65"/>
        <v>202</v>
      </c>
      <c r="C632" s="153"/>
      <c r="D632" s="138"/>
      <c r="E632" s="404"/>
      <c r="F632" s="277" t="s">
        <v>221</v>
      </c>
      <c r="G632" s="210" t="s">
        <v>444</v>
      </c>
      <c r="H632" s="401">
        <v>40000</v>
      </c>
      <c r="I632" s="401">
        <v>8118</v>
      </c>
      <c r="J632" s="620">
        <f t="shared" si="61"/>
        <v>20.294999999999998</v>
      </c>
      <c r="K632" s="309"/>
      <c r="L632" s="863"/>
      <c r="M632" s="402"/>
      <c r="N632" s="620"/>
      <c r="O632" s="309"/>
      <c r="P632" s="802">
        <f t="shared" si="64"/>
        <v>40000</v>
      </c>
      <c r="Q632" s="810">
        <f t="shared" si="64"/>
        <v>8118</v>
      </c>
      <c r="R632" s="763">
        <f t="shared" si="60"/>
        <v>20.294999999999998</v>
      </c>
    </row>
    <row r="633" spans="2:18" ht="12.75">
      <c r="B633" s="177">
        <f t="shared" si="65"/>
        <v>203</v>
      </c>
      <c r="C633" s="137"/>
      <c r="D633" s="138"/>
      <c r="E633" s="404"/>
      <c r="F633" s="277" t="s">
        <v>220</v>
      </c>
      <c r="G633" s="210" t="s">
        <v>387</v>
      </c>
      <c r="H633" s="393">
        <v>1000</v>
      </c>
      <c r="I633" s="401">
        <v>3117</v>
      </c>
      <c r="J633" s="620">
        <f t="shared" si="61"/>
        <v>311.7</v>
      </c>
      <c r="K633" s="311"/>
      <c r="L633" s="864"/>
      <c r="M633" s="357"/>
      <c r="N633" s="620"/>
      <c r="O633" s="311"/>
      <c r="P633" s="830">
        <f t="shared" si="64"/>
        <v>1000</v>
      </c>
      <c r="Q633" s="844">
        <f t="shared" si="64"/>
        <v>3117</v>
      </c>
      <c r="R633" s="763">
        <f t="shared" si="60"/>
        <v>311.7</v>
      </c>
    </row>
    <row r="634" spans="2:18" ht="12.75">
      <c r="B634" s="177">
        <f t="shared" si="65"/>
        <v>204</v>
      </c>
      <c r="C634" s="137"/>
      <c r="D634" s="138"/>
      <c r="E634" s="174" t="s">
        <v>852</v>
      </c>
      <c r="F634" s="277" t="s">
        <v>203</v>
      </c>
      <c r="G634" s="206" t="s">
        <v>854</v>
      </c>
      <c r="H634" s="663">
        <v>0</v>
      </c>
      <c r="I634" s="890">
        <v>1533</v>
      </c>
      <c r="J634" s="620"/>
      <c r="K634" s="309"/>
      <c r="L634" s="865"/>
      <c r="M634" s="881"/>
      <c r="N634" s="620"/>
      <c r="O634" s="309"/>
      <c r="P634" s="831">
        <f t="shared" si="64"/>
        <v>0</v>
      </c>
      <c r="Q634" s="845">
        <f t="shared" si="64"/>
        <v>1533</v>
      </c>
      <c r="R634" s="763"/>
    </row>
    <row r="635" spans="2:18" ht="15">
      <c r="B635" s="177">
        <f t="shared" si="65"/>
        <v>205</v>
      </c>
      <c r="C635" s="153"/>
      <c r="D635" s="259" t="s">
        <v>6</v>
      </c>
      <c r="E635" s="264" t="s">
        <v>450</v>
      </c>
      <c r="F635" s="264" t="s">
        <v>388</v>
      </c>
      <c r="G635" s="265"/>
      <c r="H635" s="392">
        <f>H636+H637+H638+H647+H648+H649</f>
        <v>1207769</v>
      </c>
      <c r="I635" s="392">
        <f>I636+I637+I638+I647+I648+I649+I650</f>
        <v>486573</v>
      </c>
      <c r="J635" s="620">
        <f t="shared" si="61"/>
        <v>40.286925728347065</v>
      </c>
      <c r="K635" s="306"/>
      <c r="L635" s="872"/>
      <c r="M635" s="391"/>
      <c r="N635" s="639"/>
      <c r="O635" s="306"/>
      <c r="P635" s="834">
        <f t="shared" si="64"/>
        <v>1207769</v>
      </c>
      <c r="Q635" s="848">
        <f t="shared" si="64"/>
        <v>486573</v>
      </c>
      <c r="R635" s="778">
        <f t="shared" si="60"/>
        <v>40.286925728347065</v>
      </c>
    </row>
    <row r="636" spans="2:18" ht="12.75">
      <c r="B636" s="177">
        <f t="shared" si="65"/>
        <v>206</v>
      </c>
      <c r="C636" s="153"/>
      <c r="D636" s="154"/>
      <c r="E636" s="154"/>
      <c r="F636" s="154" t="s">
        <v>214</v>
      </c>
      <c r="G636" s="206" t="s">
        <v>543</v>
      </c>
      <c r="H636" s="393">
        <f>691376+3900</f>
        <v>695276</v>
      </c>
      <c r="I636" s="393">
        <v>287543</v>
      </c>
      <c r="J636" s="620">
        <f t="shared" si="61"/>
        <v>41.35666986923179</v>
      </c>
      <c r="K636" s="307"/>
      <c r="L636" s="860"/>
      <c r="M636" s="361"/>
      <c r="N636" s="620"/>
      <c r="O636" s="307"/>
      <c r="P636" s="801">
        <f t="shared" si="64"/>
        <v>695276</v>
      </c>
      <c r="Q636" s="809">
        <f t="shared" si="64"/>
        <v>287543</v>
      </c>
      <c r="R636" s="763">
        <f t="shared" si="60"/>
        <v>41.35666986923179</v>
      </c>
    </row>
    <row r="637" spans="2:18" ht="12.75">
      <c r="B637" s="177">
        <f t="shared" si="65"/>
        <v>207</v>
      </c>
      <c r="C637" s="153"/>
      <c r="D637" s="154"/>
      <c r="E637" s="154"/>
      <c r="F637" s="154" t="s">
        <v>215</v>
      </c>
      <c r="G637" s="206" t="s">
        <v>264</v>
      </c>
      <c r="H637" s="393">
        <f>241816+1500</f>
        <v>243316</v>
      </c>
      <c r="I637" s="393">
        <v>104417</v>
      </c>
      <c r="J637" s="620">
        <f t="shared" si="61"/>
        <v>42.91415278896579</v>
      </c>
      <c r="K637" s="307"/>
      <c r="L637" s="860"/>
      <c r="M637" s="361"/>
      <c r="N637" s="620"/>
      <c r="O637" s="307"/>
      <c r="P637" s="801">
        <f t="shared" si="64"/>
        <v>243316</v>
      </c>
      <c r="Q637" s="809">
        <f t="shared" si="64"/>
        <v>104417</v>
      </c>
      <c r="R637" s="763">
        <f t="shared" si="60"/>
        <v>42.91415278896579</v>
      </c>
    </row>
    <row r="638" spans="2:18" ht="12.75">
      <c r="B638" s="177">
        <f t="shared" si="65"/>
        <v>208</v>
      </c>
      <c r="C638" s="137"/>
      <c r="D638" s="138"/>
      <c r="E638" s="138"/>
      <c r="F638" s="154" t="s">
        <v>221</v>
      </c>
      <c r="G638" s="206" t="s">
        <v>360</v>
      </c>
      <c r="H638" s="393">
        <f>H639+H640+H641+H642+H643+H644+H645+H646</f>
        <v>245106</v>
      </c>
      <c r="I638" s="393">
        <f>I639+I640+I641+I642+I643+I644+I645+I646</f>
        <v>89404</v>
      </c>
      <c r="J638" s="620">
        <f t="shared" si="61"/>
        <v>36.475647270976644</v>
      </c>
      <c r="K638" s="309"/>
      <c r="L638" s="863"/>
      <c r="M638" s="402"/>
      <c r="N638" s="620"/>
      <c r="O638" s="309"/>
      <c r="P638" s="801">
        <f t="shared" si="64"/>
        <v>245106</v>
      </c>
      <c r="Q638" s="809">
        <f t="shared" si="64"/>
        <v>89404</v>
      </c>
      <c r="R638" s="763">
        <f t="shared" si="60"/>
        <v>36.475647270976644</v>
      </c>
    </row>
    <row r="639" spans="2:18" ht="12.75">
      <c r="B639" s="177">
        <f t="shared" si="65"/>
        <v>209</v>
      </c>
      <c r="C639" s="137"/>
      <c r="D639" s="138"/>
      <c r="E639" s="138"/>
      <c r="F639" s="138" t="s">
        <v>216</v>
      </c>
      <c r="G639" s="199" t="s">
        <v>260</v>
      </c>
      <c r="H639" s="357">
        <v>50</v>
      </c>
      <c r="I639" s="357">
        <v>0</v>
      </c>
      <c r="J639" s="620">
        <f t="shared" si="61"/>
        <v>0</v>
      </c>
      <c r="K639" s="309"/>
      <c r="L639" s="863"/>
      <c r="M639" s="402"/>
      <c r="N639" s="620"/>
      <c r="O639" s="309"/>
      <c r="P639" s="802">
        <f t="shared" si="64"/>
        <v>50</v>
      </c>
      <c r="Q639" s="810">
        <f t="shared" si="64"/>
        <v>0</v>
      </c>
      <c r="R639" s="763">
        <f t="shared" si="60"/>
        <v>0</v>
      </c>
    </row>
    <row r="640" spans="2:18" ht="12.75">
      <c r="B640" s="177">
        <f t="shared" si="65"/>
        <v>210</v>
      </c>
      <c r="C640" s="137"/>
      <c r="D640" s="138"/>
      <c r="E640" s="138"/>
      <c r="F640" s="138" t="s">
        <v>202</v>
      </c>
      <c r="G640" s="199" t="s">
        <v>335</v>
      </c>
      <c r="H640" s="357">
        <v>127561</v>
      </c>
      <c r="I640" s="357">
        <v>39196</v>
      </c>
      <c r="J640" s="620">
        <f t="shared" si="61"/>
        <v>30.727259899185487</v>
      </c>
      <c r="K640" s="309"/>
      <c r="L640" s="863"/>
      <c r="M640" s="402"/>
      <c r="N640" s="620"/>
      <c r="O640" s="309"/>
      <c r="P640" s="802">
        <f t="shared" si="64"/>
        <v>127561</v>
      </c>
      <c r="Q640" s="810">
        <f t="shared" si="64"/>
        <v>39196</v>
      </c>
      <c r="R640" s="763">
        <f t="shared" si="60"/>
        <v>30.727259899185487</v>
      </c>
    </row>
    <row r="641" spans="2:18" ht="12.75">
      <c r="B641" s="177">
        <f t="shared" si="65"/>
        <v>211</v>
      </c>
      <c r="C641" s="137"/>
      <c r="D641" s="138"/>
      <c r="E641" s="138"/>
      <c r="F641" s="138" t="s">
        <v>203</v>
      </c>
      <c r="G641" s="199" t="s">
        <v>251</v>
      </c>
      <c r="H641" s="357">
        <v>45270</v>
      </c>
      <c r="I641" s="357">
        <v>7173</v>
      </c>
      <c r="J641" s="620">
        <f t="shared" si="61"/>
        <v>15.844930417495029</v>
      </c>
      <c r="K641" s="309"/>
      <c r="L641" s="863"/>
      <c r="M641" s="402"/>
      <c r="N641" s="620"/>
      <c r="O641" s="309"/>
      <c r="P641" s="802">
        <f t="shared" si="64"/>
        <v>45270</v>
      </c>
      <c r="Q641" s="810">
        <f t="shared" si="64"/>
        <v>7173</v>
      </c>
      <c r="R641" s="763">
        <f aca="true" t="shared" si="66" ref="R641:R649">Q641/P641*100</f>
        <v>15.844930417495029</v>
      </c>
    </row>
    <row r="642" spans="2:18" ht="12.75">
      <c r="B642" s="177">
        <f t="shared" si="65"/>
        <v>212</v>
      </c>
      <c r="C642" s="137"/>
      <c r="D642" s="138"/>
      <c r="E642" s="138"/>
      <c r="F642" s="138" t="s">
        <v>217</v>
      </c>
      <c r="G642" s="199" t="s">
        <v>266</v>
      </c>
      <c r="H642" s="357">
        <v>16020</v>
      </c>
      <c r="I642" s="357">
        <v>8770</v>
      </c>
      <c r="J642" s="620">
        <f t="shared" si="61"/>
        <v>54.74406991260924</v>
      </c>
      <c r="K642" s="309"/>
      <c r="L642" s="863"/>
      <c r="M642" s="402"/>
      <c r="N642" s="620"/>
      <c r="O642" s="309"/>
      <c r="P642" s="802">
        <f t="shared" si="64"/>
        <v>16020</v>
      </c>
      <c r="Q642" s="810">
        <f t="shared" si="64"/>
        <v>8770</v>
      </c>
      <c r="R642" s="763">
        <f t="shared" si="66"/>
        <v>54.74406991260924</v>
      </c>
    </row>
    <row r="643" spans="2:18" ht="12.75">
      <c r="B643" s="177">
        <f t="shared" si="65"/>
        <v>213</v>
      </c>
      <c r="C643" s="137"/>
      <c r="D643" s="138"/>
      <c r="E643" s="138"/>
      <c r="F643" s="138" t="s">
        <v>219</v>
      </c>
      <c r="G643" s="199" t="s">
        <v>252</v>
      </c>
      <c r="H643" s="396">
        <v>32000</v>
      </c>
      <c r="I643" s="396">
        <v>15940</v>
      </c>
      <c r="J643" s="620">
        <f t="shared" si="61"/>
        <v>49.8125</v>
      </c>
      <c r="K643" s="311"/>
      <c r="L643" s="864"/>
      <c r="M643" s="357"/>
      <c r="N643" s="620"/>
      <c r="O643" s="311"/>
      <c r="P643" s="804">
        <f t="shared" si="64"/>
        <v>32000</v>
      </c>
      <c r="Q643" s="812">
        <f t="shared" si="64"/>
        <v>15940</v>
      </c>
      <c r="R643" s="763">
        <f t="shared" si="66"/>
        <v>49.8125</v>
      </c>
    </row>
    <row r="644" spans="2:18" ht="12.75">
      <c r="B644" s="177">
        <f t="shared" si="65"/>
        <v>214</v>
      </c>
      <c r="C644" s="137"/>
      <c r="D644" s="138"/>
      <c r="E644" s="138"/>
      <c r="F644" s="138" t="s">
        <v>221</v>
      </c>
      <c r="G644" s="199" t="s">
        <v>253</v>
      </c>
      <c r="H644" s="357">
        <f>13000-5400</f>
        <v>7600</v>
      </c>
      <c r="I644" s="357">
        <v>2620</v>
      </c>
      <c r="J644" s="620">
        <f t="shared" si="61"/>
        <v>34.473684210526315</v>
      </c>
      <c r="K644" s="309"/>
      <c r="L644" s="865"/>
      <c r="M644" s="881"/>
      <c r="N644" s="620"/>
      <c r="O644" s="309"/>
      <c r="P644" s="804">
        <f aca="true" t="shared" si="67" ref="P644:Q681">H644+L644</f>
        <v>7600</v>
      </c>
      <c r="Q644" s="812">
        <f t="shared" si="67"/>
        <v>2620</v>
      </c>
      <c r="R644" s="763">
        <f t="shared" si="66"/>
        <v>34.473684210526315</v>
      </c>
    </row>
    <row r="645" spans="2:18" ht="12.75">
      <c r="B645" s="177">
        <f t="shared" si="65"/>
        <v>215</v>
      </c>
      <c r="C645" s="137"/>
      <c r="D645" s="138"/>
      <c r="E645" s="138"/>
      <c r="F645" s="138" t="s">
        <v>221</v>
      </c>
      <c r="G645" s="199" t="s">
        <v>541</v>
      </c>
      <c r="H645" s="357">
        <v>900</v>
      </c>
      <c r="I645" s="357">
        <v>0</v>
      </c>
      <c r="J645" s="620">
        <f t="shared" si="61"/>
        <v>0</v>
      </c>
      <c r="K645" s="311"/>
      <c r="L645" s="864"/>
      <c r="M645" s="357"/>
      <c r="N645" s="620"/>
      <c r="O645" s="311"/>
      <c r="P645" s="804">
        <f t="shared" si="67"/>
        <v>900</v>
      </c>
      <c r="Q645" s="812">
        <f t="shared" si="67"/>
        <v>0</v>
      </c>
      <c r="R645" s="763">
        <f t="shared" si="66"/>
        <v>0</v>
      </c>
    </row>
    <row r="646" spans="2:18" ht="12.75">
      <c r="B646" s="177">
        <f t="shared" si="65"/>
        <v>216</v>
      </c>
      <c r="C646" s="137"/>
      <c r="D646" s="138"/>
      <c r="E646" s="138"/>
      <c r="F646" s="138" t="s">
        <v>221</v>
      </c>
      <c r="G646" s="199" t="s">
        <v>786</v>
      </c>
      <c r="H646" s="357">
        <v>15705</v>
      </c>
      <c r="I646" s="357">
        <v>15705</v>
      </c>
      <c r="J646" s="620">
        <f t="shared" si="61"/>
        <v>100</v>
      </c>
      <c r="K646" s="311"/>
      <c r="L646" s="864"/>
      <c r="M646" s="357"/>
      <c r="N646" s="620"/>
      <c r="O646" s="311"/>
      <c r="P646" s="804">
        <f t="shared" si="67"/>
        <v>15705</v>
      </c>
      <c r="Q646" s="812">
        <f t="shared" si="67"/>
        <v>15705</v>
      </c>
      <c r="R646" s="763">
        <f t="shared" si="66"/>
        <v>100</v>
      </c>
    </row>
    <row r="647" spans="2:18" ht="12.75">
      <c r="B647" s="177">
        <f t="shared" si="65"/>
        <v>217</v>
      </c>
      <c r="C647" s="137"/>
      <c r="D647" s="138"/>
      <c r="E647" s="138"/>
      <c r="F647" s="154" t="s">
        <v>221</v>
      </c>
      <c r="G647" s="206" t="s">
        <v>444</v>
      </c>
      <c r="H647" s="401">
        <v>16022</v>
      </c>
      <c r="I647" s="401">
        <v>2329</v>
      </c>
      <c r="J647" s="620">
        <f t="shared" si="61"/>
        <v>14.536262638871552</v>
      </c>
      <c r="K647" s="322"/>
      <c r="L647" s="861"/>
      <c r="M647" s="393"/>
      <c r="N647" s="620"/>
      <c r="O647" s="312"/>
      <c r="P647" s="830">
        <f t="shared" si="67"/>
        <v>16022</v>
      </c>
      <c r="Q647" s="844">
        <f t="shared" si="67"/>
        <v>2329</v>
      </c>
      <c r="R647" s="763">
        <f t="shared" si="66"/>
        <v>14.536262638871552</v>
      </c>
    </row>
    <row r="648" spans="2:18" ht="12.75">
      <c r="B648" s="177">
        <f t="shared" si="65"/>
        <v>218</v>
      </c>
      <c r="C648" s="137"/>
      <c r="D648" s="138"/>
      <c r="E648" s="138"/>
      <c r="F648" s="154" t="s">
        <v>220</v>
      </c>
      <c r="G648" s="206" t="s">
        <v>546</v>
      </c>
      <c r="H648" s="393">
        <v>2100</v>
      </c>
      <c r="I648" s="393">
        <v>1486</v>
      </c>
      <c r="J648" s="620">
        <f t="shared" si="61"/>
        <v>70.76190476190476</v>
      </c>
      <c r="K648" s="307"/>
      <c r="L648" s="866"/>
      <c r="M648" s="882"/>
      <c r="N648" s="620"/>
      <c r="O648" s="307"/>
      <c r="P648" s="830">
        <f t="shared" si="67"/>
        <v>2100</v>
      </c>
      <c r="Q648" s="844">
        <f t="shared" si="67"/>
        <v>1486</v>
      </c>
      <c r="R648" s="763">
        <f t="shared" si="66"/>
        <v>70.76190476190476</v>
      </c>
    </row>
    <row r="649" spans="2:18" ht="12.75">
      <c r="B649" s="177">
        <f t="shared" si="65"/>
        <v>219</v>
      </c>
      <c r="C649" s="137"/>
      <c r="D649" s="138"/>
      <c r="E649" s="138"/>
      <c r="F649" s="154" t="s">
        <v>220</v>
      </c>
      <c r="G649" s="206" t="s">
        <v>387</v>
      </c>
      <c r="H649" s="393">
        <v>5949</v>
      </c>
      <c r="I649" s="393">
        <v>214</v>
      </c>
      <c r="J649" s="620">
        <f t="shared" si="61"/>
        <v>3.5972432341570015</v>
      </c>
      <c r="K649" s="315"/>
      <c r="L649" s="863"/>
      <c r="M649" s="402"/>
      <c r="N649" s="620"/>
      <c r="O649" s="315"/>
      <c r="P649" s="801">
        <f t="shared" si="67"/>
        <v>5949</v>
      </c>
      <c r="Q649" s="809">
        <f t="shared" si="67"/>
        <v>214</v>
      </c>
      <c r="R649" s="763">
        <f t="shared" si="66"/>
        <v>3.5972432341570015</v>
      </c>
    </row>
    <row r="650" spans="2:18" ht="12.75">
      <c r="B650" s="177">
        <f t="shared" si="65"/>
        <v>220</v>
      </c>
      <c r="C650" s="137"/>
      <c r="D650" s="138"/>
      <c r="E650" s="174" t="s">
        <v>852</v>
      </c>
      <c r="F650" s="1044" t="s">
        <v>203</v>
      </c>
      <c r="G650" s="1045" t="s">
        <v>854</v>
      </c>
      <c r="H650" s="663">
        <v>0</v>
      </c>
      <c r="I650" s="890">
        <v>1180</v>
      </c>
      <c r="J650" s="620"/>
      <c r="K650" s="309"/>
      <c r="L650" s="863"/>
      <c r="M650" s="402"/>
      <c r="N650" s="620"/>
      <c r="O650" s="309"/>
      <c r="P650" s="801">
        <f t="shared" si="67"/>
        <v>0</v>
      </c>
      <c r="Q650" s="809">
        <f t="shared" si="67"/>
        <v>1180</v>
      </c>
      <c r="R650" s="763"/>
    </row>
    <row r="651" spans="2:18" ht="15">
      <c r="B651" s="177">
        <f t="shared" si="65"/>
        <v>221</v>
      </c>
      <c r="C651" s="137"/>
      <c r="D651" s="260" t="s">
        <v>7</v>
      </c>
      <c r="E651" s="158" t="s">
        <v>450</v>
      </c>
      <c r="F651" s="158" t="s">
        <v>389</v>
      </c>
      <c r="G651" s="239"/>
      <c r="H651" s="390">
        <f>H652+H653+H654+H663+H664+H665</f>
        <v>930984</v>
      </c>
      <c r="I651" s="390">
        <f>I652+I653+I654+I663+I664+I665+I666</f>
        <v>339294</v>
      </c>
      <c r="J651" s="620">
        <f t="shared" si="61"/>
        <v>36.444664999613316</v>
      </c>
      <c r="K651" s="139"/>
      <c r="L651" s="854">
        <f>L667</f>
        <v>30250</v>
      </c>
      <c r="M651" s="875">
        <f>M667</f>
        <v>0</v>
      </c>
      <c r="N651" s="638">
        <f>M651/L651*100</f>
        <v>0</v>
      </c>
      <c r="O651" s="139"/>
      <c r="P651" s="826">
        <f t="shared" si="67"/>
        <v>961234</v>
      </c>
      <c r="Q651" s="840">
        <f t="shared" si="67"/>
        <v>339294</v>
      </c>
      <c r="R651" s="763">
        <f aca="true" t="shared" si="68" ref="R651:R718">Q651/P651*100</f>
        <v>35.29775268040872</v>
      </c>
    </row>
    <row r="652" spans="2:18" ht="12.75">
      <c r="B652" s="177">
        <f t="shared" si="65"/>
        <v>222</v>
      </c>
      <c r="C652" s="137"/>
      <c r="D652" s="138"/>
      <c r="E652" s="138"/>
      <c r="F652" s="154" t="s">
        <v>214</v>
      </c>
      <c r="G652" s="206" t="s">
        <v>543</v>
      </c>
      <c r="H652" s="393">
        <f>472884+8876</f>
        <v>481760</v>
      </c>
      <c r="I652" s="393">
        <v>199998</v>
      </c>
      <c r="J652" s="620">
        <f t="shared" si="61"/>
        <v>41.51403188309531</v>
      </c>
      <c r="K652" s="309"/>
      <c r="L652" s="863"/>
      <c r="M652" s="402"/>
      <c r="N652" s="620"/>
      <c r="O652" s="309"/>
      <c r="P652" s="832">
        <f t="shared" si="67"/>
        <v>481760</v>
      </c>
      <c r="Q652" s="846">
        <f t="shared" si="67"/>
        <v>199998</v>
      </c>
      <c r="R652" s="763">
        <f t="shared" si="68"/>
        <v>41.51403188309531</v>
      </c>
    </row>
    <row r="653" spans="2:18" ht="12.75">
      <c r="B653" s="177">
        <f t="shared" si="65"/>
        <v>223</v>
      </c>
      <c r="C653" s="137"/>
      <c r="D653" s="138"/>
      <c r="E653" s="138"/>
      <c r="F653" s="154" t="s">
        <v>215</v>
      </c>
      <c r="G653" s="206" t="s">
        <v>264</v>
      </c>
      <c r="H653" s="393">
        <f>166451+3124</f>
        <v>169575</v>
      </c>
      <c r="I653" s="393">
        <v>71693</v>
      </c>
      <c r="J653" s="620">
        <f aca="true" t="shared" si="69" ref="J653:J720">I653/H653*100</f>
        <v>42.27804806132979</v>
      </c>
      <c r="K653" s="309"/>
      <c r="L653" s="863"/>
      <c r="M653" s="402"/>
      <c r="N653" s="620"/>
      <c r="O653" s="309"/>
      <c r="P653" s="832">
        <f t="shared" si="67"/>
        <v>169575</v>
      </c>
      <c r="Q653" s="846">
        <f t="shared" si="67"/>
        <v>71693</v>
      </c>
      <c r="R653" s="763">
        <f t="shared" si="68"/>
        <v>42.27804806132979</v>
      </c>
    </row>
    <row r="654" spans="2:18" ht="12.75">
      <c r="B654" s="177">
        <f t="shared" si="65"/>
        <v>224</v>
      </c>
      <c r="C654" s="137"/>
      <c r="D654" s="138"/>
      <c r="E654" s="138"/>
      <c r="F654" s="154" t="s">
        <v>221</v>
      </c>
      <c r="G654" s="206" t="s">
        <v>360</v>
      </c>
      <c r="H654" s="393">
        <f>H655+H656+H657+H658+H659+H660+H661+H662</f>
        <v>276199</v>
      </c>
      <c r="I654" s="393">
        <f>I655+I656+I657+I658+I659+I660+I661+I662</f>
        <v>66688</v>
      </c>
      <c r="J654" s="620">
        <f t="shared" si="69"/>
        <v>24.14491001053588</v>
      </c>
      <c r="K654" s="309"/>
      <c r="L654" s="863"/>
      <c r="M654" s="402"/>
      <c r="N654" s="620"/>
      <c r="O654" s="309"/>
      <c r="P654" s="832">
        <f t="shared" si="67"/>
        <v>276199</v>
      </c>
      <c r="Q654" s="846">
        <f t="shared" si="67"/>
        <v>66688</v>
      </c>
      <c r="R654" s="763">
        <f t="shared" si="68"/>
        <v>24.14491001053588</v>
      </c>
    </row>
    <row r="655" spans="2:18" ht="12.75">
      <c r="B655" s="177">
        <f t="shared" si="65"/>
        <v>225</v>
      </c>
      <c r="C655" s="137"/>
      <c r="D655" s="138"/>
      <c r="E655" s="138"/>
      <c r="F655" s="138" t="s">
        <v>216</v>
      </c>
      <c r="G655" s="199" t="s">
        <v>260</v>
      </c>
      <c r="H655" s="357">
        <v>250</v>
      </c>
      <c r="I655" s="357">
        <v>46</v>
      </c>
      <c r="J655" s="620">
        <f t="shared" si="69"/>
        <v>18.4</v>
      </c>
      <c r="K655" s="309"/>
      <c r="L655" s="863"/>
      <c r="M655" s="402"/>
      <c r="N655" s="620"/>
      <c r="O655" s="309"/>
      <c r="P655" s="802">
        <f t="shared" si="67"/>
        <v>250</v>
      </c>
      <c r="Q655" s="810">
        <f t="shared" si="67"/>
        <v>46</v>
      </c>
      <c r="R655" s="763">
        <f t="shared" si="68"/>
        <v>18.4</v>
      </c>
    </row>
    <row r="656" spans="2:18" ht="12.75">
      <c r="B656" s="177">
        <f t="shared" si="65"/>
        <v>226</v>
      </c>
      <c r="C656" s="137"/>
      <c r="D656" s="138"/>
      <c r="E656" s="138"/>
      <c r="F656" s="138" t="s">
        <v>202</v>
      </c>
      <c r="G656" s="199" t="s">
        <v>335</v>
      </c>
      <c r="H656" s="357">
        <v>70738</v>
      </c>
      <c r="I656" s="357">
        <v>26679</v>
      </c>
      <c r="J656" s="620">
        <f t="shared" si="69"/>
        <v>37.71523085187594</v>
      </c>
      <c r="K656" s="309"/>
      <c r="L656" s="863"/>
      <c r="M656" s="402"/>
      <c r="N656" s="620"/>
      <c r="O656" s="309"/>
      <c r="P656" s="802">
        <f t="shared" si="67"/>
        <v>70738</v>
      </c>
      <c r="Q656" s="810">
        <f t="shared" si="67"/>
        <v>26679</v>
      </c>
      <c r="R656" s="763">
        <f t="shared" si="68"/>
        <v>37.71523085187594</v>
      </c>
    </row>
    <row r="657" spans="2:18" ht="12.75">
      <c r="B657" s="177">
        <f t="shared" si="65"/>
        <v>227</v>
      </c>
      <c r="C657" s="137"/>
      <c r="D657" s="138"/>
      <c r="E657" s="138"/>
      <c r="F657" s="138" t="s">
        <v>203</v>
      </c>
      <c r="G657" s="199" t="s">
        <v>251</v>
      </c>
      <c r="H657" s="357">
        <v>42300</v>
      </c>
      <c r="I657" s="357">
        <v>5965</v>
      </c>
      <c r="J657" s="620">
        <f t="shared" si="69"/>
        <v>14.101654846335698</v>
      </c>
      <c r="K657" s="309"/>
      <c r="L657" s="863"/>
      <c r="M657" s="402"/>
      <c r="N657" s="620"/>
      <c r="O657" s="309"/>
      <c r="P657" s="802">
        <f t="shared" si="67"/>
        <v>42300</v>
      </c>
      <c r="Q657" s="810">
        <f t="shared" si="67"/>
        <v>5965</v>
      </c>
      <c r="R657" s="763">
        <f t="shared" si="68"/>
        <v>14.101654846335698</v>
      </c>
    </row>
    <row r="658" spans="2:18" ht="12.75">
      <c r="B658" s="177">
        <f t="shared" si="65"/>
        <v>228</v>
      </c>
      <c r="C658" s="137"/>
      <c r="D658" s="138"/>
      <c r="E658" s="138"/>
      <c r="F658" s="138" t="s">
        <v>217</v>
      </c>
      <c r="G658" s="199" t="s">
        <v>266</v>
      </c>
      <c r="H658" s="357">
        <f>22100+100000</f>
        <v>122100</v>
      </c>
      <c r="I658" s="357">
        <v>3559</v>
      </c>
      <c r="J658" s="620">
        <f t="shared" si="69"/>
        <v>2.914823914823915</v>
      </c>
      <c r="K658" s="309"/>
      <c r="L658" s="863"/>
      <c r="M658" s="402"/>
      <c r="N658" s="620"/>
      <c r="O658" s="309"/>
      <c r="P658" s="802">
        <f t="shared" si="67"/>
        <v>122100</v>
      </c>
      <c r="Q658" s="810">
        <f t="shared" si="67"/>
        <v>3559</v>
      </c>
      <c r="R658" s="763">
        <f t="shared" si="68"/>
        <v>2.914823914823915</v>
      </c>
    </row>
    <row r="659" spans="2:18" ht="12.75">
      <c r="B659" s="177">
        <f t="shared" si="65"/>
        <v>229</v>
      </c>
      <c r="C659" s="137"/>
      <c r="D659" s="138"/>
      <c r="E659" s="138"/>
      <c r="F659" s="138" t="s">
        <v>219</v>
      </c>
      <c r="G659" s="199" t="s">
        <v>252</v>
      </c>
      <c r="H659" s="357">
        <v>27900</v>
      </c>
      <c r="I659" s="399">
        <f>15367-282</f>
        <v>15085</v>
      </c>
      <c r="J659" s="620">
        <f t="shared" si="69"/>
        <v>54.068100358422946</v>
      </c>
      <c r="K659" s="309"/>
      <c r="L659" s="863"/>
      <c r="M659" s="402"/>
      <c r="N659" s="620"/>
      <c r="O659" s="309"/>
      <c r="P659" s="802">
        <f t="shared" si="67"/>
        <v>27900</v>
      </c>
      <c r="Q659" s="810">
        <f t="shared" si="67"/>
        <v>15085</v>
      </c>
      <c r="R659" s="763">
        <f t="shared" si="68"/>
        <v>54.068100358422946</v>
      </c>
    </row>
    <row r="660" spans="2:18" ht="12.75">
      <c r="B660" s="177">
        <f t="shared" si="65"/>
        <v>230</v>
      </c>
      <c r="C660" s="137"/>
      <c r="D660" s="138"/>
      <c r="E660" s="138"/>
      <c r="F660" s="138" t="s">
        <v>221</v>
      </c>
      <c r="G660" s="199" t="s">
        <v>253</v>
      </c>
      <c r="H660" s="357">
        <f>500+14500-12000</f>
        <v>3000</v>
      </c>
      <c r="I660" s="399">
        <v>5943</v>
      </c>
      <c r="J660" s="620">
        <f t="shared" si="69"/>
        <v>198.10000000000002</v>
      </c>
      <c r="K660" s="309"/>
      <c r="L660" s="863"/>
      <c r="M660" s="402"/>
      <c r="N660" s="620"/>
      <c r="O660" s="309"/>
      <c r="P660" s="802">
        <f t="shared" si="67"/>
        <v>3000</v>
      </c>
      <c r="Q660" s="810">
        <f t="shared" si="67"/>
        <v>5943</v>
      </c>
      <c r="R660" s="763">
        <f t="shared" si="68"/>
        <v>198.10000000000002</v>
      </c>
    </row>
    <row r="661" spans="2:18" ht="12.75">
      <c r="B661" s="177">
        <f t="shared" si="65"/>
        <v>231</v>
      </c>
      <c r="C661" s="137"/>
      <c r="D661" s="138"/>
      <c r="E661" s="138"/>
      <c r="F661" s="138" t="s">
        <v>221</v>
      </c>
      <c r="G661" s="199" t="s">
        <v>541</v>
      </c>
      <c r="H661" s="357">
        <f>15000-14500</f>
        <v>500</v>
      </c>
      <c r="I661" s="399">
        <v>0</v>
      </c>
      <c r="J661" s="620">
        <f t="shared" si="69"/>
        <v>0</v>
      </c>
      <c r="K661" s="309"/>
      <c r="L661" s="863"/>
      <c r="M661" s="402"/>
      <c r="N661" s="620"/>
      <c r="O661" s="309"/>
      <c r="P661" s="802">
        <f t="shared" si="67"/>
        <v>500</v>
      </c>
      <c r="Q661" s="810">
        <f t="shared" si="67"/>
        <v>0</v>
      </c>
      <c r="R661" s="763">
        <f t="shared" si="68"/>
        <v>0</v>
      </c>
    </row>
    <row r="662" spans="2:18" ht="12.75">
      <c r="B662" s="177">
        <f t="shared" si="65"/>
        <v>232</v>
      </c>
      <c r="C662" s="137"/>
      <c r="D662" s="138"/>
      <c r="E662" s="138"/>
      <c r="F662" s="138" t="s">
        <v>221</v>
      </c>
      <c r="G662" s="199" t="s">
        <v>786</v>
      </c>
      <c r="H662" s="357">
        <v>9411</v>
      </c>
      <c r="I662" s="399">
        <v>9411</v>
      </c>
      <c r="J662" s="620">
        <f t="shared" si="69"/>
        <v>100</v>
      </c>
      <c r="K662" s="309"/>
      <c r="L662" s="863"/>
      <c r="M662" s="402"/>
      <c r="N662" s="620"/>
      <c r="O662" s="309"/>
      <c r="P662" s="802">
        <f t="shared" si="67"/>
        <v>9411</v>
      </c>
      <c r="Q662" s="810">
        <f t="shared" si="67"/>
        <v>9411</v>
      </c>
      <c r="R662" s="763">
        <f t="shared" si="68"/>
        <v>100</v>
      </c>
    </row>
    <row r="663" spans="2:18" ht="12.75">
      <c r="B663" s="177">
        <f t="shared" si="65"/>
        <v>233</v>
      </c>
      <c r="C663" s="137"/>
      <c r="D663" s="138"/>
      <c r="E663" s="138"/>
      <c r="F663" s="154" t="s">
        <v>221</v>
      </c>
      <c r="G663" s="206" t="s">
        <v>444</v>
      </c>
      <c r="H663" s="401">
        <v>2000</v>
      </c>
      <c r="I663" s="401">
        <v>0</v>
      </c>
      <c r="J663" s="620">
        <f t="shared" si="69"/>
        <v>0</v>
      </c>
      <c r="K663" s="320"/>
      <c r="L663" s="860"/>
      <c r="M663" s="361"/>
      <c r="N663" s="620"/>
      <c r="O663" s="307"/>
      <c r="P663" s="801">
        <f t="shared" si="67"/>
        <v>2000</v>
      </c>
      <c r="Q663" s="809">
        <f t="shared" si="67"/>
        <v>0</v>
      </c>
      <c r="R663" s="763">
        <f t="shared" si="68"/>
        <v>0</v>
      </c>
    </row>
    <row r="664" spans="2:18" ht="12.75">
      <c r="B664" s="177">
        <f t="shared" si="65"/>
        <v>234</v>
      </c>
      <c r="C664" s="137"/>
      <c r="D664" s="138"/>
      <c r="E664" s="138"/>
      <c r="F664" s="154" t="s">
        <v>220</v>
      </c>
      <c r="G664" s="206" t="s">
        <v>546</v>
      </c>
      <c r="H664" s="393">
        <v>500</v>
      </c>
      <c r="I664" s="401">
        <v>0</v>
      </c>
      <c r="J664" s="620">
        <f t="shared" si="69"/>
        <v>0</v>
      </c>
      <c r="K664" s="307"/>
      <c r="L664" s="860"/>
      <c r="M664" s="361"/>
      <c r="N664" s="620"/>
      <c r="O664" s="307"/>
      <c r="P664" s="801">
        <f t="shared" si="67"/>
        <v>500</v>
      </c>
      <c r="Q664" s="809">
        <f t="shared" si="67"/>
        <v>0</v>
      </c>
      <c r="R664" s="763">
        <f t="shared" si="68"/>
        <v>0</v>
      </c>
    </row>
    <row r="665" spans="2:18" ht="12.75">
      <c r="B665" s="177">
        <f t="shared" si="65"/>
        <v>235</v>
      </c>
      <c r="C665" s="137"/>
      <c r="D665" s="138"/>
      <c r="E665" s="138"/>
      <c r="F665" s="277" t="s">
        <v>220</v>
      </c>
      <c r="G665" s="206" t="s">
        <v>387</v>
      </c>
      <c r="H665" s="393">
        <v>950</v>
      </c>
      <c r="I665" s="401">
        <v>633</v>
      </c>
      <c r="J665" s="620">
        <f t="shared" si="69"/>
        <v>66.63157894736842</v>
      </c>
      <c r="K665" s="307"/>
      <c r="L665" s="860"/>
      <c r="M665" s="361"/>
      <c r="N665" s="620"/>
      <c r="O665" s="307"/>
      <c r="P665" s="801">
        <f t="shared" si="67"/>
        <v>950</v>
      </c>
      <c r="Q665" s="809">
        <f t="shared" si="67"/>
        <v>633</v>
      </c>
      <c r="R665" s="763">
        <f t="shared" si="68"/>
        <v>66.63157894736842</v>
      </c>
    </row>
    <row r="666" spans="2:18" ht="12.75">
      <c r="B666" s="177">
        <f t="shared" si="65"/>
        <v>236</v>
      </c>
      <c r="C666" s="137"/>
      <c r="D666" s="138"/>
      <c r="E666" s="174" t="s">
        <v>852</v>
      </c>
      <c r="F666" s="154" t="s">
        <v>850</v>
      </c>
      <c r="G666" s="206" t="s">
        <v>854</v>
      </c>
      <c r="H666" s="663">
        <v>0</v>
      </c>
      <c r="I666" s="890">
        <v>282</v>
      </c>
      <c r="J666" s="620"/>
      <c r="K666" s="307"/>
      <c r="L666" s="860"/>
      <c r="M666" s="361"/>
      <c r="N666" s="620"/>
      <c r="O666" s="307"/>
      <c r="P666" s="801">
        <f t="shared" si="67"/>
        <v>0</v>
      </c>
      <c r="Q666" s="809">
        <f t="shared" si="67"/>
        <v>282</v>
      </c>
      <c r="R666" s="763"/>
    </row>
    <row r="667" spans="2:18" ht="12.75">
      <c r="B667" s="177">
        <f t="shared" si="65"/>
        <v>237</v>
      </c>
      <c r="C667" s="137"/>
      <c r="D667" s="138"/>
      <c r="E667" s="175"/>
      <c r="F667" s="154" t="s">
        <v>340</v>
      </c>
      <c r="G667" s="206" t="s">
        <v>816</v>
      </c>
      <c r="H667" s="393"/>
      <c r="I667" s="401"/>
      <c r="J667" s="620"/>
      <c r="K667" s="307"/>
      <c r="L667" s="860">
        <v>30250</v>
      </c>
      <c r="M667" s="361">
        <v>0</v>
      </c>
      <c r="N667" s="638">
        <f>M667/L667*100</f>
        <v>0</v>
      </c>
      <c r="O667" s="307"/>
      <c r="P667" s="801">
        <f t="shared" si="67"/>
        <v>30250</v>
      </c>
      <c r="Q667" s="809">
        <f t="shared" si="67"/>
        <v>0</v>
      </c>
      <c r="R667" s="763">
        <f t="shared" si="68"/>
        <v>0</v>
      </c>
    </row>
    <row r="668" spans="2:18" ht="15">
      <c r="B668" s="177">
        <f t="shared" si="65"/>
        <v>238</v>
      </c>
      <c r="C668" s="137"/>
      <c r="D668" s="260" t="s">
        <v>8</v>
      </c>
      <c r="E668" s="158" t="s">
        <v>450</v>
      </c>
      <c r="F668" s="158" t="s">
        <v>390</v>
      </c>
      <c r="G668" s="239"/>
      <c r="H668" s="390">
        <f>H669+H670+H671+H683+H684+H682</f>
        <v>876155</v>
      </c>
      <c r="I668" s="390">
        <f>I669+I670+I671+I683+I684+I682+I686</f>
        <v>385375</v>
      </c>
      <c r="J668" s="620">
        <f t="shared" si="69"/>
        <v>43.984797210539234</v>
      </c>
      <c r="K668" s="139"/>
      <c r="L668" s="854">
        <f>L685</f>
        <v>3400</v>
      </c>
      <c r="M668" s="877">
        <f>M685</f>
        <v>0</v>
      </c>
      <c r="N668" s="638">
        <f>M668/L668*100</f>
        <v>0</v>
      </c>
      <c r="O668" s="139"/>
      <c r="P668" s="826">
        <f t="shared" si="67"/>
        <v>879555</v>
      </c>
      <c r="Q668" s="840">
        <f t="shared" si="67"/>
        <v>385375</v>
      </c>
      <c r="R668" s="763">
        <f t="shared" si="68"/>
        <v>43.814769968904734</v>
      </c>
    </row>
    <row r="669" spans="2:18" ht="12.75">
      <c r="B669" s="177">
        <f t="shared" si="65"/>
        <v>239</v>
      </c>
      <c r="C669" s="137"/>
      <c r="D669" s="138"/>
      <c r="E669" s="138"/>
      <c r="F669" s="154" t="s">
        <v>214</v>
      </c>
      <c r="G669" s="206" t="s">
        <v>543</v>
      </c>
      <c r="H669" s="393">
        <v>484900</v>
      </c>
      <c r="I669" s="393">
        <v>213163</v>
      </c>
      <c r="J669" s="620">
        <f t="shared" si="69"/>
        <v>43.96019797896473</v>
      </c>
      <c r="K669" s="309"/>
      <c r="L669" s="863"/>
      <c r="M669" s="402"/>
      <c r="N669" s="620"/>
      <c r="O669" s="309"/>
      <c r="P669" s="801">
        <f t="shared" si="67"/>
        <v>484900</v>
      </c>
      <c r="Q669" s="809">
        <f t="shared" si="67"/>
        <v>213163</v>
      </c>
      <c r="R669" s="763">
        <f t="shared" si="68"/>
        <v>43.96019797896473</v>
      </c>
    </row>
    <row r="670" spans="2:18" ht="12.75">
      <c r="B670" s="177">
        <f t="shared" si="65"/>
        <v>240</v>
      </c>
      <c r="C670" s="137"/>
      <c r="D670" s="138"/>
      <c r="E670" s="138"/>
      <c r="F670" s="154" t="s">
        <v>215</v>
      </c>
      <c r="G670" s="206" t="s">
        <v>264</v>
      </c>
      <c r="H670" s="393">
        <f>169819+2400</f>
        <v>172219</v>
      </c>
      <c r="I670" s="393">
        <v>75658</v>
      </c>
      <c r="J670" s="620">
        <f t="shared" si="69"/>
        <v>43.93127355286002</v>
      </c>
      <c r="K670" s="309"/>
      <c r="L670" s="863"/>
      <c r="M670" s="402"/>
      <c r="N670" s="620"/>
      <c r="O670" s="309"/>
      <c r="P670" s="801">
        <f t="shared" si="67"/>
        <v>172219</v>
      </c>
      <c r="Q670" s="809">
        <f t="shared" si="67"/>
        <v>75658</v>
      </c>
      <c r="R670" s="763">
        <f t="shared" si="68"/>
        <v>43.93127355286002</v>
      </c>
    </row>
    <row r="671" spans="2:18" ht="12.75">
      <c r="B671" s="177">
        <f t="shared" si="65"/>
        <v>241</v>
      </c>
      <c r="C671" s="137"/>
      <c r="D671" s="138"/>
      <c r="E671" s="138"/>
      <c r="F671" s="154" t="s">
        <v>221</v>
      </c>
      <c r="G671" s="206" t="s">
        <v>360</v>
      </c>
      <c r="H671" s="393">
        <f>SUM(H672:H681)</f>
        <v>201356</v>
      </c>
      <c r="I671" s="393">
        <f>SUM(I672:I681)</f>
        <v>82800</v>
      </c>
      <c r="J671" s="620">
        <f t="shared" si="69"/>
        <v>41.121198275690816</v>
      </c>
      <c r="K671" s="309"/>
      <c r="L671" s="863"/>
      <c r="M671" s="402"/>
      <c r="N671" s="620"/>
      <c r="O671" s="309"/>
      <c r="P671" s="801">
        <f t="shared" si="67"/>
        <v>201356</v>
      </c>
      <c r="Q671" s="809">
        <f t="shared" si="67"/>
        <v>82800</v>
      </c>
      <c r="R671" s="763">
        <f t="shared" si="68"/>
        <v>41.121198275690816</v>
      </c>
    </row>
    <row r="672" spans="2:18" ht="12.75">
      <c r="B672" s="177">
        <f t="shared" si="65"/>
        <v>242</v>
      </c>
      <c r="C672" s="137"/>
      <c r="D672" s="138"/>
      <c r="E672" s="138"/>
      <c r="F672" s="138" t="s">
        <v>216</v>
      </c>
      <c r="G672" s="199" t="s">
        <v>260</v>
      </c>
      <c r="H672" s="357">
        <v>600</v>
      </c>
      <c r="I672" s="357">
        <v>38</v>
      </c>
      <c r="J672" s="620">
        <f t="shared" si="69"/>
        <v>6.333333333333334</v>
      </c>
      <c r="K672" s="309"/>
      <c r="L672" s="863"/>
      <c r="M672" s="402"/>
      <c r="N672" s="620"/>
      <c r="O672" s="309"/>
      <c r="P672" s="802">
        <f t="shared" si="67"/>
        <v>600</v>
      </c>
      <c r="Q672" s="810">
        <f t="shared" si="67"/>
        <v>38</v>
      </c>
      <c r="R672" s="763">
        <f t="shared" si="68"/>
        <v>6.333333333333334</v>
      </c>
    </row>
    <row r="673" spans="2:18" ht="12.75">
      <c r="B673" s="177">
        <f t="shared" si="65"/>
        <v>243</v>
      </c>
      <c r="C673" s="137"/>
      <c r="D673" s="138"/>
      <c r="E673" s="138"/>
      <c r="F673" s="138" t="s">
        <v>202</v>
      </c>
      <c r="G673" s="199" t="s">
        <v>335</v>
      </c>
      <c r="H673" s="357">
        <v>83500</v>
      </c>
      <c r="I673" s="357">
        <v>20679</v>
      </c>
      <c r="J673" s="620">
        <f t="shared" si="69"/>
        <v>24.765269461077843</v>
      </c>
      <c r="K673" s="309"/>
      <c r="L673" s="863"/>
      <c r="M673" s="402"/>
      <c r="N673" s="620"/>
      <c r="O673" s="309"/>
      <c r="P673" s="802">
        <f t="shared" si="67"/>
        <v>83500</v>
      </c>
      <c r="Q673" s="810">
        <f t="shared" si="67"/>
        <v>20679</v>
      </c>
      <c r="R673" s="763">
        <f t="shared" si="68"/>
        <v>24.765269461077843</v>
      </c>
    </row>
    <row r="674" spans="2:18" ht="12.75">
      <c r="B674" s="177">
        <f t="shared" si="65"/>
        <v>244</v>
      </c>
      <c r="C674" s="137"/>
      <c r="D674" s="138"/>
      <c r="E674" s="138"/>
      <c r="F674" s="138" t="s">
        <v>203</v>
      </c>
      <c r="G674" s="199" t="s">
        <v>251</v>
      </c>
      <c r="H674" s="357">
        <v>30680</v>
      </c>
      <c r="I674" s="357">
        <v>22327</v>
      </c>
      <c r="J674" s="620">
        <f t="shared" si="69"/>
        <v>72.77379400260756</v>
      </c>
      <c r="K674" s="309"/>
      <c r="L674" s="863"/>
      <c r="M674" s="402"/>
      <c r="N674" s="620"/>
      <c r="O674" s="309"/>
      <c r="P674" s="802">
        <f t="shared" si="67"/>
        <v>30680</v>
      </c>
      <c r="Q674" s="810">
        <f t="shared" si="67"/>
        <v>22327</v>
      </c>
      <c r="R674" s="763">
        <f t="shared" si="68"/>
        <v>72.77379400260756</v>
      </c>
    </row>
    <row r="675" spans="2:18" ht="12.75">
      <c r="B675" s="177">
        <f t="shared" si="65"/>
        <v>245</v>
      </c>
      <c r="C675" s="137"/>
      <c r="D675" s="138"/>
      <c r="E675" s="138"/>
      <c r="F675" s="138" t="s">
        <v>204</v>
      </c>
      <c r="G675" s="199" t="s">
        <v>265</v>
      </c>
      <c r="H675" s="357">
        <v>250</v>
      </c>
      <c r="I675" s="357">
        <v>45</v>
      </c>
      <c r="J675" s="620">
        <f t="shared" si="69"/>
        <v>18</v>
      </c>
      <c r="K675" s="309"/>
      <c r="L675" s="863"/>
      <c r="M675" s="402"/>
      <c r="N675" s="620"/>
      <c r="O675" s="309"/>
      <c r="P675" s="802">
        <f t="shared" si="67"/>
        <v>250</v>
      </c>
      <c r="Q675" s="810">
        <f t="shared" si="67"/>
        <v>45</v>
      </c>
      <c r="R675" s="763">
        <f t="shared" si="68"/>
        <v>18</v>
      </c>
    </row>
    <row r="676" spans="2:18" ht="12.75">
      <c r="B676" s="177">
        <f t="shared" si="65"/>
        <v>246</v>
      </c>
      <c r="C676" s="137"/>
      <c r="D676" s="138"/>
      <c r="E676" s="138"/>
      <c r="F676" s="138" t="s">
        <v>217</v>
      </c>
      <c r="G676" s="199" t="s">
        <v>266</v>
      </c>
      <c r="H676" s="357">
        <v>24500</v>
      </c>
      <c r="I676" s="357">
        <v>1766</v>
      </c>
      <c r="J676" s="620">
        <f t="shared" si="69"/>
        <v>7.208163265306123</v>
      </c>
      <c r="K676" s="309"/>
      <c r="L676" s="863"/>
      <c r="M676" s="402"/>
      <c r="N676" s="620"/>
      <c r="O676" s="309"/>
      <c r="P676" s="802">
        <f t="shared" si="67"/>
        <v>24500</v>
      </c>
      <c r="Q676" s="810">
        <f t="shared" si="67"/>
        <v>1766</v>
      </c>
      <c r="R676" s="763">
        <f t="shared" si="68"/>
        <v>7.208163265306123</v>
      </c>
    </row>
    <row r="677" spans="2:18" ht="12.75">
      <c r="B677" s="177">
        <f t="shared" si="65"/>
        <v>247</v>
      </c>
      <c r="C677" s="137"/>
      <c r="D677" s="138"/>
      <c r="E677" s="138"/>
      <c r="F677" s="138" t="s">
        <v>218</v>
      </c>
      <c r="G677" s="199" t="s">
        <v>391</v>
      </c>
      <c r="H677" s="396">
        <v>2300</v>
      </c>
      <c r="I677" s="396">
        <v>1360</v>
      </c>
      <c r="J677" s="620">
        <f t="shared" si="69"/>
        <v>59.130434782608695</v>
      </c>
      <c r="K677" s="311"/>
      <c r="L677" s="864"/>
      <c r="M677" s="357"/>
      <c r="N677" s="620"/>
      <c r="O677" s="311"/>
      <c r="P677" s="804">
        <f t="shared" si="67"/>
        <v>2300</v>
      </c>
      <c r="Q677" s="812">
        <f t="shared" si="67"/>
        <v>1360</v>
      </c>
      <c r="R677" s="763">
        <f t="shared" si="68"/>
        <v>59.130434782608695</v>
      </c>
    </row>
    <row r="678" spans="2:18" ht="12.75">
      <c r="B678" s="177">
        <f t="shared" si="65"/>
        <v>248</v>
      </c>
      <c r="C678" s="137"/>
      <c r="D678" s="138"/>
      <c r="E678" s="138"/>
      <c r="F678" s="138" t="s">
        <v>219</v>
      </c>
      <c r="G678" s="199" t="s">
        <v>252</v>
      </c>
      <c r="H678" s="357">
        <v>20700</v>
      </c>
      <c r="I678" s="357">
        <v>13127</v>
      </c>
      <c r="J678" s="620">
        <f t="shared" si="69"/>
        <v>63.41545893719807</v>
      </c>
      <c r="K678" s="311"/>
      <c r="L678" s="864"/>
      <c r="M678" s="357"/>
      <c r="N678" s="620"/>
      <c r="O678" s="311"/>
      <c r="P678" s="804">
        <f t="shared" si="67"/>
        <v>20700</v>
      </c>
      <c r="Q678" s="812">
        <f t="shared" si="67"/>
        <v>13127</v>
      </c>
      <c r="R678" s="763">
        <f t="shared" si="68"/>
        <v>63.41545893719807</v>
      </c>
    </row>
    <row r="679" spans="2:18" ht="12.75">
      <c r="B679" s="177">
        <f t="shared" si="65"/>
        <v>249</v>
      </c>
      <c r="C679" s="137"/>
      <c r="D679" s="138"/>
      <c r="E679" s="138"/>
      <c r="F679" s="138" t="s">
        <v>221</v>
      </c>
      <c r="G679" s="199" t="s">
        <v>253</v>
      </c>
      <c r="H679" s="357">
        <f>17400-2400</f>
        <v>15000</v>
      </c>
      <c r="I679" s="357">
        <v>633</v>
      </c>
      <c r="J679" s="620">
        <f t="shared" si="69"/>
        <v>4.22</v>
      </c>
      <c r="K679" s="309"/>
      <c r="L679" s="865"/>
      <c r="M679" s="881"/>
      <c r="N679" s="620"/>
      <c r="O679" s="309"/>
      <c r="P679" s="827">
        <f t="shared" si="67"/>
        <v>15000</v>
      </c>
      <c r="Q679" s="841">
        <f t="shared" si="67"/>
        <v>633</v>
      </c>
      <c r="R679" s="763">
        <f t="shared" si="68"/>
        <v>4.22</v>
      </c>
    </row>
    <row r="680" spans="2:18" ht="12.75">
      <c r="B680" s="177">
        <f t="shared" si="65"/>
        <v>250</v>
      </c>
      <c r="C680" s="137"/>
      <c r="D680" s="138"/>
      <c r="E680" s="175"/>
      <c r="F680" s="138" t="s">
        <v>221</v>
      </c>
      <c r="G680" s="199" t="s">
        <v>541</v>
      </c>
      <c r="H680" s="399">
        <v>1000</v>
      </c>
      <c r="I680" s="399">
        <v>0</v>
      </c>
      <c r="J680" s="620">
        <f t="shared" si="69"/>
        <v>0</v>
      </c>
      <c r="K680" s="321"/>
      <c r="L680" s="864"/>
      <c r="M680" s="357"/>
      <c r="N680" s="620"/>
      <c r="O680" s="311"/>
      <c r="P680" s="804">
        <f t="shared" si="67"/>
        <v>1000</v>
      </c>
      <c r="Q680" s="812">
        <f t="shared" si="67"/>
        <v>0</v>
      </c>
      <c r="R680" s="763">
        <f t="shared" si="68"/>
        <v>0</v>
      </c>
    </row>
    <row r="681" spans="2:18" ht="12.75">
      <c r="B681" s="177">
        <f t="shared" si="65"/>
        <v>251</v>
      </c>
      <c r="C681" s="137"/>
      <c r="D681" s="138"/>
      <c r="E681" s="175"/>
      <c r="F681" s="138" t="s">
        <v>221</v>
      </c>
      <c r="G681" s="199" t="s">
        <v>786</v>
      </c>
      <c r="H681" s="399">
        <v>22826</v>
      </c>
      <c r="I681" s="399">
        <v>22825</v>
      </c>
      <c r="J681" s="620">
        <f t="shared" si="69"/>
        <v>99.99561903092965</v>
      </c>
      <c r="K681" s="310"/>
      <c r="L681" s="863"/>
      <c r="M681" s="402"/>
      <c r="N681" s="620"/>
      <c r="O681" s="309"/>
      <c r="P681" s="802">
        <f t="shared" si="67"/>
        <v>22826</v>
      </c>
      <c r="Q681" s="810">
        <f t="shared" si="67"/>
        <v>22825</v>
      </c>
      <c r="R681" s="763">
        <f t="shared" si="68"/>
        <v>99.99561903092965</v>
      </c>
    </row>
    <row r="682" spans="2:18" ht="12.75">
      <c r="B682" s="177">
        <f t="shared" si="65"/>
        <v>252</v>
      </c>
      <c r="C682" s="137"/>
      <c r="D682" s="138"/>
      <c r="E682" s="175"/>
      <c r="F682" s="154" t="s">
        <v>221</v>
      </c>
      <c r="G682" s="206" t="s">
        <v>444</v>
      </c>
      <c r="H682" s="401">
        <v>3000</v>
      </c>
      <c r="I682" s="401">
        <v>323</v>
      </c>
      <c r="J682" s="620">
        <f t="shared" si="69"/>
        <v>10.766666666666666</v>
      </c>
      <c r="K682" s="320"/>
      <c r="L682" s="860"/>
      <c r="M682" s="361"/>
      <c r="N682" s="620"/>
      <c r="O682" s="307"/>
      <c r="P682" s="801">
        <f aca="true" t="shared" si="70" ref="P682:Q720">H682+L682</f>
        <v>3000</v>
      </c>
      <c r="Q682" s="809">
        <f t="shared" si="70"/>
        <v>323</v>
      </c>
      <c r="R682" s="763">
        <f t="shared" si="68"/>
        <v>10.766666666666666</v>
      </c>
    </row>
    <row r="683" spans="2:18" ht="12.75">
      <c r="B683" s="177">
        <f t="shared" si="65"/>
        <v>253</v>
      </c>
      <c r="C683" s="137"/>
      <c r="D683" s="138"/>
      <c r="E683" s="175"/>
      <c r="F683" s="154" t="s">
        <v>220</v>
      </c>
      <c r="G683" s="206" t="s">
        <v>544</v>
      </c>
      <c r="H683" s="393">
        <v>1350</v>
      </c>
      <c r="I683" s="401">
        <v>1904</v>
      </c>
      <c r="J683" s="620">
        <f t="shared" si="69"/>
        <v>141.03703703703704</v>
      </c>
      <c r="K683" s="312"/>
      <c r="L683" s="861"/>
      <c r="M683" s="393"/>
      <c r="N683" s="620"/>
      <c r="O683" s="312"/>
      <c r="P683" s="830">
        <f t="shared" si="70"/>
        <v>1350</v>
      </c>
      <c r="Q683" s="844">
        <f t="shared" si="70"/>
        <v>1904</v>
      </c>
      <c r="R683" s="763">
        <f t="shared" si="68"/>
        <v>141.03703703703704</v>
      </c>
    </row>
    <row r="684" spans="2:18" ht="12.75">
      <c r="B684" s="177">
        <f t="shared" si="65"/>
        <v>254</v>
      </c>
      <c r="C684" s="137"/>
      <c r="D684" s="138"/>
      <c r="E684" s="175"/>
      <c r="F684" s="154" t="s">
        <v>220</v>
      </c>
      <c r="G684" s="206" t="s">
        <v>546</v>
      </c>
      <c r="H684" s="393">
        <v>13330</v>
      </c>
      <c r="I684" s="401">
        <v>10530</v>
      </c>
      <c r="J684" s="620">
        <f t="shared" si="69"/>
        <v>78.99474868717179</v>
      </c>
      <c r="K684" s="307"/>
      <c r="L684" s="860"/>
      <c r="M684" s="361"/>
      <c r="N684" s="620"/>
      <c r="O684" s="307"/>
      <c r="P684" s="801">
        <f t="shared" si="70"/>
        <v>13330</v>
      </c>
      <c r="Q684" s="809">
        <f t="shared" si="70"/>
        <v>10530</v>
      </c>
      <c r="R684" s="763">
        <f t="shared" si="68"/>
        <v>78.99474868717179</v>
      </c>
    </row>
    <row r="685" spans="2:18" ht="12.75">
      <c r="B685" s="177">
        <f t="shared" si="65"/>
        <v>255</v>
      </c>
      <c r="C685" s="137"/>
      <c r="D685" s="138"/>
      <c r="E685" s="175"/>
      <c r="F685" s="277" t="s">
        <v>340</v>
      </c>
      <c r="G685" s="206" t="s">
        <v>824</v>
      </c>
      <c r="H685" s="393"/>
      <c r="I685" s="401"/>
      <c r="J685" s="620"/>
      <c r="K685" s="307"/>
      <c r="L685" s="860">
        <v>3400</v>
      </c>
      <c r="M685" s="361">
        <v>0</v>
      </c>
      <c r="N685" s="638">
        <f>M685/L685*100</f>
        <v>0</v>
      </c>
      <c r="O685" s="307"/>
      <c r="P685" s="801">
        <f t="shared" si="70"/>
        <v>3400</v>
      </c>
      <c r="Q685" s="809">
        <f t="shared" si="70"/>
        <v>0</v>
      </c>
      <c r="R685" s="763">
        <f t="shared" si="68"/>
        <v>0</v>
      </c>
    </row>
    <row r="686" spans="2:18" ht="12.75">
      <c r="B686" s="177">
        <f t="shared" si="65"/>
        <v>256</v>
      </c>
      <c r="C686" s="137"/>
      <c r="D686" s="138"/>
      <c r="E686" s="175" t="s">
        <v>852</v>
      </c>
      <c r="F686" s="277" t="s">
        <v>203</v>
      </c>
      <c r="G686" s="206" t="s">
        <v>854</v>
      </c>
      <c r="H686" s="393"/>
      <c r="I686" s="401">
        <v>997</v>
      </c>
      <c r="J686" s="620"/>
      <c r="K686" s="307"/>
      <c r="L686" s="860"/>
      <c r="M686" s="361"/>
      <c r="N686" s="661"/>
      <c r="O686" s="307"/>
      <c r="P686" s="801">
        <f t="shared" si="70"/>
        <v>0</v>
      </c>
      <c r="Q686" s="809">
        <f t="shared" si="70"/>
        <v>997</v>
      </c>
      <c r="R686" s="763"/>
    </row>
    <row r="687" spans="2:18" ht="15">
      <c r="B687" s="177">
        <f aca="true" t="shared" si="71" ref="B687:B750">B686+1</f>
        <v>257</v>
      </c>
      <c r="C687" s="137"/>
      <c r="D687" s="260" t="s">
        <v>170</v>
      </c>
      <c r="E687" s="158" t="s">
        <v>450</v>
      </c>
      <c r="F687" s="158" t="s">
        <v>393</v>
      </c>
      <c r="G687" s="239"/>
      <c r="H687" s="390">
        <f>H688+H689+H690+H699+H700</f>
        <v>507174</v>
      </c>
      <c r="I687" s="390">
        <f>I688+I689+I690+I699+I700+I701</f>
        <v>230090</v>
      </c>
      <c r="J687" s="620">
        <f t="shared" si="69"/>
        <v>45.367073233249336</v>
      </c>
      <c r="K687" s="313"/>
      <c r="L687" s="856"/>
      <c r="M687" s="877"/>
      <c r="N687" s="620"/>
      <c r="O687" s="313"/>
      <c r="P687" s="826">
        <f t="shared" si="70"/>
        <v>507174</v>
      </c>
      <c r="Q687" s="840">
        <f t="shared" si="70"/>
        <v>230090</v>
      </c>
      <c r="R687" s="763">
        <f t="shared" si="68"/>
        <v>45.367073233249336</v>
      </c>
    </row>
    <row r="688" spans="2:18" ht="12.75">
      <c r="B688" s="177">
        <f t="shared" si="71"/>
        <v>258</v>
      </c>
      <c r="C688" s="137"/>
      <c r="D688" s="138"/>
      <c r="E688" s="138"/>
      <c r="F688" s="154" t="s">
        <v>214</v>
      </c>
      <c r="G688" s="206" t="s">
        <v>543</v>
      </c>
      <c r="H688" s="393">
        <f>266457+22022</f>
        <v>288479</v>
      </c>
      <c r="I688" s="393">
        <v>124445</v>
      </c>
      <c r="J688" s="620">
        <f t="shared" si="69"/>
        <v>43.138322026906636</v>
      </c>
      <c r="K688" s="309"/>
      <c r="L688" s="863"/>
      <c r="M688" s="402"/>
      <c r="N688" s="620"/>
      <c r="O688" s="309"/>
      <c r="P688" s="801">
        <f t="shared" si="70"/>
        <v>288479</v>
      </c>
      <c r="Q688" s="809">
        <f t="shared" si="70"/>
        <v>124445</v>
      </c>
      <c r="R688" s="763">
        <f t="shared" si="68"/>
        <v>43.138322026906636</v>
      </c>
    </row>
    <row r="689" spans="2:18" ht="12.75">
      <c r="B689" s="177">
        <f t="shared" si="71"/>
        <v>259</v>
      </c>
      <c r="C689" s="137"/>
      <c r="D689" s="138"/>
      <c r="E689" s="138"/>
      <c r="F689" s="154" t="s">
        <v>215</v>
      </c>
      <c r="G689" s="206" t="s">
        <v>264</v>
      </c>
      <c r="H689" s="393">
        <f>93127+10129</f>
        <v>103256</v>
      </c>
      <c r="I689" s="393">
        <v>44219</v>
      </c>
      <c r="J689" s="620">
        <f t="shared" si="69"/>
        <v>42.82463004571163</v>
      </c>
      <c r="K689" s="309"/>
      <c r="L689" s="863"/>
      <c r="M689" s="402"/>
      <c r="N689" s="620"/>
      <c r="O689" s="309"/>
      <c r="P689" s="801">
        <f t="shared" si="70"/>
        <v>103256</v>
      </c>
      <c r="Q689" s="809">
        <f t="shared" si="70"/>
        <v>44219</v>
      </c>
      <c r="R689" s="763">
        <f t="shared" si="68"/>
        <v>42.82463004571163</v>
      </c>
    </row>
    <row r="690" spans="2:18" ht="12.75">
      <c r="B690" s="177">
        <f t="shared" si="71"/>
        <v>260</v>
      </c>
      <c r="C690" s="137"/>
      <c r="D690" s="138"/>
      <c r="E690" s="138"/>
      <c r="F690" s="154" t="s">
        <v>221</v>
      </c>
      <c r="G690" s="206" t="s">
        <v>360</v>
      </c>
      <c r="H690" s="393">
        <f>SUM(H691:H698)</f>
        <v>112839</v>
      </c>
      <c r="I690" s="401">
        <f>SUM(I691:I698)</f>
        <v>52517</v>
      </c>
      <c r="J690" s="620">
        <f t="shared" si="69"/>
        <v>46.54153262613104</v>
      </c>
      <c r="K690" s="309"/>
      <c r="L690" s="863"/>
      <c r="M690" s="402"/>
      <c r="N690" s="620"/>
      <c r="O690" s="309"/>
      <c r="P690" s="801">
        <f t="shared" si="70"/>
        <v>112839</v>
      </c>
      <c r="Q690" s="809">
        <f t="shared" si="70"/>
        <v>52517</v>
      </c>
      <c r="R690" s="763">
        <f t="shared" si="68"/>
        <v>46.54153262613104</v>
      </c>
    </row>
    <row r="691" spans="2:18" ht="12.75">
      <c r="B691" s="177">
        <f t="shared" si="71"/>
        <v>261</v>
      </c>
      <c r="C691" s="137"/>
      <c r="D691" s="138"/>
      <c r="E691" s="138"/>
      <c r="F691" s="138" t="s">
        <v>216</v>
      </c>
      <c r="G691" s="199" t="s">
        <v>260</v>
      </c>
      <c r="H691" s="357">
        <v>50</v>
      </c>
      <c r="I691" s="399">
        <v>68</v>
      </c>
      <c r="J691" s="620">
        <f t="shared" si="69"/>
        <v>136</v>
      </c>
      <c r="K691" s="309"/>
      <c r="L691" s="863"/>
      <c r="M691" s="402"/>
      <c r="N691" s="620"/>
      <c r="O691" s="309"/>
      <c r="P691" s="802">
        <f t="shared" si="70"/>
        <v>50</v>
      </c>
      <c r="Q691" s="810">
        <f t="shared" si="70"/>
        <v>68</v>
      </c>
      <c r="R691" s="763">
        <f t="shared" si="68"/>
        <v>136</v>
      </c>
    </row>
    <row r="692" spans="2:18" ht="12.75">
      <c r="B692" s="177">
        <f t="shared" si="71"/>
        <v>262</v>
      </c>
      <c r="C692" s="137"/>
      <c r="D692" s="138"/>
      <c r="E692" s="138"/>
      <c r="F692" s="138" t="s">
        <v>202</v>
      </c>
      <c r="G692" s="199" t="s">
        <v>335</v>
      </c>
      <c r="H692" s="357">
        <f>69773-30081</f>
        <v>39692</v>
      </c>
      <c r="I692" s="399">
        <v>7528</v>
      </c>
      <c r="J692" s="620">
        <f t="shared" si="69"/>
        <v>18.966038496422453</v>
      </c>
      <c r="K692" s="309"/>
      <c r="L692" s="863"/>
      <c r="M692" s="402"/>
      <c r="N692" s="620"/>
      <c r="O692" s="309"/>
      <c r="P692" s="802">
        <f t="shared" si="70"/>
        <v>39692</v>
      </c>
      <c r="Q692" s="810">
        <f t="shared" si="70"/>
        <v>7528</v>
      </c>
      <c r="R692" s="763">
        <f t="shared" si="68"/>
        <v>18.966038496422453</v>
      </c>
    </row>
    <row r="693" spans="2:18" ht="12.75">
      <c r="B693" s="177">
        <f t="shared" si="71"/>
        <v>263</v>
      </c>
      <c r="C693" s="137"/>
      <c r="D693" s="138"/>
      <c r="E693" s="138"/>
      <c r="F693" s="138" t="s">
        <v>203</v>
      </c>
      <c r="G693" s="199" t="s">
        <v>251</v>
      </c>
      <c r="H693" s="357">
        <v>23830</v>
      </c>
      <c r="I693" s="399">
        <v>1075</v>
      </c>
      <c r="J693" s="620">
        <f t="shared" si="69"/>
        <v>4.511120436424674</v>
      </c>
      <c r="K693" s="309"/>
      <c r="L693" s="863"/>
      <c r="M693" s="402"/>
      <c r="N693" s="620"/>
      <c r="O693" s="309"/>
      <c r="P693" s="802">
        <f t="shared" si="70"/>
        <v>23830</v>
      </c>
      <c r="Q693" s="810">
        <f t="shared" si="70"/>
        <v>1075</v>
      </c>
      <c r="R693" s="763">
        <f t="shared" si="68"/>
        <v>4.511120436424674</v>
      </c>
    </row>
    <row r="694" spans="2:18" ht="12.75">
      <c r="B694" s="177">
        <f t="shared" si="71"/>
        <v>264</v>
      </c>
      <c r="C694" s="137"/>
      <c r="D694" s="138"/>
      <c r="E694" s="138"/>
      <c r="F694" s="138" t="s">
        <v>217</v>
      </c>
      <c r="G694" s="199" t="s">
        <v>266</v>
      </c>
      <c r="H694" s="357">
        <v>1600</v>
      </c>
      <c r="I694" s="399">
        <v>1060</v>
      </c>
      <c r="J694" s="620">
        <f t="shared" si="69"/>
        <v>66.25</v>
      </c>
      <c r="K694" s="309"/>
      <c r="L694" s="863"/>
      <c r="M694" s="402"/>
      <c r="N694" s="620"/>
      <c r="O694" s="309"/>
      <c r="P694" s="802">
        <f t="shared" si="70"/>
        <v>1600</v>
      </c>
      <c r="Q694" s="810">
        <f t="shared" si="70"/>
        <v>1060</v>
      </c>
      <c r="R694" s="763">
        <f t="shared" si="68"/>
        <v>66.25</v>
      </c>
    </row>
    <row r="695" spans="2:18" ht="12.75">
      <c r="B695" s="177">
        <f t="shared" si="71"/>
        <v>265</v>
      </c>
      <c r="C695" s="137"/>
      <c r="D695" s="138"/>
      <c r="E695" s="138"/>
      <c r="F695" s="138" t="s">
        <v>219</v>
      </c>
      <c r="G695" s="199" t="s">
        <v>252</v>
      </c>
      <c r="H695" s="357">
        <v>8640</v>
      </c>
      <c r="I695" s="399">
        <v>8136</v>
      </c>
      <c r="J695" s="620">
        <f t="shared" si="69"/>
        <v>94.16666666666667</v>
      </c>
      <c r="K695" s="309"/>
      <c r="L695" s="863"/>
      <c r="M695" s="402"/>
      <c r="N695" s="620"/>
      <c r="O695" s="309"/>
      <c r="P695" s="802">
        <f t="shared" si="70"/>
        <v>8640</v>
      </c>
      <c r="Q695" s="810">
        <f t="shared" si="70"/>
        <v>8136</v>
      </c>
      <c r="R695" s="763">
        <f t="shared" si="68"/>
        <v>94.16666666666667</v>
      </c>
    </row>
    <row r="696" spans="2:18" ht="12.75">
      <c r="B696" s="177">
        <f t="shared" si="71"/>
        <v>266</v>
      </c>
      <c r="C696" s="137"/>
      <c r="D696" s="138"/>
      <c r="E696" s="138"/>
      <c r="F696" s="138" t="s">
        <v>221</v>
      </c>
      <c r="G696" s="199" t="s">
        <v>253</v>
      </c>
      <c r="H696" s="357">
        <f>8200-2070</f>
        <v>6130</v>
      </c>
      <c r="I696" s="399">
        <v>2173</v>
      </c>
      <c r="J696" s="620">
        <f t="shared" si="69"/>
        <v>35.44861337683523</v>
      </c>
      <c r="K696" s="309"/>
      <c r="L696" s="863"/>
      <c r="M696" s="402"/>
      <c r="N696" s="620"/>
      <c r="O696" s="309"/>
      <c r="P696" s="802">
        <f t="shared" si="70"/>
        <v>6130</v>
      </c>
      <c r="Q696" s="810">
        <f t="shared" si="70"/>
        <v>2173</v>
      </c>
      <c r="R696" s="763">
        <f t="shared" si="68"/>
        <v>35.44861337683523</v>
      </c>
    </row>
    <row r="697" spans="2:18" ht="12.75">
      <c r="B697" s="177">
        <f t="shared" si="71"/>
        <v>267</v>
      </c>
      <c r="C697" s="137"/>
      <c r="D697" s="138"/>
      <c r="E697" s="138"/>
      <c r="F697" s="138" t="s">
        <v>221</v>
      </c>
      <c r="G697" s="199" t="s">
        <v>541</v>
      </c>
      <c r="H697" s="357">
        <v>420</v>
      </c>
      <c r="I697" s="399"/>
      <c r="J697" s="620">
        <f t="shared" si="69"/>
        <v>0</v>
      </c>
      <c r="K697" s="309"/>
      <c r="L697" s="863"/>
      <c r="M697" s="402"/>
      <c r="N697" s="620"/>
      <c r="O697" s="309"/>
      <c r="P697" s="802">
        <f t="shared" si="70"/>
        <v>420</v>
      </c>
      <c r="Q697" s="810">
        <f t="shared" si="70"/>
        <v>0</v>
      </c>
      <c r="R697" s="763">
        <f t="shared" si="68"/>
        <v>0</v>
      </c>
    </row>
    <row r="698" spans="2:18" ht="12.75">
      <c r="B698" s="177">
        <f t="shared" si="71"/>
        <v>268</v>
      </c>
      <c r="C698" s="137"/>
      <c r="D698" s="138"/>
      <c r="E698" s="138"/>
      <c r="F698" s="138" t="s">
        <v>221</v>
      </c>
      <c r="G698" s="199" t="s">
        <v>786</v>
      </c>
      <c r="H698" s="357">
        <v>32477</v>
      </c>
      <c r="I698" s="399">
        <v>32477</v>
      </c>
      <c r="J698" s="620">
        <f t="shared" si="69"/>
        <v>100</v>
      </c>
      <c r="K698" s="309"/>
      <c r="L698" s="863"/>
      <c r="M698" s="402"/>
      <c r="N698" s="620"/>
      <c r="O698" s="309"/>
      <c r="P698" s="802">
        <f t="shared" si="70"/>
        <v>32477</v>
      </c>
      <c r="Q698" s="810">
        <f t="shared" si="70"/>
        <v>32477</v>
      </c>
      <c r="R698" s="763">
        <f t="shared" si="68"/>
        <v>100</v>
      </c>
    </row>
    <row r="699" spans="2:18" ht="12.75">
      <c r="B699" s="177">
        <f t="shared" si="71"/>
        <v>269</v>
      </c>
      <c r="C699" s="137"/>
      <c r="D699" s="138"/>
      <c r="E699" s="138"/>
      <c r="F699" s="154" t="s">
        <v>221</v>
      </c>
      <c r="G699" s="206" t="s">
        <v>444</v>
      </c>
      <c r="H699" s="401">
        <v>2000</v>
      </c>
      <c r="I699" s="401">
        <v>7659</v>
      </c>
      <c r="J699" s="620">
        <f t="shared" si="69"/>
        <v>382.95</v>
      </c>
      <c r="K699" s="310"/>
      <c r="L699" s="863"/>
      <c r="M699" s="402"/>
      <c r="N699" s="620"/>
      <c r="O699" s="309"/>
      <c r="P699" s="801">
        <f t="shared" si="70"/>
        <v>2000</v>
      </c>
      <c r="Q699" s="809">
        <f t="shared" si="70"/>
        <v>7659</v>
      </c>
      <c r="R699" s="763">
        <f t="shared" si="68"/>
        <v>382.95</v>
      </c>
    </row>
    <row r="700" spans="2:18" ht="12.75">
      <c r="B700" s="177">
        <f t="shared" si="71"/>
        <v>270</v>
      </c>
      <c r="C700" s="137"/>
      <c r="D700" s="138"/>
      <c r="E700" s="138"/>
      <c r="F700" s="154" t="s">
        <v>220</v>
      </c>
      <c r="G700" s="206" t="s">
        <v>545</v>
      </c>
      <c r="H700" s="393">
        <v>600</v>
      </c>
      <c r="I700" s="401">
        <v>260</v>
      </c>
      <c r="J700" s="620">
        <f t="shared" si="69"/>
        <v>43.333333333333336</v>
      </c>
      <c r="K700" s="309"/>
      <c r="L700" s="863"/>
      <c r="M700" s="402"/>
      <c r="N700" s="620"/>
      <c r="O700" s="309"/>
      <c r="P700" s="801">
        <f t="shared" si="70"/>
        <v>600</v>
      </c>
      <c r="Q700" s="809">
        <f t="shared" si="70"/>
        <v>260</v>
      </c>
      <c r="R700" s="763">
        <f t="shared" si="68"/>
        <v>43.333333333333336</v>
      </c>
    </row>
    <row r="701" spans="2:18" ht="12.75">
      <c r="B701" s="177">
        <f t="shared" si="71"/>
        <v>271</v>
      </c>
      <c r="C701" s="137"/>
      <c r="D701" s="138"/>
      <c r="E701" s="175" t="s">
        <v>852</v>
      </c>
      <c r="F701" s="277" t="s">
        <v>221</v>
      </c>
      <c r="G701" s="206" t="s">
        <v>854</v>
      </c>
      <c r="H701" s="393">
        <v>0</v>
      </c>
      <c r="I701" s="401">
        <v>990</v>
      </c>
      <c r="J701" s="620"/>
      <c r="K701" s="309"/>
      <c r="L701" s="863"/>
      <c r="M701" s="402"/>
      <c r="N701" s="620"/>
      <c r="O701" s="309"/>
      <c r="P701" s="801">
        <f t="shared" si="70"/>
        <v>0</v>
      </c>
      <c r="Q701" s="809">
        <f t="shared" si="70"/>
        <v>990</v>
      </c>
      <c r="R701" s="763"/>
    </row>
    <row r="702" spans="2:18" ht="15">
      <c r="B702" s="177">
        <f t="shared" si="71"/>
        <v>272</v>
      </c>
      <c r="C702" s="137"/>
      <c r="D702" s="260" t="s">
        <v>174</v>
      </c>
      <c r="E702" s="158" t="s">
        <v>450</v>
      </c>
      <c r="F702" s="158" t="s">
        <v>394</v>
      </c>
      <c r="G702" s="239"/>
      <c r="H702" s="390">
        <f>H703+H704+H705+H715+H716</f>
        <v>380093</v>
      </c>
      <c r="I702" s="390">
        <f>I703+I704+I705+I715+I716+I717</f>
        <v>132532</v>
      </c>
      <c r="J702" s="620">
        <f t="shared" si="69"/>
        <v>34.868308545540174</v>
      </c>
      <c r="K702" s="313"/>
      <c r="L702" s="854">
        <f>L718+L719</f>
        <v>48420</v>
      </c>
      <c r="M702" s="875">
        <f>M718+M719</f>
        <v>44960</v>
      </c>
      <c r="N702" s="638">
        <f>M702/L702*100</f>
        <v>92.85419248244527</v>
      </c>
      <c r="O702" s="313"/>
      <c r="P702" s="826">
        <f t="shared" si="70"/>
        <v>428513</v>
      </c>
      <c r="Q702" s="840">
        <f t="shared" si="70"/>
        <v>177492</v>
      </c>
      <c r="R702" s="763">
        <f t="shared" si="68"/>
        <v>41.42044698760598</v>
      </c>
    </row>
    <row r="703" spans="2:18" ht="12.75">
      <c r="B703" s="177">
        <f t="shared" si="71"/>
        <v>273</v>
      </c>
      <c r="C703" s="137"/>
      <c r="D703" s="138"/>
      <c r="E703" s="138"/>
      <c r="F703" s="154" t="s">
        <v>214</v>
      </c>
      <c r="G703" s="206" t="s">
        <v>543</v>
      </c>
      <c r="H703" s="393">
        <f>160058+8680</f>
        <v>168738</v>
      </c>
      <c r="I703" s="393">
        <v>75898</v>
      </c>
      <c r="J703" s="620">
        <f t="shared" si="69"/>
        <v>44.97979115551921</v>
      </c>
      <c r="K703" s="309"/>
      <c r="L703" s="863"/>
      <c r="M703" s="402"/>
      <c r="N703" s="620"/>
      <c r="O703" s="309"/>
      <c r="P703" s="801">
        <f t="shared" si="70"/>
        <v>168738</v>
      </c>
      <c r="Q703" s="809">
        <f t="shared" si="70"/>
        <v>75898</v>
      </c>
      <c r="R703" s="763">
        <f t="shared" si="68"/>
        <v>44.97979115551921</v>
      </c>
    </row>
    <row r="704" spans="2:18" ht="12.75">
      <c r="B704" s="177">
        <f t="shared" si="71"/>
        <v>274</v>
      </c>
      <c r="C704" s="137"/>
      <c r="D704" s="138"/>
      <c r="E704" s="138"/>
      <c r="F704" s="154" t="s">
        <v>215</v>
      </c>
      <c r="G704" s="206" t="s">
        <v>264</v>
      </c>
      <c r="H704" s="393">
        <f>55936+4290</f>
        <v>60226</v>
      </c>
      <c r="I704" s="393">
        <v>26583</v>
      </c>
      <c r="J704" s="620">
        <f t="shared" si="69"/>
        <v>44.1387440640255</v>
      </c>
      <c r="K704" s="309"/>
      <c r="L704" s="863"/>
      <c r="M704" s="402"/>
      <c r="N704" s="620"/>
      <c r="O704" s="309"/>
      <c r="P704" s="801">
        <f t="shared" si="70"/>
        <v>60226</v>
      </c>
      <c r="Q704" s="809">
        <f t="shared" si="70"/>
        <v>26583</v>
      </c>
      <c r="R704" s="763">
        <f t="shared" si="68"/>
        <v>44.1387440640255</v>
      </c>
    </row>
    <row r="705" spans="2:18" ht="12.75">
      <c r="B705" s="177">
        <f t="shared" si="71"/>
        <v>275</v>
      </c>
      <c r="C705" s="137"/>
      <c r="D705" s="138"/>
      <c r="E705" s="138"/>
      <c r="F705" s="154" t="s">
        <v>221</v>
      </c>
      <c r="G705" s="206" t="s">
        <v>360</v>
      </c>
      <c r="H705" s="393">
        <f>SUM(H706:H714)</f>
        <v>135729</v>
      </c>
      <c r="I705" s="401">
        <f>SUM(I706:I714)</f>
        <v>26207</v>
      </c>
      <c r="J705" s="620">
        <f t="shared" si="69"/>
        <v>19.30832762342609</v>
      </c>
      <c r="K705" s="309"/>
      <c r="L705" s="863"/>
      <c r="M705" s="402"/>
      <c r="N705" s="620"/>
      <c r="O705" s="309"/>
      <c r="P705" s="801">
        <f t="shared" si="70"/>
        <v>135729</v>
      </c>
      <c r="Q705" s="809">
        <f t="shared" si="70"/>
        <v>26207</v>
      </c>
      <c r="R705" s="763">
        <f t="shared" si="68"/>
        <v>19.30832762342609</v>
      </c>
    </row>
    <row r="706" spans="2:18" ht="12.75">
      <c r="B706" s="177">
        <f t="shared" si="71"/>
        <v>276</v>
      </c>
      <c r="C706" s="137"/>
      <c r="D706" s="138"/>
      <c r="E706" s="138"/>
      <c r="F706" s="138" t="s">
        <v>216</v>
      </c>
      <c r="G706" s="199" t="s">
        <v>260</v>
      </c>
      <c r="H706" s="357">
        <v>50</v>
      </c>
      <c r="I706" s="399">
        <v>135</v>
      </c>
      <c r="J706" s="620">
        <f t="shared" si="69"/>
        <v>270</v>
      </c>
      <c r="K706" s="309"/>
      <c r="L706" s="863"/>
      <c r="M706" s="402"/>
      <c r="N706" s="620"/>
      <c r="O706" s="309"/>
      <c r="P706" s="802">
        <f t="shared" si="70"/>
        <v>50</v>
      </c>
      <c r="Q706" s="810">
        <f t="shared" si="70"/>
        <v>135</v>
      </c>
      <c r="R706" s="763">
        <f t="shared" si="68"/>
        <v>270</v>
      </c>
    </row>
    <row r="707" spans="2:18" ht="12.75">
      <c r="B707" s="177">
        <f t="shared" si="71"/>
        <v>277</v>
      </c>
      <c r="C707" s="137"/>
      <c r="D707" s="138"/>
      <c r="E707" s="138"/>
      <c r="F707" s="138" t="s">
        <v>202</v>
      </c>
      <c r="G707" s="199" t="s">
        <v>335</v>
      </c>
      <c r="H707" s="357">
        <f>93818-6480</f>
        <v>87338</v>
      </c>
      <c r="I707" s="399">
        <v>11635</v>
      </c>
      <c r="J707" s="620">
        <f t="shared" si="69"/>
        <v>13.321807231674644</v>
      </c>
      <c r="K707" s="309"/>
      <c r="L707" s="863"/>
      <c r="M707" s="402"/>
      <c r="N707" s="620"/>
      <c r="O707" s="309"/>
      <c r="P707" s="802">
        <f t="shared" si="70"/>
        <v>87338</v>
      </c>
      <c r="Q707" s="810">
        <f t="shared" si="70"/>
        <v>11635</v>
      </c>
      <c r="R707" s="763">
        <f t="shared" si="68"/>
        <v>13.321807231674644</v>
      </c>
    </row>
    <row r="708" spans="2:18" ht="12.75">
      <c r="B708" s="177">
        <f t="shared" si="71"/>
        <v>278</v>
      </c>
      <c r="C708" s="137"/>
      <c r="D708" s="138"/>
      <c r="E708" s="138"/>
      <c r="F708" s="138" t="s">
        <v>203</v>
      </c>
      <c r="G708" s="199" t="s">
        <v>251</v>
      </c>
      <c r="H708" s="357">
        <v>24620</v>
      </c>
      <c r="I708" s="399">
        <v>299</v>
      </c>
      <c r="J708" s="620">
        <f t="shared" si="69"/>
        <v>1.2144597887896018</v>
      </c>
      <c r="K708" s="309"/>
      <c r="L708" s="863"/>
      <c r="M708" s="402"/>
      <c r="N708" s="620"/>
      <c r="O708" s="314"/>
      <c r="P708" s="804">
        <f t="shared" si="70"/>
        <v>24620</v>
      </c>
      <c r="Q708" s="812">
        <f t="shared" si="70"/>
        <v>299</v>
      </c>
      <c r="R708" s="763">
        <f t="shared" si="68"/>
        <v>1.2144597887896018</v>
      </c>
    </row>
    <row r="709" spans="2:18" ht="12.75">
      <c r="B709" s="177">
        <f t="shared" si="71"/>
        <v>279</v>
      </c>
      <c r="C709" s="137"/>
      <c r="D709" s="138"/>
      <c r="E709" s="138"/>
      <c r="F709" s="138" t="s">
        <v>217</v>
      </c>
      <c r="G709" s="199" t="s">
        <v>266</v>
      </c>
      <c r="H709" s="396">
        <v>930</v>
      </c>
      <c r="I709" s="891">
        <v>173</v>
      </c>
      <c r="J709" s="620">
        <f t="shared" si="69"/>
        <v>18.602150537634408</v>
      </c>
      <c r="K709" s="311"/>
      <c r="L709" s="864"/>
      <c r="M709" s="357"/>
      <c r="N709" s="620"/>
      <c r="O709" s="309"/>
      <c r="P709" s="827">
        <f t="shared" si="70"/>
        <v>930</v>
      </c>
      <c r="Q709" s="841">
        <f t="shared" si="70"/>
        <v>173</v>
      </c>
      <c r="R709" s="763">
        <f t="shared" si="68"/>
        <v>18.602150537634408</v>
      </c>
    </row>
    <row r="710" spans="2:18" ht="12.75">
      <c r="B710" s="177">
        <f t="shared" si="71"/>
        <v>280</v>
      </c>
      <c r="C710" s="137"/>
      <c r="D710" s="138"/>
      <c r="E710" s="138"/>
      <c r="F710" s="138" t="s">
        <v>218</v>
      </c>
      <c r="G710" s="199" t="s">
        <v>391</v>
      </c>
      <c r="H710" s="357">
        <f>4956-3520</f>
        <v>1436</v>
      </c>
      <c r="I710" s="399">
        <v>0</v>
      </c>
      <c r="J710" s="620">
        <f t="shared" si="69"/>
        <v>0</v>
      </c>
      <c r="K710" s="309"/>
      <c r="L710" s="865"/>
      <c r="M710" s="881"/>
      <c r="N710" s="620"/>
      <c r="O710" s="309"/>
      <c r="P710" s="802">
        <f t="shared" si="70"/>
        <v>1436</v>
      </c>
      <c r="Q710" s="810">
        <f t="shared" si="70"/>
        <v>0</v>
      </c>
      <c r="R710" s="763">
        <f t="shared" si="68"/>
        <v>0</v>
      </c>
    </row>
    <row r="711" spans="2:18" ht="12.75">
      <c r="B711" s="177">
        <f t="shared" si="71"/>
        <v>281</v>
      </c>
      <c r="C711" s="137"/>
      <c r="D711" s="138"/>
      <c r="E711" s="138"/>
      <c r="F711" s="138" t="s">
        <v>219</v>
      </c>
      <c r="G711" s="199" t="s">
        <v>252</v>
      </c>
      <c r="H711" s="357">
        <v>8450</v>
      </c>
      <c r="I711" s="399">
        <v>4740</v>
      </c>
      <c r="J711" s="620">
        <f t="shared" si="69"/>
        <v>56.09467455621302</v>
      </c>
      <c r="K711" s="309"/>
      <c r="L711" s="863"/>
      <c r="M711" s="402"/>
      <c r="N711" s="620"/>
      <c r="O711" s="309"/>
      <c r="P711" s="802">
        <f t="shared" si="70"/>
        <v>8450</v>
      </c>
      <c r="Q711" s="810">
        <f t="shared" si="70"/>
        <v>4740</v>
      </c>
      <c r="R711" s="763">
        <f t="shared" si="68"/>
        <v>56.09467455621302</v>
      </c>
    </row>
    <row r="712" spans="2:18" ht="12.75">
      <c r="B712" s="177">
        <f t="shared" si="71"/>
        <v>282</v>
      </c>
      <c r="C712" s="137"/>
      <c r="D712" s="138"/>
      <c r="E712" s="138"/>
      <c r="F712" s="138" t="s">
        <v>221</v>
      </c>
      <c r="G712" s="199" t="s">
        <v>253</v>
      </c>
      <c r="H712" s="357">
        <f>5850-2970</f>
        <v>2880</v>
      </c>
      <c r="I712" s="399">
        <v>0</v>
      </c>
      <c r="J712" s="620">
        <f t="shared" si="69"/>
        <v>0</v>
      </c>
      <c r="K712" s="309"/>
      <c r="L712" s="863"/>
      <c r="M712" s="402"/>
      <c r="N712" s="620"/>
      <c r="O712" s="309"/>
      <c r="P712" s="802">
        <f t="shared" si="70"/>
        <v>2880</v>
      </c>
      <c r="Q712" s="810">
        <f t="shared" si="70"/>
        <v>0</v>
      </c>
      <c r="R712" s="763">
        <f t="shared" si="68"/>
        <v>0</v>
      </c>
    </row>
    <row r="713" spans="2:18" ht="12.75">
      <c r="B713" s="177">
        <f t="shared" si="71"/>
        <v>283</v>
      </c>
      <c r="C713" s="137"/>
      <c r="D713" s="138"/>
      <c r="E713" s="138"/>
      <c r="F713" s="138" t="s">
        <v>221</v>
      </c>
      <c r="G713" s="199" t="s">
        <v>541</v>
      </c>
      <c r="H713" s="357">
        <v>800</v>
      </c>
      <c r="I713" s="399">
        <v>0</v>
      </c>
      <c r="J713" s="620">
        <f t="shared" si="69"/>
        <v>0</v>
      </c>
      <c r="K713" s="309"/>
      <c r="L713" s="863"/>
      <c r="M713" s="402"/>
      <c r="N713" s="620"/>
      <c r="O713" s="309"/>
      <c r="P713" s="802">
        <f t="shared" si="70"/>
        <v>800</v>
      </c>
      <c r="Q713" s="810">
        <f t="shared" si="70"/>
        <v>0</v>
      </c>
      <c r="R713" s="763">
        <f t="shared" si="68"/>
        <v>0</v>
      </c>
    </row>
    <row r="714" spans="2:18" ht="12.75">
      <c r="B714" s="177">
        <f t="shared" si="71"/>
        <v>284</v>
      </c>
      <c r="C714" s="137"/>
      <c r="D714" s="138"/>
      <c r="E714" s="138"/>
      <c r="F714" s="281" t="s">
        <v>221</v>
      </c>
      <c r="G714" s="199" t="s">
        <v>786</v>
      </c>
      <c r="H714" s="357">
        <v>9225</v>
      </c>
      <c r="I714" s="399">
        <v>9225</v>
      </c>
      <c r="J714" s="620">
        <f t="shared" si="69"/>
        <v>100</v>
      </c>
      <c r="K714" s="309"/>
      <c r="L714" s="863"/>
      <c r="M714" s="402"/>
      <c r="N714" s="620"/>
      <c r="O714" s="309"/>
      <c r="P714" s="802">
        <f t="shared" si="70"/>
        <v>9225</v>
      </c>
      <c r="Q714" s="810">
        <f t="shared" si="70"/>
        <v>9225</v>
      </c>
      <c r="R714" s="763">
        <f t="shared" si="68"/>
        <v>100</v>
      </c>
    </row>
    <row r="715" spans="2:18" ht="12.75">
      <c r="B715" s="177">
        <f t="shared" si="71"/>
        <v>285</v>
      </c>
      <c r="C715" s="137"/>
      <c r="D715" s="138"/>
      <c r="E715" s="138"/>
      <c r="F715" s="154" t="s">
        <v>221</v>
      </c>
      <c r="G715" s="206" t="s">
        <v>444</v>
      </c>
      <c r="H715" s="401">
        <v>15000</v>
      </c>
      <c r="I715" s="401">
        <v>2794</v>
      </c>
      <c r="J715" s="620">
        <f t="shared" si="69"/>
        <v>18.626666666666665</v>
      </c>
      <c r="K715" s="310"/>
      <c r="L715" s="863"/>
      <c r="M715" s="402"/>
      <c r="N715" s="620"/>
      <c r="O715" s="309"/>
      <c r="P715" s="801">
        <f t="shared" si="70"/>
        <v>15000</v>
      </c>
      <c r="Q715" s="809">
        <f t="shared" si="70"/>
        <v>2794</v>
      </c>
      <c r="R715" s="763">
        <f t="shared" si="68"/>
        <v>18.626666666666665</v>
      </c>
    </row>
    <row r="716" spans="2:18" ht="12.75">
      <c r="B716" s="177">
        <f t="shared" si="71"/>
        <v>286</v>
      </c>
      <c r="C716" s="137"/>
      <c r="D716" s="138"/>
      <c r="E716" s="175"/>
      <c r="F716" s="154" t="s">
        <v>220</v>
      </c>
      <c r="G716" s="206" t="s">
        <v>545</v>
      </c>
      <c r="H716" s="401">
        <v>400</v>
      </c>
      <c r="I716" s="401">
        <v>152</v>
      </c>
      <c r="J716" s="620">
        <f t="shared" si="69"/>
        <v>38</v>
      </c>
      <c r="K716" s="309"/>
      <c r="L716" s="863"/>
      <c r="M716" s="402"/>
      <c r="N716" s="620"/>
      <c r="O716" s="309"/>
      <c r="P716" s="801">
        <f t="shared" si="70"/>
        <v>400</v>
      </c>
      <c r="Q716" s="809">
        <f t="shared" si="70"/>
        <v>152</v>
      </c>
      <c r="R716" s="763">
        <f t="shared" si="68"/>
        <v>38</v>
      </c>
    </row>
    <row r="717" spans="2:18" ht="12.75">
      <c r="B717" s="177">
        <f t="shared" si="71"/>
        <v>287</v>
      </c>
      <c r="C717" s="137"/>
      <c r="D717" s="138"/>
      <c r="E717" s="175" t="s">
        <v>852</v>
      </c>
      <c r="F717" s="277" t="s">
        <v>203</v>
      </c>
      <c r="G717" s="206" t="s">
        <v>854</v>
      </c>
      <c r="H717" s="393">
        <v>0</v>
      </c>
      <c r="I717" s="401">
        <v>898</v>
      </c>
      <c r="J717" s="620"/>
      <c r="K717" s="309"/>
      <c r="L717" s="863"/>
      <c r="M717" s="402"/>
      <c r="N717" s="620"/>
      <c r="O717" s="309"/>
      <c r="P717" s="801">
        <f t="shared" si="70"/>
        <v>0</v>
      </c>
      <c r="Q717" s="809">
        <f t="shared" si="70"/>
        <v>898</v>
      </c>
      <c r="R717" s="763"/>
    </row>
    <row r="718" spans="2:18" ht="12.75">
      <c r="B718" s="177">
        <f t="shared" si="71"/>
        <v>288</v>
      </c>
      <c r="C718" s="137"/>
      <c r="D718" s="138"/>
      <c r="E718" s="175"/>
      <c r="F718" s="154" t="s">
        <v>340</v>
      </c>
      <c r="G718" s="206" t="s">
        <v>674</v>
      </c>
      <c r="H718" s="401"/>
      <c r="I718" s="401"/>
      <c r="J718" s="620"/>
      <c r="K718" s="309"/>
      <c r="L718" s="860">
        <f>42500+2920</f>
        <v>45420</v>
      </c>
      <c r="M718" s="361">
        <v>44960</v>
      </c>
      <c r="N718" s="638">
        <f>M718/L718*100</f>
        <v>98.98723029502422</v>
      </c>
      <c r="O718" s="309"/>
      <c r="P718" s="801">
        <f t="shared" si="70"/>
        <v>45420</v>
      </c>
      <c r="Q718" s="809">
        <f t="shared" si="70"/>
        <v>44960</v>
      </c>
      <c r="R718" s="763">
        <f t="shared" si="68"/>
        <v>98.98723029502422</v>
      </c>
    </row>
    <row r="719" spans="2:18" ht="12.75">
      <c r="B719" s="177">
        <f t="shared" si="71"/>
        <v>289</v>
      </c>
      <c r="C719" s="137"/>
      <c r="D719" s="138"/>
      <c r="E719" s="175"/>
      <c r="F719" s="154" t="s">
        <v>340</v>
      </c>
      <c r="G719" s="206" t="s">
        <v>779</v>
      </c>
      <c r="H719" s="401"/>
      <c r="I719" s="401"/>
      <c r="J719" s="620"/>
      <c r="K719" s="309"/>
      <c r="L719" s="860">
        <v>3000</v>
      </c>
      <c r="M719" s="361">
        <v>0</v>
      </c>
      <c r="N719" s="638">
        <f>M719/L719*100</f>
        <v>0</v>
      </c>
      <c r="O719" s="309"/>
      <c r="P719" s="801">
        <f t="shared" si="70"/>
        <v>3000</v>
      </c>
      <c r="Q719" s="809">
        <f t="shared" si="70"/>
        <v>0</v>
      </c>
      <c r="R719" s="763">
        <f aca="true" t="shared" si="72" ref="R719:R784">Q719/P719*100</f>
        <v>0</v>
      </c>
    </row>
    <row r="720" spans="2:18" ht="15">
      <c r="B720" s="177">
        <f t="shared" si="71"/>
        <v>290</v>
      </c>
      <c r="C720" s="137"/>
      <c r="D720" s="260" t="s">
        <v>367</v>
      </c>
      <c r="E720" s="158" t="s">
        <v>450</v>
      </c>
      <c r="F720" s="158" t="s">
        <v>440</v>
      </c>
      <c r="G720" s="239"/>
      <c r="H720" s="390">
        <f>H721+H722+H723+H733+H734</f>
        <v>712206</v>
      </c>
      <c r="I720" s="390">
        <f>I721+I722+I723+I733+I734+I735</f>
        <v>314417</v>
      </c>
      <c r="J720" s="620">
        <f t="shared" si="69"/>
        <v>44.146918166934846</v>
      </c>
      <c r="K720" s="313"/>
      <c r="L720" s="856"/>
      <c r="M720" s="877"/>
      <c r="N720" s="620"/>
      <c r="O720" s="313"/>
      <c r="P720" s="826">
        <f t="shared" si="70"/>
        <v>712206</v>
      </c>
      <c r="Q720" s="840">
        <f t="shared" si="70"/>
        <v>314417</v>
      </c>
      <c r="R720" s="763">
        <f t="shared" si="72"/>
        <v>44.146918166934846</v>
      </c>
    </row>
    <row r="721" spans="2:18" ht="12.75">
      <c r="B721" s="177">
        <f t="shared" si="71"/>
        <v>291</v>
      </c>
      <c r="C721" s="137"/>
      <c r="D721" s="138"/>
      <c r="E721" s="138"/>
      <c r="F721" s="154" t="s">
        <v>214</v>
      </c>
      <c r="G721" s="206" t="s">
        <v>543</v>
      </c>
      <c r="H721" s="393">
        <f>349637+7675</f>
        <v>357312</v>
      </c>
      <c r="I721" s="393">
        <v>150010</v>
      </c>
      <c r="J721" s="620">
        <f aca="true" t="shared" si="73" ref="J721:J786">I721/H721*100</f>
        <v>41.98291689056063</v>
      </c>
      <c r="K721" s="309"/>
      <c r="L721" s="863"/>
      <c r="M721" s="402"/>
      <c r="N721" s="620"/>
      <c r="O721" s="309"/>
      <c r="P721" s="801">
        <f aca="true" t="shared" si="74" ref="P721:Q749">H721+L721</f>
        <v>357312</v>
      </c>
      <c r="Q721" s="809">
        <f t="shared" si="74"/>
        <v>150010</v>
      </c>
      <c r="R721" s="763">
        <f t="shared" si="72"/>
        <v>41.98291689056063</v>
      </c>
    </row>
    <row r="722" spans="2:18" ht="12.75">
      <c r="B722" s="177">
        <f t="shared" si="71"/>
        <v>292</v>
      </c>
      <c r="C722" s="137"/>
      <c r="D722" s="138"/>
      <c r="E722" s="138"/>
      <c r="F722" s="154" t="s">
        <v>215</v>
      </c>
      <c r="G722" s="206" t="s">
        <v>264</v>
      </c>
      <c r="H722" s="393">
        <f>122441+2825</f>
        <v>125266</v>
      </c>
      <c r="I722" s="393">
        <v>52533</v>
      </c>
      <c r="J722" s="620">
        <f t="shared" si="73"/>
        <v>41.937157728354066</v>
      </c>
      <c r="K722" s="309"/>
      <c r="L722" s="863"/>
      <c r="M722" s="402"/>
      <c r="N722" s="620"/>
      <c r="O722" s="309"/>
      <c r="P722" s="801">
        <f t="shared" si="74"/>
        <v>125266</v>
      </c>
      <c r="Q722" s="809">
        <f t="shared" si="74"/>
        <v>52533</v>
      </c>
      <c r="R722" s="763">
        <f t="shared" si="72"/>
        <v>41.937157728354066</v>
      </c>
    </row>
    <row r="723" spans="2:18" ht="12.75">
      <c r="B723" s="177">
        <f t="shared" si="71"/>
        <v>293</v>
      </c>
      <c r="C723" s="137"/>
      <c r="D723" s="138"/>
      <c r="E723" s="138"/>
      <c r="F723" s="154" t="s">
        <v>221</v>
      </c>
      <c r="G723" s="206" t="s">
        <v>360</v>
      </c>
      <c r="H723" s="393">
        <f>SUM(H724:H732)</f>
        <v>227880</v>
      </c>
      <c r="I723" s="393">
        <f>SUM(I724:I732)</f>
        <v>110933</v>
      </c>
      <c r="J723" s="620">
        <f t="shared" si="73"/>
        <v>48.680445848692294</v>
      </c>
      <c r="K723" s="309"/>
      <c r="L723" s="863"/>
      <c r="M723" s="402"/>
      <c r="N723" s="620"/>
      <c r="O723" s="309"/>
      <c r="P723" s="801">
        <f t="shared" si="74"/>
        <v>227880</v>
      </c>
      <c r="Q723" s="809">
        <f t="shared" si="74"/>
        <v>110933</v>
      </c>
      <c r="R723" s="763">
        <f t="shared" si="72"/>
        <v>48.680445848692294</v>
      </c>
    </row>
    <row r="724" spans="2:18" ht="12.75">
      <c r="B724" s="177">
        <f t="shared" si="71"/>
        <v>294</v>
      </c>
      <c r="C724" s="137"/>
      <c r="D724" s="138"/>
      <c r="E724" s="138"/>
      <c r="F724" s="138" t="s">
        <v>216</v>
      </c>
      <c r="G724" s="199" t="s">
        <v>260</v>
      </c>
      <c r="H724" s="357">
        <v>400</v>
      </c>
      <c r="I724" s="357">
        <v>12</v>
      </c>
      <c r="J724" s="620">
        <f t="shared" si="73"/>
        <v>3</v>
      </c>
      <c r="K724" s="309"/>
      <c r="L724" s="863"/>
      <c r="M724" s="402"/>
      <c r="N724" s="620"/>
      <c r="O724" s="309"/>
      <c r="P724" s="802">
        <f t="shared" si="74"/>
        <v>400</v>
      </c>
      <c r="Q724" s="810">
        <f t="shared" si="74"/>
        <v>12</v>
      </c>
      <c r="R724" s="763">
        <f t="shared" si="72"/>
        <v>3</v>
      </c>
    </row>
    <row r="725" spans="2:18" ht="12.75">
      <c r="B725" s="177">
        <f t="shared" si="71"/>
        <v>295</v>
      </c>
      <c r="C725" s="137"/>
      <c r="D725" s="138"/>
      <c r="E725" s="138"/>
      <c r="F725" s="138" t="s">
        <v>202</v>
      </c>
      <c r="G725" s="199" t="s">
        <v>335</v>
      </c>
      <c r="H725" s="357">
        <v>77900</v>
      </c>
      <c r="I725" s="357">
        <v>9332</v>
      </c>
      <c r="J725" s="620">
        <f t="shared" si="73"/>
        <v>11.979460847240052</v>
      </c>
      <c r="K725" s="309"/>
      <c r="L725" s="863"/>
      <c r="M725" s="402"/>
      <c r="N725" s="620"/>
      <c r="O725" s="309"/>
      <c r="P725" s="802">
        <f t="shared" si="74"/>
        <v>77900</v>
      </c>
      <c r="Q725" s="810">
        <f t="shared" si="74"/>
        <v>9332</v>
      </c>
      <c r="R725" s="763">
        <f t="shared" si="72"/>
        <v>11.979460847240052</v>
      </c>
    </row>
    <row r="726" spans="2:18" ht="12.75">
      <c r="B726" s="177">
        <f t="shared" si="71"/>
        <v>296</v>
      </c>
      <c r="C726" s="137"/>
      <c r="D726" s="138"/>
      <c r="E726" s="138"/>
      <c r="F726" s="138" t="s">
        <v>203</v>
      </c>
      <c r="G726" s="199" t="s">
        <v>251</v>
      </c>
      <c r="H726" s="357">
        <v>27526</v>
      </c>
      <c r="I726" s="357">
        <v>3795</v>
      </c>
      <c r="J726" s="620">
        <f t="shared" si="73"/>
        <v>13.786965051224298</v>
      </c>
      <c r="K726" s="309"/>
      <c r="L726" s="863"/>
      <c r="M726" s="402"/>
      <c r="N726" s="620"/>
      <c r="O726" s="309"/>
      <c r="P726" s="802">
        <f t="shared" si="74"/>
        <v>27526</v>
      </c>
      <c r="Q726" s="810">
        <f t="shared" si="74"/>
        <v>3795</v>
      </c>
      <c r="R726" s="763">
        <f t="shared" si="72"/>
        <v>13.786965051224298</v>
      </c>
    </row>
    <row r="727" spans="2:18" ht="12.75">
      <c r="B727" s="177">
        <f t="shared" si="71"/>
        <v>297</v>
      </c>
      <c r="C727" s="137"/>
      <c r="D727" s="138"/>
      <c r="E727" s="138"/>
      <c r="F727" s="138" t="s">
        <v>217</v>
      </c>
      <c r="G727" s="199" t="s">
        <v>266</v>
      </c>
      <c r="H727" s="357">
        <v>6800</v>
      </c>
      <c r="I727" s="357">
        <v>619</v>
      </c>
      <c r="J727" s="620">
        <f t="shared" si="73"/>
        <v>9.102941176470589</v>
      </c>
      <c r="K727" s="309"/>
      <c r="L727" s="863"/>
      <c r="M727" s="402"/>
      <c r="N727" s="620"/>
      <c r="O727" s="309"/>
      <c r="P727" s="802">
        <f t="shared" si="74"/>
        <v>6800</v>
      </c>
      <c r="Q727" s="810">
        <f t="shared" si="74"/>
        <v>619</v>
      </c>
      <c r="R727" s="763">
        <f t="shared" si="72"/>
        <v>9.102941176470589</v>
      </c>
    </row>
    <row r="728" spans="2:18" ht="12.75">
      <c r="B728" s="177">
        <f t="shared" si="71"/>
        <v>298</v>
      </c>
      <c r="C728" s="137"/>
      <c r="D728" s="138"/>
      <c r="E728" s="138"/>
      <c r="F728" s="138" t="s">
        <v>219</v>
      </c>
      <c r="G728" s="199" t="s">
        <v>252</v>
      </c>
      <c r="H728" s="357">
        <v>16200</v>
      </c>
      <c r="I728" s="357">
        <v>7959</v>
      </c>
      <c r="J728" s="620">
        <f t="shared" si="73"/>
        <v>49.129629629629626</v>
      </c>
      <c r="K728" s="309"/>
      <c r="L728" s="863"/>
      <c r="M728" s="402"/>
      <c r="N728" s="620"/>
      <c r="O728" s="309"/>
      <c r="P728" s="802">
        <f t="shared" si="74"/>
        <v>16200</v>
      </c>
      <c r="Q728" s="810">
        <f t="shared" si="74"/>
        <v>7959</v>
      </c>
      <c r="R728" s="763">
        <f t="shared" si="72"/>
        <v>49.129629629629626</v>
      </c>
    </row>
    <row r="729" spans="2:18" ht="12.75">
      <c r="B729" s="177">
        <f t="shared" si="71"/>
        <v>299</v>
      </c>
      <c r="C729" s="137"/>
      <c r="D729" s="138"/>
      <c r="E729" s="138"/>
      <c r="F729" s="138" t="s">
        <v>221</v>
      </c>
      <c r="G729" s="199" t="s">
        <v>253</v>
      </c>
      <c r="H729" s="357">
        <f>12000-10500</f>
        <v>1500</v>
      </c>
      <c r="I729" s="357">
        <v>1449</v>
      </c>
      <c r="J729" s="620">
        <f t="shared" si="73"/>
        <v>96.6</v>
      </c>
      <c r="K729" s="309"/>
      <c r="L729" s="863"/>
      <c r="M729" s="402"/>
      <c r="N729" s="620"/>
      <c r="O729" s="309"/>
      <c r="P729" s="802">
        <f t="shared" si="74"/>
        <v>1500</v>
      </c>
      <c r="Q729" s="810">
        <f t="shared" si="74"/>
        <v>1449</v>
      </c>
      <c r="R729" s="763">
        <f t="shared" si="72"/>
        <v>96.6</v>
      </c>
    </row>
    <row r="730" spans="2:18" ht="12.75">
      <c r="B730" s="177">
        <f t="shared" si="71"/>
        <v>300</v>
      </c>
      <c r="C730" s="137"/>
      <c r="D730" s="138"/>
      <c r="E730" s="175"/>
      <c r="F730" s="138" t="s">
        <v>221</v>
      </c>
      <c r="G730" s="199" t="s">
        <v>541</v>
      </c>
      <c r="H730" s="357">
        <v>400</v>
      </c>
      <c r="I730" s="357">
        <v>0</v>
      </c>
      <c r="J730" s="620">
        <f t="shared" si="73"/>
        <v>0</v>
      </c>
      <c r="K730" s="309"/>
      <c r="L730" s="863"/>
      <c r="M730" s="402"/>
      <c r="N730" s="620"/>
      <c r="O730" s="309"/>
      <c r="P730" s="802">
        <f t="shared" si="74"/>
        <v>400</v>
      </c>
      <c r="Q730" s="810">
        <f t="shared" si="74"/>
        <v>0</v>
      </c>
      <c r="R730" s="763">
        <f t="shared" si="72"/>
        <v>0</v>
      </c>
    </row>
    <row r="731" spans="2:18" ht="12.75">
      <c r="B731" s="177">
        <f t="shared" si="71"/>
        <v>301</v>
      </c>
      <c r="C731" s="137"/>
      <c r="D731" s="138"/>
      <c r="E731" s="175"/>
      <c r="F731" s="138" t="s">
        <v>221</v>
      </c>
      <c r="G731" s="199" t="s">
        <v>786</v>
      </c>
      <c r="H731" s="357">
        <v>21154</v>
      </c>
      <c r="I731" s="357">
        <v>21154</v>
      </c>
      <c r="J731" s="620">
        <f t="shared" si="73"/>
        <v>100</v>
      </c>
      <c r="K731" s="309"/>
      <c r="L731" s="863"/>
      <c r="M731" s="402"/>
      <c r="N731" s="620"/>
      <c r="O731" s="309"/>
      <c r="P731" s="802">
        <f t="shared" si="74"/>
        <v>21154</v>
      </c>
      <c r="Q731" s="810">
        <f t="shared" si="74"/>
        <v>21154</v>
      </c>
      <c r="R731" s="763">
        <f t="shared" si="72"/>
        <v>100</v>
      </c>
    </row>
    <row r="732" spans="2:18" ht="12.75">
      <c r="B732" s="177">
        <f t="shared" si="71"/>
        <v>302</v>
      </c>
      <c r="C732" s="137"/>
      <c r="D732" s="138"/>
      <c r="E732" s="175"/>
      <c r="F732" s="138" t="s">
        <v>221</v>
      </c>
      <c r="G732" s="199" t="s">
        <v>790</v>
      </c>
      <c r="H732" s="357">
        <v>76000</v>
      </c>
      <c r="I732" s="357">
        <v>66613</v>
      </c>
      <c r="J732" s="620">
        <f t="shared" si="73"/>
        <v>87.64868421052631</v>
      </c>
      <c r="K732" s="309"/>
      <c r="L732" s="863"/>
      <c r="M732" s="402"/>
      <c r="N732" s="620"/>
      <c r="O732" s="309"/>
      <c r="P732" s="802">
        <f t="shared" si="74"/>
        <v>76000</v>
      </c>
      <c r="Q732" s="810">
        <f t="shared" si="74"/>
        <v>66613</v>
      </c>
      <c r="R732" s="763">
        <f t="shared" si="72"/>
        <v>87.64868421052631</v>
      </c>
    </row>
    <row r="733" spans="2:18" ht="12.75">
      <c r="B733" s="177">
        <f t="shared" si="71"/>
        <v>303</v>
      </c>
      <c r="C733" s="137"/>
      <c r="D733" s="138"/>
      <c r="E733" s="175"/>
      <c r="F733" s="154" t="s">
        <v>221</v>
      </c>
      <c r="G733" s="206" t="s">
        <v>444</v>
      </c>
      <c r="H733" s="401">
        <v>1498</v>
      </c>
      <c r="I733" s="401">
        <v>213</v>
      </c>
      <c r="J733" s="620">
        <f t="shared" si="73"/>
        <v>14.218958611481977</v>
      </c>
      <c r="K733" s="310"/>
      <c r="L733" s="863"/>
      <c r="M733" s="402"/>
      <c r="N733" s="620"/>
      <c r="O733" s="309"/>
      <c r="P733" s="801">
        <f t="shared" si="74"/>
        <v>1498</v>
      </c>
      <c r="Q733" s="809">
        <f t="shared" si="74"/>
        <v>213</v>
      </c>
      <c r="R733" s="763">
        <f t="shared" si="72"/>
        <v>14.218958611481977</v>
      </c>
    </row>
    <row r="734" spans="2:18" ht="12.75">
      <c r="B734" s="177">
        <f t="shared" si="71"/>
        <v>304</v>
      </c>
      <c r="C734" s="137"/>
      <c r="D734" s="138"/>
      <c r="E734" s="138"/>
      <c r="F734" s="154" t="s">
        <v>220</v>
      </c>
      <c r="G734" s="206" t="s">
        <v>387</v>
      </c>
      <c r="H734" s="393">
        <v>250</v>
      </c>
      <c r="I734" s="401">
        <v>396</v>
      </c>
      <c r="J734" s="620">
        <f t="shared" si="73"/>
        <v>158.4</v>
      </c>
      <c r="K734" s="309"/>
      <c r="L734" s="863"/>
      <c r="M734" s="402"/>
      <c r="N734" s="620"/>
      <c r="O734" s="309"/>
      <c r="P734" s="801">
        <f t="shared" si="74"/>
        <v>250</v>
      </c>
      <c r="Q734" s="809">
        <f t="shared" si="74"/>
        <v>396</v>
      </c>
      <c r="R734" s="763">
        <f t="shared" si="72"/>
        <v>158.4</v>
      </c>
    </row>
    <row r="735" spans="2:18" ht="12.75">
      <c r="B735" s="177">
        <f t="shared" si="71"/>
        <v>305</v>
      </c>
      <c r="C735" s="137"/>
      <c r="D735" s="138"/>
      <c r="E735" s="175" t="s">
        <v>852</v>
      </c>
      <c r="F735" s="277" t="s">
        <v>221</v>
      </c>
      <c r="G735" s="206" t="s">
        <v>854</v>
      </c>
      <c r="H735" s="393">
        <v>0</v>
      </c>
      <c r="I735" s="401">
        <v>332</v>
      </c>
      <c r="J735" s="620"/>
      <c r="K735" s="309"/>
      <c r="L735" s="863"/>
      <c r="M735" s="402"/>
      <c r="N735" s="620"/>
      <c r="O735" s="309"/>
      <c r="P735" s="801">
        <f t="shared" si="74"/>
        <v>0</v>
      </c>
      <c r="Q735" s="809">
        <f t="shared" si="74"/>
        <v>332</v>
      </c>
      <c r="R735" s="763"/>
    </row>
    <row r="736" spans="2:18" ht="15">
      <c r="B736" s="177">
        <f t="shared" si="71"/>
        <v>306</v>
      </c>
      <c r="C736" s="137"/>
      <c r="D736" s="260" t="s">
        <v>369</v>
      </c>
      <c r="E736" s="158" t="s">
        <v>450</v>
      </c>
      <c r="F736" s="158" t="s">
        <v>395</v>
      </c>
      <c r="G736" s="239"/>
      <c r="H736" s="390">
        <f>H737+H738+H739+H747+H748</f>
        <v>373725</v>
      </c>
      <c r="I736" s="390">
        <f>I737+I738+I739+I747+I748+I749</f>
        <v>141468</v>
      </c>
      <c r="J736" s="620">
        <f t="shared" si="73"/>
        <v>37.85350190648204</v>
      </c>
      <c r="K736" s="313"/>
      <c r="L736" s="854"/>
      <c r="M736" s="875"/>
      <c r="N736" s="638"/>
      <c r="O736" s="313"/>
      <c r="P736" s="826">
        <f t="shared" si="74"/>
        <v>373725</v>
      </c>
      <c r="Q736" s="840">
        <f t="shared" si="74"/>
        <v>141468</v>
      </c>
      <c r="R736" s="763">
        <f t="shared" si="72"/>
        <v>37.85350190648204</v>
      </c>
    </row>
    <row r="737" spans="2:18" ht="12.75">
      <c r="B737" s="177">
        <f t="shared" si="71"/>
        <v>307</v>
      </c>
      <c r="C737" s="137"/>
      <c r="D737" s="138"/>
      <c r="E737" s="138"/>
      <c r="F737" s="154" t="s">
        <v>214</v>
      </c>
      <c r="G737" s="206" t="s">
        <v>543</v>
      </c>
      <c r="H737" s="393">
        <f>199748+2300</f>
        <v>202048</v>
      </c>
      <c r="I737" s="393">
        <v>85045</v>
      </c>
      <c r="J737" s="620">
        <f t="shared" si="73"/>
        <v>42.09148321191004</v>
      </c>
      <c r="K737" s="309"/>
      <c r="L737" s="863"/>
      <c r="M737" s="402"/>
      <c r="N737" s="620"/>
      <c r="O737" s="309"/>
      <c r="P737" s="801">
        <f t="shared" si="74"/>
        <v>202048</v>
      </c>
      <c r="Q737" s="809">
        <f t="shared" si="74"/>
        <v>85045</v>
      </c>
      <c r="R737" s="763">
        <f t="shared" si="72"/>
        <v>42.09148321191004</v>
      </c>
    </row>
    <row r="738" spans="2:18" ht="12.75">
      <c r="B738" s="177">
        <f t="shared" si="71"/>
        <v>308</v>
      </c>
      <c r="C738" s="137"/>
      <c r="D738" s="138"/>
      <c r="E738" s="138"/>
      <c r="F738" s="154" t="s">
        <v>215</v>
      </c>
      <c r="G738" s="206" t="s">
        <v>264</v>
      </c>
      <c r="H738" s="393">
        <f>69812+800</f>
        <v>70612</v>
      </c>
      <c r="I738" s="393">
        <v>30049</v>
      </c>
      <c r="J738" s="620">
        <f t="shared" si="73"/>
        <v>42.555089786438565</v>
      </c>
      <c r="K738" s="309"/>
      <c r="L738" s="863"/>
      <c r="M738" s="402"/>
      <c r="N738" s="620"/>
      <c r="O738" s="309"/>
      <c r="P738" s="801">
        <f t="shared" si="74"/>
        <v>70612</v>
      </c>
      <c r="Q738" s="809">
        <f t="shared" si="74"/>
        <v>30049</v>
      </c>
      <c r="R738" s="763">
        <f t="shared" si="72"/>
        <v>42.555089786438565</v>
      </c>
    </row>
    <row r="739" spans="2:18" ht="12.75">
      <c r="B739" s="177">
        <f t="shared" si="71"/>
        <v>309</v>
      </c>
      <c r="C739" s="137"/>
      <c r="D739" s="138"/>
      <c r="E739" s="138"/>
      <c r="F739" s="154" t="s">
        <v>221</v>
      </c>
      <c r="G739" s="206" t="s">
        <v>360</v>
      </c>
      <c r="H739" s="393">
        <f>SUM(H740:H746)</f>
        <v>94955</v>
      </c>
      <c r="I739" s="401">
        <f>SUM(I740:I746)</f>
        <v>24712</v>
      </c>
      <c r="J739" s="620">
        <f t="shared" si="73"/>
        <v>26.02495919119583</v>
      </c>
      <c r="K739" s="309"/>
      <c r="L739" s="863"/>
      <c r="M739" s="402"/>
      <c r="N739" s="620"/>
      <c r="O739" s="309"/>
      <c r="P739" s="801">
        <f t="shared" si="74"/>
        <v>94955</v>
      </c>
      <c r="Q739" s="809">
        <f t="shared" si="74"/>
        <v>24712</v>
      </c>
      <c r="R739" s="763">
        <f t="shared" si="72"/>
        <v>26.02495919119583</v>
      </c>
    </row>
    <row r="740" spans="2:18" ht="12.75">
      <c r="B740" s="177">
        <f t="shared" si="71"/>
        <v>310</v>
      </c>
      <c r="C740" s="137"/>
      <c r="D740" s="138"/>
      <c r="E740" s="138"/>
      <c r="F740" s="138" t="s">
        <v>216</v>
      </c>
      <c r="G740" s="199" t="s">
        <v>260</v>
      </c>
      <c r="H740" s="357">
        <v>30</v>
      </c>
      <c r="I740" s="399">
        <v>49</v>
      </c>
      <c r="J740" s="620">
        <f t="shared" si="73"/>
        <v>163.33333333333334</v>
      </c>
      <c r="K740" s="309"/>
      <c r="L740" s="863"/>
      <c r="M740" s="402"/>
      <c r="N740" s="620"/>
      <c r="O740" s="309"/>
      <c r="P740" s="802">
        <f t="shared" si="74"/>
        <v>30</v>
      </c>
      <c r="Q740" s="810">
        <f t="shared" si="74"/>
        <v>49</v>
      </c>
      <c r="R740" s="763">
        <f t="shared" si="72"/>
        <v>163.33333333333334</v>
      </c>
    </row>
    <row r="741" spans="2:18" ht="12.75">
      <c r="B741" s="177">
        <f t="shared" si="71"/>
        <v>311</v>
      </c>
      <c r="C741" s="137"/>
      <c r="D741" s="138"/>
      <c r="E741" s="138"/>
      <c r="F741" s="138" t="s">
        <v>202</v>
      </c>
      <c r="G741" s="199" t="s">
        <v>335</v>
      </c>
      <c r="H741" s="357">
        <v>45495</v>
      </c>
      <c r="I741" s="399">
        <v>16679</v>
      </c>
      <c r="J741" s="620">
        <f t="shared" si="73"/>
        <v>36.66117155731399</v>
      </c>
      <c r="K741" s="309"/>
      <c r="L741" s="863"/>
      <c r="M741" s="402"/>
      <c r="N741" s="620"/>
      <c r="O741" s="309"/>
      <c r="P741" s="802">
        <f t="shared" si="74"/>
        <v>45495</v>
      </c>
      <c r="Q741" s="810">
        <f t="shared" si="74"/>
        <v>16679</v>
      </c>
      <c r="R741" s="763">
        <f t="shared" si="72"/>
        <v>36.66117155731399</v>
      </c>
    </row>
    <row r="742" spans="2:18" ht="12.75">
      <c r="B742" s="177">
        <f t="shared" si="71"/>
        <v>312</v>
      </c>
      <c r="C742" s="137"/>
      <c r="D742" s="138"/>
      <c r="E742" s="138"/>
      <c r="F742" s="138" t="s">
        <v>203</v>
      </c>
      <c r="G742" s="199" t="s">
        <v>251</v>
      </c>
      <c r="H742" s="357">
        <v>21920</v>
      </c>
      <c r="I742" s="399">
        <v>867</v>
      </c>
      <c r="J742" s="620">
        <f t="shared" si="73"/>
        <v>3.9552919708029197</v>
      </c>
      <c r="K742" s="309"/>
      <c r="L742" s="863"/>
      <c r="M742" s="402"/>
      <c r="N742" s="620"/>
      <c r="O742" s="309"/>
      <c r="P742" s="802">
        <f t="shared" si="74"/>
        <v>21920</v>
      </c>
      <c r="Q742" s="810">
        <f t="shared" si="74"/>
        <v>867</v>
      </c>
      <c r="R742" s="763">
        <f t="shared" si="72"/>
        <v>3.9552919708029197</v>
      </c>
    </row>
    <row r="743" spans="2:18" ht="12.75">
      <c r="B743" s="177">
        <f t="shared" si="71"/>
        <v>313</v>
      </c>
      <c r="C743" s="137"/>
      <c r="D743" s="138"/>
      <c r="E743" s="138"/>
      <c r="F743" s="138" t="s">
        <v>217</v>
      </c>
      <c r="G743" s="199" t="s">
        <v>266</v>
      </c>
      <c r="H743" s="396">
        <v>11420</v>
      </c>
      <c r="I743" s="891">
        <v>230</v>
      </c>
      <c r="J743" s="620">
        <f t="shared" si="73"/>
        <v>2.0140105078809105</v>
      </c>
      <c r="K743" s="315"/>
      <c r="L743" s="863"/>
      <c r="M743" s="402"/>
      <c r="N743" s="620"/>
      <c r="O743" s="315"/>
      <c r="P743" s="802">
        <f t="shared" si="74"/>
        <v>11420</v>
      </c>
      <c r="Q743" s="810">
        <f t="shared" si="74"/>
        <v>230</v>
      </c>
      <c r="R743" s="763">
        <f t="shared" si="72"/>
        <v>2.0140105078809105</v>
      </c>
    </row>
    <row r="744" spans="2:18" ht="12.75">
      <c r="B744" s="177">
        <f t="shared" si="71"/>
        <v>314</v>
      </c>
      <c r="C744" s="137"/>
      <c r="D744" s="138"/>
      <c r="E744" s="138"/>
      <c r="F744" s="138" t="s">
        <v>219</v>
      </c>
      <c r="G744" s="199" t="s">
        <v>252</v>
      </c>
      <c r="H744" s="357">
        <v>11150</v>
      </c>
      <c r="I744" s="399">
        <v>6579</v>
      </c>
      <c r="J744" s="620">
        <f t="shared" si="73"/>
        <v>59.00448430493274</v>
      </c>
      <c r="K744" s="309"/>
      <c r="L744" s="863"/>
      <c r="M744" s="402"/>
      <c r="N744" s="620"/>
      <c r="O744" s="309"/>
      <c r="P744" s="802">
        <f t="shared" si="74"/>
        <v>11150</v>
      </c>
      <c r="Q744" s="810">
        <f t="shared" si="74"/>
        <v>6579</v>
      </c>
      <c r="R744" s="763">
        <f t="shared" si="72"/>
        <v>59.00448430493274</v>
      </c>
    </row>
    <row r="745" spans="2:18" ht="12.75">
      <c r="B745" s="177">
        <f t="shared" si="71"/>
        <v>315</v>
      </c>
      <c r="C745" s="137"/>
      <c r="D745" s="137"/>
      <c r="E745" s="138"/>
      <c r="F745" s="138" t="s">
        <v>221</v>
      </c>
      <c r="G745" s="199" t="s">
        <v>253</v>
      </c>
      <c r="H745" s="357">
        <f>7440-3100</f>
        <v>4340</v>
      </c>
      <c r="I745" s="399">
        <v>179</v>
      </c>
      <c r="J745" s="620">
        <f t="shared" si="73"/>
        <v>4.124423963133641</v>
      </c>
      <c r="K745" s="309"/>
      <c r="L745" s="864"/>
      <c r="M745" s="357"/>
      <c r="N745" s="620"/>
      <c r="O745" s="309"/>
      <c r="P745" s="804">
        <f t="shared" si="74"/>
        <v>4340</v>
      </c>
      <c r="Q745" s="812">
        <f t="shared" si="74"/>
        <v>179</v>
      </c>
      <c r="R745" s="763">
        <f t="shared" si="72"/>
        <v>4.124423963133641</v>
      </c>
    </row>
    <row r="746" spans="2:18" ht="12.75">
      <c r="B746" s="177">
        <f t="shared" si="71"/>
        <v>316</v>
      </c>
      <c r="C746" s="185"/>
      <c r="D746" s="185"/>
      <c r="E746" s="298"/>
      <c r="F746" s="298" t="s">
        <v>221</v>
      </c>
      <c r="G746" s="228" t="s">
        <v>541</v>
      </c>
      <c r="H746" s="402">
        <v>600</v>
      </c>
      <c r="I746" s="584">
        <v>129</v>
      </c>
      <c r="J746" s="620">
        <f t="shared" si="73"/>
        <v>21.5</v>
      </c>
      <c r="K746" s="309"/>
      <c r="L746" s="863"/>
      <c r="M746" s="402"/>
      <c r="N746" s="620"/>
      <c r="O746" s="309"/>
      <c r="P746" s="804">
        <f t="shared" si="74"/>
        <v>600</v>
      </c>
      <c r="Q746" s="812">
        <f t="shared" si="74"/>
        <v>129</v>
      </c>
      <c r="R746" s="763">
        <f t="shared" si="72"/>
        <v>21.5</v>
      </c>
    </row>
    <row r="747" spans="2:18" ht="12.75">
      <c r="B747" s="177">
        <f t="shared" si="71"/>
        <v>317</v>
      </c>
      <c r="C747" s="142"/>
      <c r="D747" s="142"/>
      <c r="E747" s="143"/>
      <c r="F747" s="277" t="s">
        <v>221</v>
      </c>
      <c r="G747" s="210" t="s">
        <v>444</v>
      </c>
      <c r="H747" s="400">
        <v>6010</v>
      </c>
      <c r="I747" s="400">
        <v>0</v>
      </c>
      <c r="J747" s="620">
        <f t="shared" si="73"/>
        <v>0</v>
      </c>
      <c r="K747" s="320"/>
      <c r="L747" s="860"/>
      <c r="M747" s="361"/>
      <c r="N747" s="620"/>
      <c r="O747" s="307"/>
      <c r="P747" s="830">
        <f t="shared" si="74"/>
        <v>6010</v>
      </c>
      <c r="Q747" s="844">
        <f t="shared" si="74"/>
        <v>0</v>
      </c>
      <c r="R747" s="763">
        <f t="shared" si="72"/>
        <v>0</v>
      </c>
    </row>
    <row r="748" spans="2:18" ht="12.75">
      <c r="B748" s="177">
        <f t="shared" si="71"/>
        <v>318</v>
      </c>
      <c r="C748" s="142"/>
      <c r="D748" s="142"/>
      <c r="E748" s="281"/>
      <c r="F748" s="277" t="s">
        <v>220</v>
      </c>
      <c r="G748" s="210" t="s">
        <v>545</v>
      </c>
      <c r="H748" s="393">
        <v>100</v>
      </c>
      <c r="I748" s="401">
        <v>229</v>
      </c>
      <c r="J748" s="620">
        <f t="shared" si="73"/>
        <v>229</v>
      </c>
      <c r="K748" s="311"/>
      <c r="L748" s="864"/>
      <c r="M748" s="357"/>
      <c r="N748" s="620"/>
      <c r="O748" s="311"/>
      <c r="P748" s="830">
        <f t="shared" si="74"/>
        <v>100</v>
      </c>
      <c r="Q748" s="844">
        <f t="shared" si="74"/>
        <v>229</v>
      </c>
      <c r="R748" s="763">
        <f t="shared" si="72"/>
        <v>229</v>
      </c>
    </row>
    <row r="749" spans="2:18" ht="12.75">
      <c r="B749" s="177">
        <f t="shared" si="71"/>
        <v>319</v>
      </c>
      <c r="C749" s="137"/>
      <c r="D749" s="137"/>
      <c r="E749" s="184" t="s">
        <v>852</v>
      </c>
      <c r="F749" s="154" t="s">
        <v>850</v>
      </c>
      <c r="G749" s="206" t="s">
        <v>854</v>
      </c>
      <c r="H749" s="393">
        <v>0</v>
      </c>
      <c r="I749" s="401">
        <v>1433</v>
      </c>
      <c r="J749" s="620"/>
      <c r="K749" s="314"/>
      <c r="L749" s="867"/>
      <c r="M749" s="396"/>
      <c r="N749" s="620"/>
      <c r="O749" s="314"/>
      <c r="P749" s="830">
        <f t="shared" si="74"/>
        <v>0</v>
      </c>
      <c r="Q749" s="844">
        <f t="shared" si="74"/>
        <v>1433</v>
      </c>
      <c r="R749" s="763"/>
    </row>
    <row r="750" spans="2:18" ht="12.75">
      <c r="B750" s="177">
        <f t="shared" si="71"/>
        <v>320</v>
      </c>
      <c r="C750" s="137"/>
      <c r="D750" s="137"/>
      <c r="E750" s="157"/>
      <c r="F750" s="138"/>
      <c r="G750" s="199"/>
      <c r="H750" s="346"/>
      <c r="I750" s="530"/>
      <c r="J750" s="620"/>
      <c r="K750" s="159"/>
      <c r="L750" s="650"/>
      <c r="M750" s="341"/>
      <c r="N750" s="620"/>
      <c r="O750" s="159"/>
      <c r="P750" s="805"/>
      <c r="Q750" s="813"/>
      <c r="R750" s="763"/>
    </row>
    <row r="751" spans="2:18" ht="12.75">
      <c r="B751" s="177">
        <f aca="true" t="shared" si="75" ref="B751:B760">B750+1</f>
        <v>321</v>
      </c>
      <c r="C751" s="137"/>
      <c r="D751" s="137"/>
      <c r="E751" s="157" t="s">
        <v>748</v>
      </c>
      <c r="F751" s="138" t="s">
        <v>749</v>
      </c>
      <c r="G751" s="199" t="s">
        <v>750</v>
      </c>
      <c r="H751" s="398">
        <v>3700</v>
      </c>
      <c r="I751" s="892">
        <v>1994</v>
      </c>
      <c r="J751" s="620">
        <f t="shared" si="73"/>
        <v>53.891891891891895</v>
      </c>
      <c r="K751" s="139"/>
      <c r="L751" s="650"/>
      <c r="M751" s="341"/>
      <c r="N751" s="620"/>
      <c r="O751" s="139"/>
      <c r="P751" s="833">
        <f>L751+H751</f>
        <v>3700</v>
      </c>
      <c r="Q751" s="847">
        <f>M751+I751</f>
        <v>1994</v>
      </c>
      <c r="R751" s="763">
        <f t="shared" si="72"/>
        <v>53.891891891891895</v>
      </c>
    </row>
    <row r="752" spans="2:18" ht="12.75">
      <c r="B752" s="177">
        <f t="shared" si="75"/>
        <v>322</v>
      </c>
      <c r="C752" s="137"/>
      <c r="D752" s="137"/>
      <c r="E752" s="157"/>
      <c r="F752" s="138"/>
      <c r="G752" s="199"/>
      <c r="H752" s="398"/>
      <c r="I752" s="892"/>
      <c r="J752" s="620"/>
      <c r="K752" s="139"/>
      <c r="L752" s="650"/>
      <c r="M752" s="341"/>
      <c r="N752" s="620"/>
      <c r="O752" s="139"/>
      <c r="P752" s="805"/>
      <c r="Q752" s="813"/>
      <c r="R752" s="763"/>
    </row>
    <row r="753" spans="2:18" ht="12.75">
      <c r="B753" s="177">
        <f t="shared" si="75"/>
        <v>323</v>
      </c>
      <c r="C753" s="137"/>
      <c r="D753" s="137"/>
      <c r="E753" s="157" t="s">
        <v>449</v>
      </c>
      <c r="F753" s="138" t="s">
        <v>340</v>
      </c>
      <c r="G753" s="199" t="s">
        <v>457</v>
      </c>
      <c r="H753" s="398"/>
      <c r="I753" s="892"/>
      <c r="J753" s="620"/>
      <c r="K753" s="139"/>
      <c r="L753" s="650">
        <v>48385</v>
      </c>
      <c r="M753" s="341">
        <v>24191</v>
      </c>
      <c r="N753" s="638">
        <f>M753/L753*100</f>
        <v>49.99689986566084</v>
      </c>
      <c r="O753" s="139"/>
      <c r="P753" s="805">
        <f aca="true" t="shared" si="76" ref="P753:Q756">H753+L753</f>
        <v>48385</v>
      </c>
      <c r="Q753" s="813">
        <f t="shared" si="76"/>
        <v>24191</v>
      </c>
      <c r="R753" s="763">
        <f t="shared" si="72"/>
        <v>49.99689986566084</v>
      </c>
    </row>
    <row r="754" spans="2:18" ht="12.75">
      <c r="B754" s="177">
        <f t="shared" si="75"/>
        <v>324</v>
      </c>
      <c r="C754" s="137"/>
      <c r="D754" s="137"/>
      <c r="E754" s="157" t="s">
        <v>449</v>
      </c>
      <c r="F754" s="138" t="s">
        <v>340</v>
      </c>
      <c r="G754" s="199" t="s">
        <v>456</v>
      </c>
      <c r="H754" s="346"/>
      <c r="I754" s="530"/>
      <c r="J754" s="620"/>
      <c r="K754" s="139"/>
      <c r="L754" s="650">
        <v>33577</v>
      </c>
      <c r="M754" s="341">
        <v>16788</v>
      </c>
      <c r="N754" s="638">
        <f>M754/L754*100</f>
        <v>49.99851088542753</v>
      </c>
      <c r="O754" s="139"/>
      <c r="P754" s="804">
        <f t="shared" si="76"/>
        <v>33577</v>
      </c>
      <c r="Q754" s="812">
        <f t="shared" si="76"/>
        <v>16788</v>
      </c>
      <c r="R754" s="763">
        <f t="shared" si="72"/>
        <v>49.99851088542753</v>
      </c>
    </row>
    <row r="755" spans="2:18" ht="12.75">
      <c r="B755" s="177">
        <f t="shared" si="75"/>
        <v>325</v>
      </c>
      <c r="C755" s="137"/>
      <c r="D755" s="137"/>
      <c r="E755" s="157"/>
      <c r="F755" s="138"/>
      <c r="G755" s="199"/>
      <c r="H755" s="346"/>
      <c r="I755" s="530"/>
      <c r="J755" s="620"/>
      <c r="K755" s="139"/>
      <c r="L755" s="650"/>
      <c r="M755" s="341"/>
      <c r="N755" s="620"/>
      <c r="O755" s="139"/>
      <c r="P755" s="805"/>
      <c r="Q755" s="812"/>
      <c r="R755" s="763"/>
    </row>
    <row r="756" spans="2:18" ht="12.75">
      <c r="B756" s="177">
        <f t="shared" si="75"/>
        <v>326</v>
      </c>
      <c r="C756" s="137"/>
      <c r="D756" s="137"/>
      <c r="E756" s="157"/>
      <c r="F756" s="138" t="s">
        <v>219</v>
      </c>
      <c r="G756" s="199" t="s">
        <v>841</v>
      </c>
      <c r="H756" s="346"/>
      <c r="I756" s="356">
        <v>9387</v>
      </c>
      <c r="J756" s="620"/>
      <c r="K756" s="139"/>
      <c r="L756" s="650"/>
      <c r="M756" s="341"/>
      <c r="N756" s="620"/>
      <c r="O756" s="139"/>
      <c r="P756" s="805"/>
      <c r="Q756" s="812">
        <f t="shared" si="76"/>
        <v>9387</v>
      </c>
      <c r="R756" s="763"/>
    </row>
    <row r="757" spans="2:18" ht="12.75">
      <c r="B757" s="177">
        <f t="shared" si="75"/>
        <v>327</v>
      </c>
      <c r="C757" s="137"/>
      <c r="D757" s="137"/>
      <c r="E757" s="157" t="s">
        <v>449</v>
      </c>
      <c r="F757" s="138" t="s">
        <v>217</v>
      </c>
      <c r="G757" s="199" t="s">
        <v>605</v>
      </c>
      <c r="H757" s="357">
        <f>102000-100000</f>
        <v>2000</v>
      </c>
      <c r="I757" s="357">
        <v>0</v>
      </c>
      <c r="J757" s="620">
        <f t="shared" si="73"/>
        <v>0</v>
      </c>
      <c r="K757" s="139"/>
      <c r="L757" s="650"/>
      <c r="M757" s="341"/>
      <c r="N757" s="620"/>
      <c r="O757" s="139"/>
      <c r="P757" s="805">
        <f aca="true" t="shared" si="77" ref="P757:Q788">H757+L757</f>
        <v>2000</v>
      </c>
      <c r="Q757" s="813">
        <f t="shared" si="77"/>
        <v>0</v>
      </c>
      <c r="R757" s="763">
        <f t="shared" si="72"/>
        <v>0</v>
      </c>
    </row>
    <row r="758" spans="2:18" ht="15.75">
      <c r="B758" s="177">
        <f t="shared" si="75"/>
        <v>328</v>
      </c>
      <c r="C758" s="24">
        <v>3</v>
      </c>
      <c r="D758" s="134" t="s">
        <v>142</v>
      </c>
      <c r="E758" s="25"/>
      <c r="F758" s="25"/>
      <c r="G758" s="198"/>
      <c r="H758" s="371">
        <f>H759+H766+H774+H782+H789+H797+H804+H812+H820+H828+H829+H830+H831+H833+H846+H859+H860+H862</f>
        <v>1603283</v>
      </c>
      <c r="I758" s="371">
        <f>I759+I766+I774+I782+I789+I797+I804+I812+I820+I828+I829+I830+I831+I833+I846+I859+I860+I862</f>
        <v>797384</v>
      </c>
      <c r="J758" s="620">
        <f t="shared" si="73"/>
        <v>49.734451123101785</v>
      </c>
      <c r="K758" s="90"/>
      <c r="L758" s="774">
        <f>L864+L833+L846</f>
        <v>16296</v>
      </c>
      <c r="M758" s="337">
        <f>M864+M833+M846</f>
        <v>6123</v>
      </c>
      <c r="N758" s="638">
        <f>M758/L758*100</f>
        <v>37.57363770250368</v>
      </c>
      <c r="O758" s="90"/>
      <c r="P758" s="754">
        <f t="shared" si="77"/>
        <v>1619579</v>
      </c>
      <c r="Q758" s="766">
        <f t="shared" si="77"/>
        <v>803507</v>
      </c>
      <c r="R758" s="763">
        <f t="shared" si="72"/>
        <v>49.612090549457605</v>
      </c>
    </row>
    <row r="759" spans="2:18" ht="15">
      <c r="B759" s="177">
        <f t="shared" si="75"/>
        <v>329</v>
      </c>
      <c r="C759" s="153"/>
      <c r="D759" s="161" t="s">
        <v>4</v>
      </c>
      <c r="E759" s="158" t="s">
        <v>451</v>
      </c>
      <c r="F759" s="158" t="s">
        <v>255</v>
      </c>
      <c r="G759" s="239"/>
      <c r="H759" s="390">
        <f>SUM(H760:H762)</f>
        <v>10145</v>
      </c>
      <c r="I759" s="390">
        <f>SUM(I760:I762)</f>
        <v>4594</v>
      </c>
      <c r="J759" s="620">
        <f t="shared" si="73"/>
        <v>45.28339083292262</v>
      </c>
      <c r="K759" s="304"/>
      <c r="L759" s="853"/>
      <c r="M759" s="874"/>
      <c r="N759" s="620"/>
      <c r="O759" s="304"/>
      <c r="P759" s="825">
        <f t="shared" si="77"/>
        <v>10145</v>
      </c>
      <c r="Q759" s="839">
        <f t="shared" si="77"/>
        <v>4594</v>
      </c>
      <c r="R759" s="763">
        <f t="shared" si="72"/>
        <v>45.28339083292262</v>
      </c>
    </row>
    <row r="760" spans="2:18" ht="12.75">
      <c r="B760" s="177">
        <f t="shared" si="75"/>
        <v>330</v>
      </c>
      <c r="C760" s="153"/>
      <c r="D760" s="154"/>
      <c r="E760" s="154"/>
      <c r="F760" s="154" t="s">
        <v>214</v>
      </c>
      <c r="G760" s="206" t="s">
        <v>543</v>
      </c>
      <c r="H760" s="393">
        <f>7445+300</f>
        <v>7745</v>
      </c>
      <c r="I760" s="393">
        <v>3370</v>
      </c>
      <c r="J760" s="620">
        <f t="shared" si="73"/>
        <v>43.511943189154294</v>
      </c>
      <c r="K760" s="307"/>
      <c r="L760" s="860"/>
      <c r="M760" s="361"/>
      <c r="N760" s="620"/>
      <c r="O760" s="307"/>
      <c r="P760" s="801">
        <f t="shared" si="77"/>
        <v>7745</v>
      </c>
      <c r="Q760" s="809">
        <f t="shared" si="77"/>
        <v>3370</v>
      </c>
      <c r="R760" s="763">
        <f t="shared" si="72"/>
        <v>43.511943189154294</v>
      </c>
    </row>
    <row r="761" spans="2:18" ht="12.75">
      <c r="B761" s="177">
        <f aca="true" t="shared" si="78" ref="B761:B813">B760+1</f>
        <v>331</v>
      </c>
      <c r="C761" s="153"/>
      <c r="D761" s="154"/>
      <c r="E761" s="154"/>
      <c r="F761" s="154" t="s">
        <v>215</v>
      </c>
      <c r="G761" s="206" t="s">
        <v>264</v>
      </c>
      <c r="H761" s="393">
        <f>1770+100</f>
        <v>1870</v>
      </c>
      <c r="I761" s="393">
        <v>1178</v>
      </c>
      <c r="J761" s="620">
        <f t="shared" si="73"/>
        <v>62.99465240641712</v>
      </c>
      <c r="K761" s="307"/>
      <c r="L761" s="860"/>
      <c r="M761" s="361"/>
      <c r="N761" s="620"/>
      <c r="O761" s="307"/>
      <c r="P761" s="801">
        <f t="shared" si="77"/>
        <v>1870</v>
      </c>
      <c r="Q761" s="809">
        <f t="shared" si="77"/>
        <v>1178</v>
      </c>
      <c r="R761" s="763">
        <f t="shared" si="72"/>
        <v>62.99465240641712</v>
      </c>
    </row>
    <row r="762" spans="2:18" ht="12.75">
      <c r="B762" s="177">
        <f t="shared" si="78"/>
        <v>332</v>
      </c>
      <c r="C762" s="153"/>
      <c r="D762" s="154"/>
      <c r="E762" s="154"/>
      <c r="F762" s="154" t="s">
        <v>221</v>
      </c>
      <c r="G762" s="206" t="s">
        <v>360</v>
      </c>
      <c r="H762" s="393">
        <f>SUM(H763:H765)</f>
        <v>530</v>
      </c>
      <c r="I762" s="393">
        <f>SUM(I763:I765)</f>
        <v>46</v>
      </c>
      <c r="J762" s="620">
        <f t="shared" si="73"/>
        <v>8.679245283018867</v>
      </c>
      <c r="K762" s="307"/>
      <c r="L762" s="860"/>
      <c r="M762" s="361"/>
      <c r="N762" s="620"/>
      <c r="O762" s="307"/>
      <c r="P762" s="801">
        <f t="shared" si="77"/>
        <v>530</v>
      </c>
      <c r="Q762" s="809">
        <f t="shared" si="77"/>
        <v>46</v>
      </c>
      <c r="R762" s="763">
        <f t="shared" si="72"/>
        <v>8.679245283018867</v>
      </c>
    </row>
    <row r="763" spans="2:18" ht="12.75">
      <c r="B763" s="177">
        <f t="shared" si="78"/>
        <v>333</v>
      </c>
      <c r="C763" s="153"/>
      <c r="D763" s="154"/>
      <c r="E763" s="154"/>
      <c r="F763" s="138" t="s">
        <v>202</v>
      </c>
      <c r="G763" s="199" t="s">
        <v>250</v>
      </c>
      <c r="H763" s="357">
        <f>580-300</f>
        <v>280</v>
      </c>
      <c r="I763" s="357">
        <v>0</v>
      </c>
      <c r="J763" s="620">
        <f t="shared" si="73"/>
        <v>0</v>
      </c>
      <c r="K763" s="307"/>
      <c r="L763" s="860"/>
      <c r="M763" s="361"/>
      <c r="N763" s="620"/>
      <c r="O763" s="307"/>
      <c r="P763" s="802">
        <f t="shared" si="77"/>
        <v>280</v>
      </c>
      <c r="Q763" s="810">
        <f t="shared" si="77"/>
        <v>0</v>
      </c>
      <c r="R763" s="763">
        <f t="shared" si="72"/>
        <v>0</v>
      </c>
    </row>
    <row r="764" spans="2:18" ht="12.75">
      <c r="B764" s="177">
        <f t="shared" si="78"/>
        <v>334</v>
      </c>
      <c r="C764" s="153"/>
      <c r="D764" s="154"/>
      <c r="E764" s="154"/>
      <c r="F764" s="138" t="s">
        <v>203</v>
      </c>
      <c r="G764" s="199" t="s">
        <v>251</v>
      </c>
      <c r="H764" s="357">
        <f>250-100</f>
        <v>150</v>
      </c>
      <c r="I764" s="357">
        <v>0</v>
      </c>
      <c r="J764" s="620">
        <f t="shared" si="73"/>
        <v>0</v>
      </c>
      <c r="K764" s="307"/>
      <c r="L764" s="860"/>
      <c r="M764" s="361"/>
      <c r="N764" s="620"/>
      <c r="O764" s="307"/>
      <c r="P764" s="802">
        <f t="shared" si="77"/>
        <v>150</v>
      </c>
      <c r="Q764" s="810">
        <f t="shared" si="77"/>
        <v>0</v>
      </c>
      <c r="R764" s="763">
        <f t="shared" si="72"/>
        <v>0</v>
      </c>
    </row>
    <row r="765" spans="2:18" ht="12.75">
      <c r="B765" s="177">
        <f t="shared" si="78"/>
        <v>335</v>
      </c>
      <c r="C765" s="153"/>
      <c r="D765" s="154"/>
      <c r="E765" s="154"/>
      <c r="F765" s="138" t="s">
        <v>219</v>
      </c>
      <c r="G765" s="199" t="s">
        <v>252</v>
      </c>
      <c r="H765" s="357">
        <v>100</v>
      </c>
      <c r="I765" s="357">
        <v>46</v>
      </c>
      <c r="J765" s="620">
        <f t="shared" si="73"/>
        <v>46</v>
      </c>
      <c r="K765" s="307"/>
      <c r="L765" s="860"/>
      <c r="M765" s="361"/>
      <c r="N765" s="620"/>
      <c r="O765" s="307"/>
      <c r="P765" s="802">
        <f t="shared" si="77"/>
        <v>100</v>
      </c>
      <c r="Q765" s="810">
        <f t="shared" si="77"/>
        <v>46</v>
      </c>
      <c r="R765" s="763">
        <f t="shared" si="72"/>
        <v>46</v>
      </c>
    </row>
    <row r="766" spans="2:18" ht="15">
      <c r="B766" s="177">
        <f t="shared" si="78"/>
        <v>336</v>
      </c>
      <c r="C766" s="137"/>
      <c r="D766" s="261">
        <v>2</v>
      </c>
      <c r="E766" s="158" t="s">
        <v>451</v>
      </c>
      <c r="F766" s="158" t="s">
        <v>404</v>
      </c>
      <c r="G766" s="239"/>
      <c r="H766" s="390">
        <f>H767+H768+H769+H773</f>
        <v>78715</v>
      </c>
      <c r="I766" s="390">
        <f>I767+I768+I769+I773</f>
        <v>37020</v>
      </c>
      <c r="J766" s="620">
        <f t="shared" si="73"/>
        <v>47.03042622117767</v>
      </c>
      <c r="K766" s="313"/>
      <c r="L766" s="855"/>
      <c r="M766" s="876"/>
      <c r="N766" s="620"/>
      <c r="O766" s="313"/>
      <c r="P766" s="834">
        <f t="shared" si="77"/>
        <v>78715</v>
      </c>
      <c r="Q766" s="848">
        <f t="shared" si="77"/>
        <v>37020</v>
      </c>
      <c r="R766" s="763">
        <f t="shared" si="72"/>
        <v>47.03042622117767</v>
      </c>
    </row>
    <row r="767" spans="2:18" ht="12.75">
      <c r="B767" s="177">
        <f t="shared" si="78"/>
        <v>337</v>
      </c>
      <c r="C767" s="137"/>
      <c r="D767" s="137"/>
      <c r="E767" s="141"/>
      <c r="F767" s="154" t="s">
        <v>214</v>
      </c>
      <c r="G767" s="206" t="s">
        <v>543</v>
      </c>
      <c r="H767" s="393">
        <f>50860-740</f>
        <v>50120</v>
      </c>
      <c r="I767" s="393">
        <f>26018+300</f>
        <v>26318</v>
      </c>
      <c r="J767" s="620">
        <f t="shared" si="73"/>
        <v>52.50997605746209</v>
      </c>
      <c r="K767" s="309"/>
      <c r="L767" s="864"/>
      <c r="M767" s="357"/>
      <c r="N767" s="620"/>
      <c r="O767" s="309"/>
      <c r="P767" s="830">
        <f t="shared" si="77"/>
        <v>50120</v>
      </c>
      <c r="Q767" s="844">
        <f t="shared" si="77"/>
        <v>26318</v>
      </c>
      <c r="R767" s="763">
        <f t="shared" si="72"/>
        <v>52.50997605746209</v>
      </c>
    </row>
    <row r="768" spans="2:18" ht="12.75">
      <c r="B768" s="177">
        <f t="shared" si="78"/>
        <v>338</v>
      </c>
      <c r="C768" s="137"/>
      <c r="D768" s="137"/>
      <c r="E768" s="141"/>
      <c r="F768" s="154" t="s">
        <v>215</v>
      </c>
      <c r="G768" s="206" t="s">
        <v>264</v>
      </c>
      <c r="H768" s="393">
        <f>18855-260</f>
        <v>18595</v>
      </c>
      <c r="I768" s="393">
        <f>8871+104</f>
        <v>8975</v>
      </c>
      <c r="J768" s="620">
        <f t="shared" si="73"/>
        <v>48.265662812584026</v>
      </c>
      <c r="K768" s="309"/>
      <c r="L768" s="864"/>
      <c r="M768" s="357"/>
      <c r="N768" s="620"/>
      <c r="O768" s="309"/>
      <c r="P768" s="830">
        <f t="shared" si="77"/>
        <v>18595</v>
      </c>
      <c r="Q768" s="844">
        <f t="shared" si="77"/>
        <v>8975</v>
      </c>
      <c r="R768" s="763">
        <f t="shared" si="72"/>
        <v>48.265662812584026</v>
      </c>
    </row>
    <row r="769" spans="2:18" ht="12.75">
      <c r="B769" s="177">
        <f t="shared" si="78"/>
        <v>339</v>
      </c>
      <c r="C769" s="137"/>
      <c r="D769" s="137"/>
      <c r="E769" s="141"/>
      <c r="F769" s="154" t="s">
        <v>221</v>
      </c>
      <c r="G769" s="206" t="s">
        <v>360</v>
      </c>
      <c r="H769" s="393">
        <f>SUM(H770:H772)</f>
        <v>9700</v>
      </c>
      <c r="I769" s="393">
        <f>SUM(I770:I772)</f>
        <v>1606</v>
      </c>
      <c r="J769" s="620">
        <f t="shared" si="73"/>
        <v>16.556701030927833</v>
      </c>
      <c r="K769" s="309"/>
      <c r="L769" s="864"/>
      <c r="M769" s="357"/>
      <c r="N769" s="620"/>
      <c r="O769" s="309"/>
      <c r="P769" s="830">
        <f t="shared" si="77"/>
        <v>9700</v>
      </c>
      <c r="Q769" s="844">
        <f t="shared" si="77"/>
        <v>1606</v>
      </c>
      <c r="R769" s="763">
        <f t="shared" si="72"/>
        <v>16.556701030927833</v>
      </c>
    </row>
    <row r="770" spans="2:18" ht="12.75">
      <c r="B770" s="177">
        <f t="shared" si="78"/>
        <v>340</v>
      </c>
      <c r="C770" s="137"/>
      <c r="D770" s="137"/>
      <c r="E770" s="141"/>
      <c r="F770" s="138" t="s">
        <v>202</v>
      </c>
      <c r="G770" s="199" t="s">
        <v>335</v>
      </c>
      <c r="H770" s="357">
        <v>3460</v>
      </c>
      <c r="I770" s="357">
        <v>19</v>
      </c>
      <c r="J770" s="620">
        <f t="shared" si="73"/>
        <v>0.5491329479768786</v>
      </c>
      <c r="K770" s="309"/>
      <c r="L770" s="864"/>
      <c r="M770" s="357"/>
      <c r="N770" s="620"/>
      <c r="O770" s="309"/>
      <c r="P770" s="804">
        <f t="shared" si="77"/>
        <v>3460</v>
      </c>
      <c r="Q770" s="812">
        <f t="shared" si="77"/>
        <v>19</v>
      </c>
      <c r="R770" s="763">
        <f t="shared" si="72"/>
        <v>0.5491329479768786</v>
      </c>
    </row>
    <row r="771" spans="2:18" ht="12.75">
      <c r="B771" s="177">
        <f t="shared" si="78"/>
        <v>341</v>
      </c>
      <c r="C771" s="137"/>
      <c r="D771" s="137"/>
      <c r="E771" s="141"/>
      <c r="F771" s="138" t="s">
        <v>203</v>
      </c>
      <c r="G771" s="199" t="s">
        <v>251</v>
      </c>
      <c r="H771" s="357">
        <v>3400</v>
      </c>
      <c r="I771" s="357">
        <v>128</v>
      </c>
      <c r="J771" s="620">
        <f t="shared" si="73"/>
        <v>3.7647058823529407</v>
      </c>
      <c r="K771" s="309"/>
      <c r="L771" s="864"/>
      <c r="M771" s="357"/>
      <c r="N771" s="620"/>
      <c r="O771" s="309"/>
      <c r="P771" s="804">
        <f t="shared" si="77"/>
        <v>3400</v>
      </c>
      <c r="Q771" s="812">
        <f t="shared" si="77"/>
        <v>128</v>
      </c>
      <c r="R771" s="763">
        <f t="shared" si="72"/>
        <v>3.7647058823529407</v>
      </c>
    </row>
    <row r="772" spans="2:18" ht="12.75">
      <c r="B772" s="177">
        <f t="shared" si="78"/>
        <v>342</v>
      </c>
      <c r="C772" s="137"/>
      <c r="D772" s="137"/>
      <c r="E772" s="141"/>
      <c r="F772" s="138" t="s">
        <v>219</v>
      </c>
      <c r="G772" s="199" t="s">
        <v>252</v>
      </c>
      <c r="H772" s="357">
        <v>2840</v>
      </c>
      <c r="I772" s="357">
        <v>1459</v>
      </c>
      <c r="J772" s="620">
        <f t="shared" si="73"/>
        <v>51.37323943661972</v>
      </c>
      <c r="K772" s="309"/>
      <c r="L772" s="864"/>
      <c r="M772" s="357"/>
      <c r="N772" s="620"/>
      <c r="O772" s="309"/>
      <c r="P772" s="804">
        <f t="shared" si="77"/>
        <v>2840</v>
      </c>
      <c r="Q772" s="812">
        <f t="shared" si="77"/>
        <v>1459</v>
      </c>
      <c r="R772" s="763">
        <f t="shared" si="72"/>
        <v>51.37323943661972</v>
      </c>
    </row>
    <row r="773" spans="2:18" ht="12.75">
      <c r="B773" s="177">
        <f t="shared" si="78"/>
        <v>343</v>
      </c>
      <c r="C773" s="137"/>
      <c r="D773" s="137"/>
      <c r="E773" s="141"/>
      <c r="F773" s="154" t="s">
        <v>220</v>
      </c>
      <c r="G773" s="206" t="s">
        <v>542</v>
      </c>
      <c r="H773" s="393">
        <v>300</v>
      </c>
      <c r="I773" s="393">
        <v>121</v>
      </c>
      <c r="J773" s="620">
        <f t="shared" si="73"/>
        <v>40.33333333333333</v>
      </c>
      <c r="K773" s="309"/>
      <c r="L773" s="864"/>
      <c r="M773" s="357"/>
      <c r="N773" s="620"/>
      <c r="O773" s="309"/>
      <c r="P773" s="830">
        <f t="shared" si="77"/>
        <v>300</v>
      </c>
      <c r="Q773" s="844">
        <f t="shared" si="77"/>
        <v>121</v>
      </c>
      <c r="R773" s="763">
        <f t="shared" si="72"/>
        <v>40.33333333333333</v>
      </c>
    </row>
    <row r="774" spans="2:18" ht="15">
      <c r="B774" s="177">
        <f t="shared" si="78"/>
        <v>344</v>
      </c>
      <c r="C774" s="137"/>
      <c r="D774" s="261">
        <v>3</v>
      </c>
      <c r="E774" s="158" t="s">
        <v>451</v>
      </c>
      <c r="F774" s="158" t="s">
        <v>406</v>
      </c>
      <c r="G774" s="239"/>
      <c r="H774" s="390">
        <f>H775+H776+H777+H781</f>
        <v>132410</v>
      </c>
      <c r="I774" s="390">
        <f>I775+I776+I777+I781</f>
        <v>65213</v>
      </c>
      <c r="J774" s="620">
        <f t="shared" si="73"/>
        <v>49.25081187221509</v>
      </c>
      <c r="K774" s="313"/>
      <c r="L774" s="855"/>
      <c r="M774" s="876"/>
      <c r="N774" s="620"/>
      <c r="O774" s="313"/>
      <c r="P774" s="834">
        <f t="shared" si="77"/>
        <v>132410</v>
      </c>
      <c r="Q774" s="848">
        <f t="shared" si="77"/>
        <v>65213</v>
      </c>
      <c r="R774" s="763">
        <f t="shared" si="72"/>
        <v>49.25081187221509</v>
      </c>
    </row>
    <row r="775" spans="2:18" ht="12.75">
      <c r="B775" s="177">
        <f t="shared" si="78"/>
        <v>345</v>
      </c>
      <c r="C775" s="137"/>
      <c r="D775" s="137"/>
      <c r="E775" s="141"/>
      <c r="F775" s="154" t="s">
        <v>214</v>
      </c>
      <c r="G775" s="206" t="s">
        <v>543</v>
      </c>
      <c r="H775" s="393">
        <f>89015-370</f>
        <v>88645</v>
      </c>
      <c r="I775" s="393">
        <v>42109</v>
      </c>
      <c r="J775" s="620">
        <f t="shared" si="73"/>
        <v>47.50296124992949</v>
      </c>
      <c r="K775" s="309"/>
      <c r="L775" s="864"/>
      <c r="M775" s="357"/>
      <c r="N775" s="620"/>
      <c r="O775" s="309"/>
      <c r="P775" s="830">
        <f t="shared" si="77"/>
        <v>88645</v>
      </c>
      <c r="Q775" s="844">
        <f t="shared" si="77"/>
        <v>42109</v>
      </c>
      <c r="R775" s="763">
        <f t="shared" si="72"/>
        <v>47.50296124992949</v>
      </c>
    </row>
    <row r="776" spans="2:18" ht="12.75">
      <c r="B776" s="177">
        <f t="shared" si="78"/>
        <v>346</v>
      </c>
      <c r="C776" s="137"/>
      <c r="D776" s="137"/>
      <c r="E776" s="141"/>
      <c r="F776" s="154" t="s">
        <v>215</v>
      </c>
      <c r="G776" s="206" t="s">
        <v>264</v>
      </c>
      <c r="H776" s="393">
        <f>32770-130</f>
        <v>32640</v>
      </c>
      <c r="I776" s="393">
        <v>14998</v>
      </c>
      <c r="J776" s="620">
        <f t="shared" si="73"/>
        <v>45.94975490196078</v>
      </c>
      <c r="K776" s="309"/>
      <c r="L776" s="864"/>
      <c r="M776" s="357"/>
      <c r="N776" s="620"/>
      <c r="O776" s="309"/>
      <c r="P776" s="830">
        <f t="shared" si="77"/>
        <v>32640</v>
      </c>
      <c r="Q776" s="844">
        <f t="shared" si="77"/>
        <v>14998</v>
      </c>
      <c r="R776" s="763">
        <f t="shared" si="72"/>
        <v>45.94975490196078</v>
      </c>
    </row>
    <row r="777" spans="2:18" ht="12.75">
      <c r="B777" s="177">
        <f t="shared" si="78"/>
        <v>347</v>
      </c>
      <c r="C777" s="137"/>
      <c r="D777" s="137"/>
      <c r="E777" s="141"/>
      <c r="F777" s="154" t="s">
        <v>221</v>
      </c>
      <c r="G777" s="206" t="s">
        <v>360</v>
      </c>
      <c r="H777" s="393">
        <f>SUM(H778:H780)</f>
        <v>10325</v>
      </c>
      <c r="I777" s="393">
        <f>SUM(I778:I780)</f>
        <v>7815</v>
      </c>
      <c r="J777" s="620">
        <f t="shared" si="73"/>
        <v>75.69007263922518</v>
      </c>
      <c r="K777" s="309"/>
      <c r="L777" s="864"/>
      <c r="M777" s="357"/>
      <c r="N777" s="620"/>
      <c r="O777" s="309"/>
      <c r="P777" s="830">
        <f t="shared" si="77"/>
        <v>10325</v>
      </c>
      <c r="Q777" s="844">
        <f t="shared" si="77"/>
        <v>7815</v>
      </c>
      <c r="R777" s="763">
        <f t="shared" si="72"/>
        <v>75.69007263922518</v>
      </c>
    </row>
    <row r="778" spans="2:18" ht="12.75">
      <c r="B778" s="177">
        <f t="shared" si="78"/>
        <v>348</v>
      </c>
      <c r="C778" s="137"/>
      <c r="D778" s="137"/>
      <c r="E778" s="141"/>
      <c r="F778" s="138" t="s">
        <v>202</v>
      </c>
      <c r="G778" s="199" t="s">
        <v>335</v>
      </c>
      <c r="H778" s="357">
        <v>6325</v>
      </c>
      <c r="I778" s="357">
        <v>6313</v>
      </c>
      <c r="J778" s="620">
        <f t="shared" si="73"/>
        <v>99.8102766798419</v>
      </c>
      <c r="K778" s="309"/>
      <c r="L778" s="864"/>
      <c r="M778" s="357"/>
      <c r="N778" s="620"/>
      <c r="O778" s="309"/>
      <c r="P778" s="804">
        <f t="shared" si="77"/>
        <v>6325</v>
      </c>
      <c r="Q778" s="812">
        <f t="shared" si="77"/>
        <v>6313</v>
      </c>
      <c r="R778" s="763">
        <f t="shared" si="72"/>
        <v>99.8102766798419</v>
      </c>
    </row>
    <row r="779" spans="2:18" ht="12.75">
      <c r="B779" s="177">
        <f t="shared" si="78"/>
        <v>349</v>
      </c>
      <c r="C779" s="137"/>
      <c r="D779" s="137"/>
      <c r="E779" s="141"/>
      <c r="F779" s="138" t="s">
        <v>203</v>
      </c>
      <c r="G779" s="199" t="s">
        <v>251</v>
      </c>
      <c r="H779" s="357">
        <v>700</v>
      </c>
      <c r="I779" s="357">
        <v>85</v>
      </c>
      <c r="J779" s="620">
        <f t="shared" si="73"/>
        <v>12.142857142857142</v>
      </c>
      <c r="K779" s="309"/>
      <c r="L779" s="864"/>
      <c r="M779" s="357"/>
      <c r="N779" s="620"/>
      <c r="O779" s="309"/>
      <c r="P779" s="804">
        <f t="shared" si="77"/>
        <v>700</v>
      </c>
      <c r="Q779" s="812">
        <f t="shared" si="77"/>
        <v>85</v>
      </c>
      <c r="R779" s="763">
        <f t="shared" si="72"/>
        <v>12.142857142857142</v>
      </c>
    </row>
    <row r="780" spans="2:18" ht="12.75">
      <c r="B780" s="177">
        <f t="shared" si="78"/>
        <v>350</v>
      </c>
      <c r="C780" s="137"/>
      <c r="D780" s="137"/>
      <c r="E780" s="141"/>
      <c r="F780" s="138" t="s">
        <v>219</v>
      </c>
      <c r="G780" s="199" t="s">
        <v>252</v>
      </c>
      <c r="H780" s="357">
        <v>3300</v>
      </c>
      <c r="I780" s="357">
        <v>1417</v>
      </c>
      <c r="J780" s="620">
        <f t="shared" si="73"/>
        <v>42.93939393939394</v>
      </c>
      <c r="K780" s="309"/>
      <c r="L780" s="864"/>
      <c r="M780" s="357"/>
      <c r="N780" s="620"/>
      <c r="O780" s="309"/>
      <c r="P780" s="804">
        <f t="shared" si="77"/>
        <v>3300</v>
      </c>
      <c r="Q780" s="812">
        <f t="shared" si="77"/>
        <v>1417</v>
      </c>
      <c r="R780" s="763">
        <f t="shared" si="72"/>
        <v>42.93939393939394</v>
      </c>
    </row>
    <row r="781" spans="2:18" ht="12.75">
      <c r="B781" s="177">
        <f t="shared" si="78"/>
        <v>351</v>
      </c>
      <c r="C781" s="137"/>
      <c r="D781" s="137"/>
      <c r="E781" s="141"/>
      <c r="F781" s="154" t="s">
        <v>220</v>
      </c>
      <c r="G781" s="206" t="s">
        <v>405</v>
      </c>
      <c r="H781" s="393">
        <v>800</v>
      </c>
      <c r="I781" s="393">
        <v>291</v>
      </c>
      <c r="J781" s="620">
        <f t="shared" si="73"/>
        <v>36.375</v>
      </c>
      <c r="K781" s="309"/>
      <c r="L781" s="864"/>
      <c r="M781" s="357"/>
      <c r="N781" s="620"/>
      <c r="O781" s="309"/>
      <c r="P781" s="830">
        <f t="shared" si="77"/>
        <v>800</v>
      </c>
      <c r="Q781" s="844">
        <f t="shared" si="77"/>
        <v>291</v>
      </c>
      <c r="R781" s="763">
        <f t="shared" si="72"/>
        <v>36.375</v>
      </c>
    </row>
    <row r="782" spans="2:18" ht="15">
      <c r="B782" s="177">
        <f t="shared" si="78"/>
        <v>352</v>
      </c>
      <c r="C782" s="137"/>
      <c r="D782" s="261">
        <v>4</v>
      </c>
      <c r="E782" s="264" t="s">
        <v>451</v>
      </c>
      <c r="F782" s="264" t="s">
        <v>407</v>
      </c>
      <c r="G782" s="265"/>
      <c r="H782" s="392">
        <f>H783+H784+H788+H785</f>
        <v>84945</v>
      </c>
      <c r="I782" s="392">
        <f>I783+I784+I788+I785</f>
        <v>40028</v>
      </c>
      <c r="J782" s="620">
        <f t="shared" si="73"/>
        <v>47.12225557713815</v>
      </c>
      <c r="K782" s="313"/>
      <c r="L782" s="868"/>
      <c r="M782" s="883"/>
      <c r="N782" s="620"/>
      <c r="O782" s="313"/>
      <c r="P782" s="835">
        <f t="shared" si="77"/>
        <v>84945</v>
      </c>
      <c r="Q782" s="849">
        <f t="shared" si="77"/>
        <v>40028</v>
      </c>
      <c r="R782" s="763">
        <f t="shared" si="72"/>
        <v>47.12225557713815</v>
      </c>
    </row>
    <row r="783" spans="2:18" ht="12.75">
      <c r="B783" s="177">
        <f t="shared" si="78"/>
        <v>353</v>
      </c>
      <c r="C783" s="137"/>
      <c r="D783" s="137"/>
      <c r="E783" s="141"/>
      <c r="F783" s="154" t="s">
        <v>214</v>
      </c>
      <c r="G783" s="206" t="s">
        <v>543</v>
      </c>
      <c r="H783" s="393">
        <v>57509</v>
      </c>
      <c r="I783" s="393">
        <v>28577</v>
      </c>
      <c r="J783" s="620">
        <f t="shared" si="73"/>
        <v>49.69135265784486</v>
      </c>
      <c r="K783" s="309"/>
      <c r="L783" s="864"/>
      <c r="M783" s="357"/>
      <c r="N783" s="620"/>
      <c r="O783" s="309"/>
      <c r="P783" s="830">
        <f t="shared" si="77"/>
        <v>57509</v>
      </c>
      <c r="Q783" s="844">
        <f t="shared" si="77"/>
        <v>28577</v>
      </c>
      <c r="R783" s="763">
        <f t="shared" si="72"/>
        <v>49.69135265784486</v>
      </c>
    </row>
    <row r="784" spans="2:18" ht="12.75">
      <c r="B784" s="177">
        <f t="shared" si="78"/>
        <v>354</v>
      </c>
      <c r="C784" s="137"/>
      <c r="D784" s="137"/>
      <c r="E784" s="141"/>
      <c r="F784" s="154" t="s">
        <v>215</v>
      </c>
      <c r="G784" s="206" t="s">
        <v>264</v>
      </c>
      <c r="H784" s="393">
        <v>21436</v>
      </c>
      <c r="I784" s="393">
        <v>10475</v>
      </c>
      <c r="J784" s="620">
        <f t="shared" si="73"/>
        <v>48.86639298376563</v>
      </c>
      <c r="K784" s="309"/>
      <c r="L784" s="864"/>
      <c r="M784" s="357"/>
      <c r="N784" s="620"/>
      <c r="O784" s="309"/>
      <c r="P784" s="830">
        <f t="shared" si="77"/>
        <v>21436</v>
      </c>
      <c r="Q784" s="844">
        <f t="shared" si="77"/>
        <v>10475</v>
      </c>
      <c r="R784" s="763">
        <f t="shared" si="72"/>
        <v>48.86639298376563</v>
      </c>
    </row>
    <row r="785" spans="2:18" ht="12.75">
      <c r="B785" s="177">
        <f t="shared" si="78"/>
        <v>355</v>
      </c>
      <c r="C785" s="137"/>
      <c r="D785" s="137"/>
      <c r="E785" s="141"/>
      <c r="F785" s="154" t="s">
        <v>221</v>
      </c>
      <c r="G785" s="206" t="s">
        <v>360</v>
      </c>
      <c r="H785" s="393">
        <f>SUM(H786:H787)</f>
        <v>5000</v>
      </c>
      <c r="I785" s="393">
        <f>SUM(I786:I787)</f>
        <v>774</v>
      </c>
      <c r="J785" s="620">
        <f t="shared" si="73"/>
        <v>15.479999999999999</v>
      </c>
      <c r="K785" s="309"/>
      <c r="L785" s="864"/>
      <c r="M785" s="357"/>
      <c r="N785" s="620"/>
      <c r="O785" s="309"/>
      <c r="P785" s="830">
        <f t="shared" si="77"/>
        <v>5000</v>
      </c>
      <c r="Q785" s="844">
        <f t="shared" si="77"/>
        <v>774</v>
      </c>
      <c r="R785" s="763">
        <f aca="true" t="shared" si="79" ref="R785:R849">Q785/P785*100</f>
        <v>15.479999999999999</v>
      </c>
    </row>
    <row r="786" spans="2:18" ht="12.75">
      <c r="B786" s="177">
        <f t="shared" si="78"/>
        <v>356</v>
      </c>
      <c r="C786" s="137"/>
      <c r="D786" s="137"/>
      <c r="E786" s="141"/>
      <c r="F786" s="138" t="s">
        <v>203</v>
      </c>
      <c r="G786" s="199" t="s">
        <v>251</v>
      </c>
      <c r="H786" s="357">
        <v>2000</v>
      </c>
      <c r="I786" s="357">
        <v>126</v>
      </c>
      <c r="J786" s="620">
        <f t="shared" si="73"/>
        <v>6.3</v>
      </c>
      <c r="K786" s="309"/>
      <c r="L786" s="864"/>
      <c r="M786" s="357"/>
      <c r="N786" s="620"/>
      <c r="O786" s="309"/>
      <c r="P786" s="804">
        <f t="shared" si="77"/>
        <v>2000</v>
      </c>
      <c r="Q786" s="812">
        <f t="shared" si="77"/>
        <v>126</v>
      </c>
      <c r="R786" s="763">
        <f t="shared" si="79"/>
        <v>6.3</v>
      </c>
    </row>
    <row r="787" spans="2:18" ht="12.75">
      <c r="B787" s="177">
        <f t="shared" si="78"/>
        <v>357</v>
      </c>
      <c r="C787" s="137"/>
      <c r="D787" s="137"/>
      <c r="E787" s="141"/>
      <c r="F787" s="138" t="s">
        <v>219</v>
      </c>
      <c r="G787" s="199" t="s">
        <v>252</v>
      </c>
      <c r="H787" s="357">
        <v>3000</v>
      </c>
      <c r="I787" s="357">
        <v>648</v>
      </c>
      <c r="J787" s="620">
        <f aca="true" t="shared" si="80" ref="J787:J851">I787/H787*100</f>
        <v>21.6</v>
      </c>
      <c r="K787" s="309"/>
      <c r="L787" s="864"/>
      <c r="M787" s="357"/>
      <c r="N787" s="620"/>
      <c r="O787" s="309"/>
      <c r="P787" s="804">
        <f t="shared" si="77"/>
        <v>3000</v>
      </c>
      <c r="Q787" s="812">
        <f t="shared" si="77"/>
        <v>648</v>
      </c>
      <c r="R787" s="763">
        <f t="shared" si="79"/>
        <v>21.6</v>
      </c>
    </row>
    <row r="788" spans="2:18" ht="12.75">
      <c r="B788" s="177">
        <f t="shared" si="78"/>
        <v>358</v>
      </c>
      <c r="C788" s="137"/>
      <c r="D788" s="137"/>
      <c r="E788" s="141"/>
      <c r="F788" s="154" t="s">
        <v>220</v>
      </c>
      <c r="G788" s="206" t="s">
        <v>542</v>
      </c>
      <c r="H788" s="393">
        <v>1000</v>
      </c>
      <c r="I788" s="393">
        <v>202</v>
      </c>
      <c r="J788" s="620">
        <f t="shared" si="80"/>
        <v>20.200000000000003</v>
      </c>
      <c r="K788" s="309"/>
      <c r="L788" s="864"/>
      <c r="M788" s="357"/>
      <c r="N788" s="620"/>
      <c r="O788" s="309"/>
      <c r="P788" s="830">
        <f t="shared" si="77"/>
        <v>1000</v>
      </c>
      <c r="Q788" s="844">
        <f t="shared" si="77"/>
        <v>202</v>
      </c>
      <c r="R788" s="763">
        <f t="shared" si="79"/>
        <v>20.200000000000003</v>
      </c>
    </row>
    <row r="789" spans="2:18" ht="15">
      <c r="B789" s="177">
        <f t="shared" si="78"/>
        <v>359</v>
      </c>
      <c r="C789" s="137"/>
      <c r="D789" s="261">
        <v>5</v>
      </c>
      <c r="E789" s="158" t="s">
        <v>451</v>
      </c>
      <c r="F789" s="158" t="s">
        <v>408</v>
      </c>
      <c r="G789" s="239"/>
      <c r="H789" s="390">
        <f>H790+H791+H792</f>
        <v>55484</v>
      </c>
      <c r="I789" s="390">
        <f>I790+I791+I792+I796</f>
        <v>26976</v>
      </c>
      <c r="J789" s="620">
        <f t="shared" si="80"/>
        <v>48.619421815298104</v>
      </c>
      <c r="K789" s="313"/>
      <c r="L789" s="855"/>
      <c r="M789" s="876"/>
      <c r="N789" s="620"/>
      <c r="O789" s="313"/>
      <c r="P789" s="834">
        <f aca="true" t="shared" si="81" ref="P789:Q826">H789+L789</f>
        <v>55484</v>
      </c>
      <c r="Q789" s="848">
        <f t="shared" si="81"/>
        <v>26976</v>
      </c>
      <c r="R789" s="763">
        <f t="shared" si="79"/>
        <v>48.619421815298104</v>
      </c>
    </row>
    <row r="790" spans="2:18" ht="12.75">
      <c r="B790" s="177">
        <f t="shared" si="78"/>
        <v>360</v>
      </c>
      <c r="C790" s="137"/>
      <c r="D790" s="137"/>
      <c r="E790" s="141"/>
      <c r="F790" s="154" t="s">
        <v>214</v>
      </c>
      <c r="G790" s="206" t="s">
        <v>543</v>
      </c>
      <c r="H790" s="393">
        <f>36270+4260</f>
        <v>40530</v>
      </c>
      <c r="I790" s="393">
        <v>19077</v>
      </c>
      <c r="J790" s="620">
        <f t="shared" si="80"/>
        <v>47.06883789785344</v>
      </c>
      <c r="K790" s="309"/>
      <c r="L790" s="864"/>
      <c r="M790" s="357"/>
      <c r="N790" s="620"/>
      <c r="O790" s="309"/>
      <c r="P790" s="830">
        <f t="shared" si="81"/>
        <v>40530</v>
      </c>
      <c r="Q790" s="844">
        <f t="shared" si="81"/>
        <v>19077</v>
      </c>
      <c r="R790" s="763">
        <f t="shared" si="79"/>
        <v>47.06883789785344</v>
      </c>
    </row>
    <row r="791" spans="2:18" ht="12.75">
      <c r="B791" s="177">
        <f t="shared" si="78"/>
        <v>361</v>
      </c>
      <c r="C791" s="137"/>
      <c r="D791" s="137"/>
      <c r="E791" s="141"/>
      <c r="F791" s="154" t="s">
        <v>215</v>
      </c>
      <c r="G791" s="206" t="s">
        <v>264</v>
      </c>
      <c r="H791" s="393">
        <f>11464+1490</f>
        <v>12954</v>
      </c>
      <c r="I791" s="393">
        <v>6642</v>
      </c>
      <c r="J791" s="620">
        <f t="shared" si="80"/>
        <v>51.273737841593324</v>
      </c>
      <c r="K791" s="309"/>
      <c r="L791" s="864"/>
      <c r="M791" s="357"/>
      <c r="N791" s="620"/>
      <c r="O791" s="309"/>
      <c r="P791" s="830">
        <f t="shared" si="81"/>
        <v>12954</v>
      </c>
      <c r="Q791" s="844">
        <f t="shared" si="81"/>
        <v>6642</v>
      </c>
      <c r="R791" s="763">
        <f t="shared" si="79"/>
        <v>51.273737841593324</v>
      </c>
    </row>
    <row r="792" spans="2:18" ht="12.75">
      <c r="B792" s="177">
        <f t="shared" si="78"/>
        <v>362</v>
      </c>
      <c r="C792" s="137"/>
      <c r="D792" s="137"/>
      <c r="E792" s="141"/>
      <c r="F792" s="154" t="s">
        <v>221</v>
      </c>
      <c r="G792" s="206" t="s">
        <v>360</v>
      </c>
      <c r="H792" s="393">
        <f>SUM(H793:H795)</f>
        <v>2000</v>
      </c>
      <c r="I792" s="401">
        <f>SUM(I793:I795)</f>
        <v>1046</v>
      </c>
      <c r="J792" s="620">
        <f t="shared" si="80"/>
        <v>52.300000000000004</v>
      </c>
      <c r="K792" s="309"/>
      <c r="L792" s="864"/>
      <c r="M792" s="357"/>
      <c r="N792" s="620"/>
      <c r="O792" s="309"/>
      <c r="P792" s="830">
        <f t="shared" si="81"/>
        <v>2000</v>
      </c>
      <c r="Q792" s="844">
        <f t="shared" si="81"/>
        <v>1046</v>
      </c>
      <c r="R792" s="763">
        <f t="shared" si="79"/>
        <v>52.300000000000004</v>
      </c>
    </row>
    <row r="793" spans="2:18" ht="12.75">
      <c r="B793" s="177">
        <f t="shared" si="78"/>
        <v>363</v>
      </c>
      <c r="C793" s="137"/>
      <c r="D793" s="137"/>
      <c r="E793" s="141"/>
      <c r="F793" s="138" t="s">
        <v>202</v>
      </c>
      <c r="G793" s="199" t="s">
        <v>335</v>
      </c>
      <c r="H793" s="357">
        <v>100</v>
      </c>
      <c r="I793" s="399">
        <v>109</v>
      </c>
      <c r="J793" s="620">
        <f t="shared" si="80"/>
        <v>109.00000000000001</v>
      </c>
      <c r="K793" s="309"/>
      <c r="L793" s="864"/>
      <c r="M793" s="357"/>
      <c r="N793" s="620"/>
      <c r="O793" s="309"/>
      <c r="P793" s="804">
        <f t="shared" si="81"/>
        <v>100</v>
      </c>
      <c r="Q793" s="812">
        <f t="shared" si="81"/>
        <v>109</v>
      </c>
      <c r="R793" s="763">
        <f t="shared" si="79"/>
        <v>109.00000000000001</v>
      </c>
    </row>
    <row r="794" spans="2:18" ht="12.75">
      <c r="B794" s="177">
        <f t="shared" si="78"/>
        <v>364</v>
      </c>
      <c r="C794" s="137"/>
      <c r="D794" s="137"/>
      <c r="E794" s="141"/>
      <c r="F794" s="138" t="s">
        <v>203</v>
      </c>
      <c r="G794" s="199" t="s">
        <v>251</v>
      </c>
      <c r="H794" s="357">
        <v>1420</v>
      </c>
      <c r="I794" s="399">
        <v>706</v>
      </c>
      <c r="J794" s="620">
        <f t="shared" si="80"/>
        <v>49.71830985915493</v>
      </c>
      <c r="K794" s="309"/>
      <c r="L794" s="864"/>
      <c r="M794" s="357"/>
      <c r="N794" s="620"/>
      <c r="O794" s="309"/>
      <c r="P794" s="804">
        <f t="shared" si="81"/>
        <v>1420</v>
      </c>
      <c r="Q794" s="812">
        <f t="shared" si="81"/>
        <v>706</v>
      </c>
      <c r="R794" s="763">
        <f t="shared" si="79"/>
        <v>49.71830985915493</v>
      </c>
    </row>
    <row r="795" spans="2:18" ht="12.75">
      <c r="B795" s="177">
        <f t="shared" si="78"/>
        <v>365</v>
      </c>
      <c r="C795" s="137"/>
      <c r="D795" s="137"/>
      <c r="E795" s="141"/>
      <c r="F795" s="138" t="s">
        <v>219</v>
      </c>
      <c r="G795" s="199" t="s">
        <v>252</v>
      </c>
      <c r="H795" s="357">
        <v>480</v>
      </c>
      <c r="I795" s="399">
        <v>231</v>
      </c>
      <c r="J795" s="620">
        <f t="shared" si="80"/>
        <v>48.125</v>
      </c>
      <c r="K795" s="309"/>
      <c r="L795" s="864"/>
      <c r="M795" s="357"/>
      <c r="N795" s="620"/>
      <c r="O795" s="309"/>
      <c r="P795" s="804">
        <f t="shared" si="81"/>
        <v>480</v>
      </c>
      <c r="Q795" s="812">
        <f t="shared" si="81"/>
        <v>231</v>
      </c>
      <c r="R795" s="763">
        <f t="shared" si="79"/>
        <v>48.125</v>
      </c>
    </row>
    <row r="796" spans="2:18" ht="12.75">
      <c r="B796" s="177">
        <f t="shared" si="78"/>
        <v>366</v>
      </c>
      <c r="C796" s="137"/>
      <c r="D796" s="137"/>
      <c r="E796" s="154" t="s">
        <v>220</v>
      </c>
      <c r="F796" s="206">
        <v>640</v>
      </c>
      <c r="G796" s="662" t="s">
        <v>273</v>
      </c>
      <c r="H796" s="393">
        <v>0</v>
      </c>
      <c r="I796" s="399">
        <v>211</v>
      </c>
      <c r="J796" s="620"/>
      <c r="K796" s="309"/>
      <c r="L796" s="864"/>
      <c r="M796" s="357"/>
      <c r="N796" s="620"/>
      <c r="O796" s="309"/>
      <c r="P796" s="804">
        <f t="shared" si="81"/>
        <v>0</v>
      </c>
      <c r="Q796" s="812">
        <f t="shared" si="81"/>
        <v>211</v>
      </c>
      <c r="R796" s="763"/>
    </row>
    <row r="797" spans="2:18" ht="15">
      <c r="B797" s="177">
        <f t="shared" si="78"/>
        <v>367</v>
      </c>
      <c r="C797" s="137"/>
      <c r="D797" s="261">
        <v>6</v>
      </c>
      <c r="E797" s="158" t="s">
        <v>451</v>
      </c>
      <c r="F797" s="158" t="s">
        <v>409</v>
      </c>
      <c r="G797" s="239"/>
      <c r="H797" s="390">
        <f>H798+H799+H800</f>
        <v>43125</v>
      </c>
      <c r="I797" s="390">
        <f>I798+I799+I800</f>
        <v>20467</v>
      </c>
      <c r="J797" s="620">
        <f t="shared" si="80"/>
        <v>47.459710144927534</v>
      </c>
      <c r="K797" s="313"/>
      <c r="L797" s="855"/>
      <c r="M797" s="876"/>
      <c r="N797" s="620"/>
      <c r="O797" s="313"/>
      <c r="P797" s="834">
        <f t="shared" si="81"/>
        <v>43125</v>
      </c>
      <c r="Q797" s="848">
        <f t="shared" si="81"/>
        <v>20467</v>
      </c>
      <c r="R797" s="763">
        <f t="shared" si="79"/>
        <v>47.459710144927534</v>
      </c>
    </row>
    <row r="798" spans="2:18" ht="12.75">
      <c r="B798" s="177">
        <f t="shared" si="78"/>
        <v>368</v>
      </c>
      <c r="C798" s="137"/>
      <c r="D798" s="137"/>
      <c r="E798" s="141"/>
      <c r="F798" s="154" t="s">
        <v>214</v>
      </c>
      <c r="G798" s="206" t="s">
        <v>543</v>
      </c>
      <c r="H798" s="393">
        <f>29020+390</f>
        <v>29410</v>
      </c>
      <c r="I798" s="393">
        <v>14588</v>
      </c>
      <c r="J798" s="620">
        <f t="shared" si="80"/>
        <v>49.602176130567834</v>
      </c>
      <c r="K798" s="309"/>
      <c r="L798" s="864"/>
      <c r="M798" s="357"/>
      <c r="N798" s="620"/>
      <c r="O798" s="309"/>
      <c r="P798" s="830">
        <f t="shared" si="81"/>
        <v>29410</v>
      </c>
      <c r="Q798" s="844">
        <f t="shared" si="81"/>
        <v>14588</v>
      </c>
      <c r="R798" s="763">
        <f t="shared" si="79"/>
        <v>49.602176130567834</v>
      </c>
    </row>
    <row r="799" spans="2:18" ht="12.75">
      <c r="B799" s="177">
        <f t="shared" si="78"/>
        <v>369</v>
      </c>
      <c r="C799" s="137"/>
      <c r="D799" s="137"/>
      <c r="E799" s="141"/>
      <c r="F799" s="154" t="s">
        <v>215</v>
      </c>
      <c r="G799" s="206" t="s">
        <v>264</v>
      </c>
      <c r="H799" s="393">
        <v>10670</v>
      </c>
      <c r="I799" s="393">
        <v>5286</v>
      </c>
      <c r="J799" s="620">
        <f t="shared" si="80"/>
        <v>49.540768509840674</v>
      </c>
      <c r="K799" s="309"/>
      <c r="L799" s="864"/>
      <c r="M799" s="357"/>
      <c r="N799" s="620"/>
      <c r="O799" s="309"/>
      <c r="P799" s="830">
        <f t="shared" si="81"/>
        <v>10670</v>
      </c>
      <c r="Q799" s="844">
        <f t="shared" si="81"/>
        <v>5286</v>
      </c>
      <c r="R799" s="763">
        <f t="shared" si="79"/>
        <v>49.540768509840674</v>
      </c>
    </row>
    <row r="800" spans="2:18" ht="12.75">
      <c r="B800" s="177">
        <f t="shared" si="78"/>
        <v>370</v>
      </c>
      <c r="C800" s="137"/>
      <c r="D800" s="137"/>
      <c r="E800" s="141"/>
      <c r="F800" s="154" t="s">
        <v>221</v>
      </c>
      <c r="G800" s="206" t="s">
        <v>360</v>
      </c>
      <c r="H800" s="393">
        <f>SUM(H801:H803)</f>
        <v>3045</v>
      </c>
      <c r="I800" s="393">
        <f>SUM(I801:I803)</f>
        <v>593</v>
      </c>
      <c r="J800" s="620">
        <f t="shared" si="80"/>
        <v>19.474548440065682</v>
      </c>
      <c r="K800" s="309"/>
      <c r="L800" s="864"/>
      <c r="M800" s="357"/>
      <c r="N800" s="620"/>
      <c r="O800" s="309"/>
      <c r="P800" s="830">
        <f t="shared" si="81"/>
        <v>3045</v>
      </c>
      <c r="Q800" s="844">
        <f t="shared" si="81"/>
        <v>593</v>
      </c>
      <c r="R800" s="763">
        <f t="shared" si="79"/>
        <v>19.474548440065682</v>
      </c>
    </row>
    <row r="801" spans="2:18" ht="12.75">
      <c r="B801" s="177">
        <f t="shared" si="78"/>
        <v>371</v>
      </c>
      <c r="C801" s="137"/>
      <c r="D801" s="137"/>
      <c r="E801" s="141"/>
      <c r="F801" s="138" t="s">
        <v>202</v>
      </c>
      <c r="G801" s="199" t="s">
        <v>335</v>
      </c>
      <c r="H801" s="357">
        <f>2635-390</f>
        <v>2245</v>
      </c>
      <c r="I801" s="357">
        <v>190</v>
      </c>
      <c r="J801" s="620">
        <f t="shared" si="80"/>
        <v>8.463251670378618</v>
      </c>
      <c r="K801" s="309"/>
      <c r="L801" s="864"/>
      <c r="M801" s="357"/>
      <c r="N801" s="620"/>
      <c r="O801" s="309"/>
      <c r="P801" s="804">
        <f t="shared" si="81"/>
        <v>2245</v>
      </c>
      <c r="Q801" s="812">
        <f t="shared" si="81"/>
        <v>190</v>
      </c>
      <c r="R801" s="763">
        <f t="shared" si="79"/>
        <v>8.463251670378618</v>
      </c>
    </row>
    <row r="802" spans="2:18" ht="12.75">
      <c r="B802" s="177">
        <f t="shared" si="78"/>
        <v>372</v>
      </c>
      <c r="C802" s="137"/>
      <c r="D802" s="137"/>
      <c r="E802" s="141"/>
      <c r="F802" s="138" t="s">
        <v>203</v>
      </c>
      <c r="G802" s="199" t="s">
        <v>251</v>
      </c>
      <c r="H802" s="357">
        <v>150</v>
      </c>
      <c r="I802" s="357">
        <v>17</v>
      </c>
      <c r="J802" s="620">
        <f t="shared" si="80"/>
        <v>11.333333333333332</v>
      </c>
      <c r="K802" s="309"/>
      <c r="L802" s="864"/>
      <c r="M802" s="357"/>
      <c r="N802" s="620"/>
      <c r="O802" s="309"/>
      <c r="P802" s="804">
        <f t="shared" si="81"/>
        <v>150</v>
      </c>
      <c r="Q802" s="812">
        <f t="shared" si="81"/>
        <v>17</v>
      </c>
      <c r="R802" s="763">
        <f t="shared" si="79"/>
        <v>11.333333333333332</v>
      </c>
    </row>
    <row r="803" spans="2:18" ht="12.75">
      <c r="B803" s="177">
        <f t="shared" si="78"/>
        <v>373</v>
      </c>
      <c r="C803" s="137"/>
      <c r="D803" s="137"/>
      <c r="E803" s="141"/>
      <c r="F803" s="138" t="s">
        <v>219</v>
      </c>
      <c r="G803" s="199" t="s">
        <v>252</v>
      </c>
      <c r="H803" s="357">
        <v>650</v>
      </c>
      <c r="I803" s="357">
        <v>386</v>
      </c>
      <c r="J803" s="620">
        <f t="shared" si="80"/>
        <v>59.38461538461538</v>
      </c>
      <c r="K803" s="309"/>
      <c r="L803" s="864"/>
      <c r="M803" s="357"/>
      <c r="N803" s="620"/>
      <c r="O803" s="309"/>
      <c r="P803" s="804">
        <f t="shared" si="81"/>
        <v>650</v>
      </c>
      <c r="Q803" s="812">
        <f t="shared" si="81"/>
        <v>386</v>
      </c>
      <c r="R803" s="763">
        <f t="shared" si="79"/>
        <v>59.38461538461538</v>
      </c>
    </row>
    <row r="804" spans="2:18" ht="15">
      <c r="B804" s="177">
        <f t="shared" si="78"/>
        <v>374</v>
      </c>
      <c r="C804" s="137"/>
      <c r="D804" s="261">
        <v>7</v>
      </c>
      <c r="E804" s="158" t="s">
        <v>451</v>
      </c>
      <c r="F804" s="158" t="s">
        <v>410</v>
      </c>
      <c r="G804" s="239"/>
      <c r="H804" s="390">
        <f>H805+H806+H807+H811</f>
        <v>34536</v>
      </c>
      <c r="I804" s="390">
        <f>I805+I806+I807+I811</f>
        <v>15562</v>
      </c>
      <c r="J804" s="620">
        <f t="shared" si="80"/>
        <v>45.06022700949733</v>
      </c>
      <c r="K804" s="313"/>
      <c r="L804" s="855"/>
      <c r="M804" s="876"/>
      <c r="N804" s="620"/>
      <c r="O804" s="313"/>
      <c r="P804" s="834">
        <f t="shared" si="81"/>
        <v>34536</v>
      </c>
      <c r="Q804" s="848">
        <f t="shared" si="81"/>
        <v>15562</v>
      </c>
      <c r="R804" s="763">
        <f t="shared" si="79"/>
        <v>45.06022700949733</v>
      </c>
    </row>
    <row r="805" spans="2:18" ht="12.75">
      <c r="B805" s="177">
        <f t="shared" si="78"/>
        <v>375</v>
      </c>
      <c r="C805" s="137"/>
      <c r="D805" s="137"/>
      <c r="E805" s="141"/>
      <c r="F805" s="154" t="s">
        <v>214</v>
      </c>
      <c r="G805" s="206" t="s">
        <v>543</v>
      </c>
      <c r="H805" s="393">
        <f>23211-335</f>
        <v>22876</v>
      </c>
      <c r="I805" s="393">
        <v>10363</v>
      </c>
      <c r="J805" s="620">
        <f t="shared" si="80"/>
        <v>45.30075187969925</v>
      </c>
      <c r="K805" s="309"/>
      <c r="L805" s="864"/>
      <c r="M805" s="357"/>
      <c r="N805" s="620"/>
      <c r="O805" s="309"/>
      <c r="P805" s="830">
        <f t="shared" si="81"/>
        <v>22876</v>
      </c>
      <c r="Q805" s="844">
        <f t="shared" si="81"/>
        <v>10363</v>
      </c>
      <c r="R805" s="763">
        <f t="shared" si="79"/>
        <v>45.30075187969925</v>
      </c>
    </row>
    <row r="806" spans="2:18" ht="12.75">
      <c r="B806" s="177">
        <f t="shared" si="78"/>
        <v>376</v>
      </c>
      <c r="C806" s="137"/>
      <c r="D806" s="137"/>
      <c r="E806" s="141"/>
      <c r="F806" s="154" t="s">
        <v>215</v>
      </c>
      <c r="G806" s="206" t="s">
        <v>264</v>
      </c>
      <c r="H806" s="393">
        <f>7695-115</f>
        <v>7580</v>
      </c>
      <c r="I806" s="393">
        <v>3637</v>
      </c>
      <c r="J806" s="620">
        <f t="shared" si="80"/>
        <v>47.98153034300792</v>
      </c>
      <c r="K806" s="309"/>
      <c r="L806" s="864"/>
      <c r="M806" s="357"/>
      <c r="N806" s="620"/>
      <c r="O806" s="309"/>
      <c r="P806" s="830">
        <f t="shared" si="81"/>
        <v>7580</v>
      </c>
      <c r="Q806" s="844">
        <f t="shared" si="81"/>
        <v>3637</v>
      </c>
      <c r="R806" s="763">
        <f t="shared" si="79"/>
        <v>47.98153034300792</v>
      </c>
    </row>
    <row r="807" spans="2:18" ht="12.75">
      <c r="B807" s="177">
        <f t="shared" si="78"/>
        <v>377</v>
      </c>
      <c r="C807" s="137"/>
      <c r="D807" s="137"/>
      <c r="E807" s="141"/>
      <c r="F807" s="154" t="s">
        <v>221</v>
      </c>
      <c r="G807" s="206" t="s">
        <v>360</v>
      </c>
      <c r="H807" s="393">
        <f>SUM(H808:H810)</f>
        <v>3930</v>
      </c>
      <c r="I807" s="393">
        <f>SUM(I808:I810)</f>
        <v>1562</v>
      </c>
      <c r="J807" s="620">
        <f t="shared" si="80"/>
        <v>39.74554707379135</v>
      </c>
      <c r="K807" s="309"/>
      <c r="L807" s="864"/>
      <c r="M807" s="357"/>
      <c r="N807" s="620"/>
      <c r="O807" s="309"/>
      <c r="P807" s="830">
        <f t="shared" si="81"/>
        <v>3930</v>
      </c>
      <c r="Q807" s="844">
        <f t="shared" si="81"/>
        <v>1562</v>
      </c>
      <c r="R807" s="763">
        <f t="shared" si="79"/>
        <v>39.74554707379135</v>
      </c>
    </row>
    <row r="808" spans="2:18" ht="12.75">
      <c r="B808" s="177">
        <f t="shared" si="78"/>
        <v>378</v>
      </c>
      <c r="C808" s="137"/>
      <c r="D808" s="137"/>
      <c r="E808" s="141"/>
      <c r="F808" s="138" t="s">
        <v>202</v>
      </c>
      <c r="G808" s="199" t="s">
        <v>335</v>
      </c>
      <c r="H808" s="357">
        <v>940</v>
      </c>
      <c r="I808" s="357">
        <v>344</v>
      </c>
      <c r="J808" s="620">
        <f t="shared" si="80"/>
        <v>36.59574468085106</v>
      </c>
      <c r="K808" s="309"/>
      <c r="L808" s="864"/>
      <c r="M808" s="357"/>
      <c r="N808" s="620"/>
      <c r="O808" s="309"/>
      <c r="P808" s="804">
        <f t="shared" si="81"/>
        <v>940</v>
      </c>
      <c r="Q808" s="812">
        <f t="shared" si="81"/>
        <v>344</v>
      </c>
      <c r="R808" s="763">
        <f t="shared" si="79"/>
        <v>36.59574468085106</v>
      </c>
    </row>
    <row r="809" spans="2:18" ht="12.75">
      <c r="B809" s="177">
        <f t="shared" si="78"/>
        <v>379</v>
      </c>
      <c r="C809" s="137"/>
      <c r="D809" s="137"/>
      <c r="E809" s="141"/>
      <c r="F809" s="138" t="s">
        <v>203</v>
      </c>
      <c r="G809" s="199" t="s">
        <v>251</v>
      </c>
      <c r="H809" s="357">
        <v>1100</v>
      </c>
      <c r="I809" s="357">
        <v>68</v>
      </c>
      <c r="J809" s="620">
        <f t="shared" si="80"/>
        <v>6.181818181818182</v>
      </c>
      <c r="K809" s="309"/>
      <c r="L809" s="864"/>
      <c r="M809" s="357"/>
      <c r="N809" s="620"/>
      <c r="O809" s="309"/>
      <c r="P809" s="804">
        <f t="shared" si="81"/>
        <v>1100</v>
      </c>
      <c r="Q809" s="812">
        <f t="shared" si="81"/>
        <v>68</v>
      </c>
      <c r="R809" s="763">
        <f t="shared" si="79"/>
        <v>6.181818181818182</v>
      </c>
    </row>
    <row r="810" spans="2:18" ht="12.75">
      <c r="B810" s="177">
        <f t="shared" si="78"/>
        <v>380</v>
      </c>
      <c r="C810" s="137"/>
      <c r="D810" s="137"/>
      <c r="E810" s="141"/>
      <c r="F810" s="138" t="s">
        <v>219</v>
      </c>
      <c r="G810" s="199" t="s">
        <v>252</v>
      </c>
      <c r="H810" s="357">
        <v>1890</v>
      </c>
      <c r="I810" s="357">
        <v>1150</v>
      </c>
      <c r="J810" s="620">
        <f t="shared" si="80"/>
        <v>60.84656084656085</v>
      </c>
      <c r="K810" s="309"/>
      <c r="L810" s="864"/>
      <c r="M810" s="357"/>
      <c r="N810" s="620"/>
      <c r="O810" s="309"/>
      <c r="P810" s="804">
        <f t="shared" si="81"/>
        <v>1890</v>
      </c>
      <c r="Q810" s="812">
        <f t="shared" si="81"/>
        <v>1150</v>
      </c>
      <c r="R810" s="763">
        <f t="shared" si="79"/>
        <v>60.84656084656085</v>
      </c>
    </row>
    <row r="811" spans="2:18" ht="12.75">
      <c r="B811" s="177">
        <f t="shared" si="78"/>
        <v>381</v>
      </c>
      <c r="C811" s="137"/>
      <c r="D811" s="137"/>
      <c r="E811" s="141"/>
      <c r="F811" s="154" t="s">
        <v>220</v>
      </c>
      <c r="G811" s="206" t="s">
        <v>405</v>
      </c>
      <c r="H811" s="393">
        <v>150</v>
      </c>
      <c r="I811" s="393">
        <v>0</v>
      </c>
      <c r="J811" s="620">
        <f t="shared" si="80"/>
        <v>0</v>
      </c>
      <c r="K811" s="307"/>
      <c r="L811" s="861"/>
      <c r="M811" s="393"/>
      <c r="N811" s="620"/>
      <c r="O811" s="307"/>
      <c r="P811" s="830">
        <f t="shared" si="81"/>
        <v>150</v>
      </c>
      <c r="Q811" s="844">
        <f t="shared" si="81"/>
        <v>0</v>
      </c>
      <c r="R811" s="763">
        <f t="shared" si="79"/>
        <v>0</v>
      </c>
    </row>
    <row r="812" spans="2:18" ht="15">
      <c r="B812" s="177">
        <f t="shared" si="78"/>
        <v>382</v>
      </c>
      <c r="C812" s="137"/>
      <c r="D812" s="261">
        <v>8</v>
      </c>
      <c r="E812" s="158" t="s">
        <v>451</v>
      </c>
      <c r="F812" s="158" t="s">
        <v>411</v>
      </c>
      <c r="G812" s="239"/>
      <c r="H812" s="390">
        <f>H813+H814+H815+H819</f>
        <v>71380</v>
      </c>
      <c r="I812" s="390">
        <f>I813+I814+I815+I819</f>
        <v>29555</v>
      </c>
      <c r="J812" s="620">
        <f t="shared" si="80"/>
        <v>41.405155505743906</v>
      </c>
      <c r="K812" s="313"/>
      <c r="L812" s="855"/>
      <c r="M812" s="876"/>
      <c r="N812" s="620"/>
      <c r="O812" s="313"/>
      <c r="P812" s="834">
        <f t="shared" si="81"/>
        <v>71380</v>
      </c>
      <c r="Q812" s="848">
        <f t="shared" si="81"/>
        <v>29555</v>
      </c>
      <c r="R812" s="763">
        <f t="shared" si="79"/>
        <v>41.405155505743906</v>
      </c>
    </row>
    <row r="813" spans="2:18" ht="12.75">
      <c r="B813" s="177">
        <f t="shared" si="78"/>
        <v>383</v>
      </c>
      <c r="C813" s="137"/>
      <c r="D813" s="137"/>
      <c r="E813" s="141"/>
      <c r="F813" s="154" t="s">
        <v>214</v>
      </c>
      <c r="G813" s="206" t="s">
        <v>543</v>
      </c>
      <c r="H813" s="393">
        <f>47270-1480</f>
        <v>45790</v>
      </c>
      <c r="I813" s="393">
        <v>20826</v>
      </c>
      <c r="J813" s="620">
        <f t="shared" si="80"/>
        <v>45.48154618912426</v>
      </c>
      <c r="K813" s="309"/>
      <c r="L813" s="864"/>
      <c r="M813" s="357"/>
      <c r="N813" s="620"/>
      <c r="O813" s="309"/>
      <c r="P813" s="830">
        <f t="shared" si="81"/>
        <v>45790</v>
      </c>
      <c r="Q813" s="844">
        <f t="shared" si="81"/>
        <v>20826</v>
      </c>
      <c r="R813" s="763">
        <f t="shared" si="79"/>
        <v>45.48154618912426</v>
      </c>
    </row>
    <row r="814" spans="2:18" ht="12.75">
      <c r="B814" s="177">
        <f aca="true" t="shared" si="82" ref="B814:B877">B813+1</f>
        <v>384</v>
      </c>
      <c r="C814" s="137"/>
      <c r="D814" s="137"/>
      <c r="E814" s="141"/>
      <c r="F814" s="154" t="s">
        <v>215</v>
      </c>
      <c r="G814" s="206" t="s">
        <v>264</v>
      </c>
      <c r="H814" s="393">
        <f>17510-520</f>
        <v>16990</v>
      </c>
      <c r="I814" s="393">
        <v>7261</v>
      </c>
      <c r="J814" s="620">
        <f t="shared" si="80"/>
        <v>42.73690406121248</v>
      </c>
      <c r="K814" s="309"/>
      <c r="L814" s="864"/>
      <c r="M814" s="357"/>
      <c r="N814" s="620"/>
      <c r="O814" s="309"/>
      <c r="P814" s="830">
        <f t="shared" si="81"/>
        <v>16990</v>
      </c>
      <c r="Q814" s="844">
        <f t="shared" si="81"/>
        <v>7261</v>
      </c>
      <c r="R814" s="763">
        <f t="shared" si="79"/>
        <v>42.73690406121248</v>
      </c>
    </row>
    <row r="815" spans="2:18" ht="12.75">
      <c r="B815" s="177">
        <f t="shared" si="82"/>
        <v>385</v>
      </c>
      <c r="C815" s="137"/>
      <c r="D815" s="137"/>
      <c r="E815" s="141"/>
      <c r="F815" s="154" t="s">
        <v>221</v>
      </c>
      <c r="G815" s="206" t="s">
        <v>360</v>
      </c>
      <c r="H815" s="393">
        <f>SUM(H816:H818)</f>
        <v>8300</v>
      </c>
      <c r="I815" s="393">
        <f>SUM(I816:I818)</f>
        <v>1369</v>
      </c>
      <c r="J815" s="620">
        <f t="shared" si="80"/>
        <v>16.49397590361446</v>
      </c>
      <c r="K815" s="309"/>
      <c r="L815" s="864"/>
      <c r="M815" s="357"/>
      <c r="N815" s="620"/>
      <c r="O815" s="309"/>
      <c r="P815" s="830">
        <f t="shared" si="81"/>
        <v>8300</v>
      </c>
      <c r="Q815" s="844">
        <f t="shared" si="81"/>
        <v>1369</v>
      </c>
      <c r="R815" s="763">
        <f t="shared" si="79"/>
        <v>16.49397590361446</v>
      </c>
    </row>
    <row r="816" spans="2:18" ht="12.75">
      <c r="B816" s="177">
        <f t="shared" si="82"/>
        <v>386</v>
      </c>
      <c r="C816" s="137"/>
      <c r="D816" s="137"/>
      <c r="E816" s="141"/>
      <c r="F816" s="138" t="s">
        <v>202</v>
      </c>
      <c r="G816" s="199" t="s">
        <v>335</v>
      </c>
      <c r="H816" s="357">
        <v>6200</v>
      </c>
      <c r="I816" s="357">
        <v>300</v>
      </c>
      <c r="J816" s="620">
        <f t="shared" si="80"/>
        <v>4.838709677419355</v>
      </c>
      <c r="K816" s="309"/>
      <c r="L816" s="864"/>
      <c r="M816" s="357"/>
      <c r="N816" s="620"/>
      <c r="O816" s="309"/>
      <c r="P816" s="804">
        <f t="shared" si="81"/>
        <v>6200</v>
      </c>
      <c r="Q816" s="812">
        <f t="shared" si="81"/>
        <v>300</v>
      </c>
      <c r="R816" s="763">
        <f t="shared" si="79"/>
        <v>4.838709677419355</v>
      </c>
    </row>
    <row r="817" spans="2:18" ht="12.75">
      <c r="B817" s="177">
        <f t="shared" si="82"/>
        <v>387</v>
      </c>
      <c r="C817" s="137"/>
      <c r="D817" s="137"/>
      <c r="E817" s="141"/>
      <c r="F817" s="138" t="s">
        <v>203</v>
      </c>
      <c r="G817" s="199" t="s">
        <v>251</v>
      </c>
      <c r="H817" s="357">
        <v>950</v>
      </c>
      <c r="I817" s="357">
        <v>0</v>
      </c>
      <c r="J817" s="620">
        <f t="shared" si="80"/>
        <v>0</v>
      </c>
      <c r="K817" s="309"/>
      <c r="L817" s="864"/>
      <c r="M817" s="357"/>
      <c r="N817" s="620"/>
      <c r="O817" s="309"/>
      <c r="P817" s="804">
        <f t="shared" si="81"/>
        <v>950</v>
      </c>
      <c r="Q817" s="812">
        <f t="shared" si="81"/>
        <v>0</v>
      </c>
      <c r="R817" s="763">
        <f t="shared" si="79"/>
        <v>0</v>
      </c>
    </row>
    <row r="818" spans="2:18" ht="12.75">
      <c r="B818" s="177">
        <f t="shared" si="82"/>
        <v>388</v>
      </c>
      <c r="C818" s="137"/>
      <c r="D818" s="137"/>
      <c r="E818" s="141"/>
      <c r="F818" s="138" t="s">
        <v>219</v>
      </c>
      <c r="G818" s="199" t="s">
        <v>252</v>
      </c>
      <c r="H818" s="357">
        <v>1150</v>
      </c>
      <c r="I818" s="357">
        <v>1069</v>
      </c>
      <c r="J818" s="620">
        <f t="shared" si="80"/>
        <v>92.95652173913044</v>
      </c>
      <c r="K818" s="309"/>
      <c r="L818" s="864"/>
      <c r="M818" s="357"/>
      <c r="N818" s="620"/>
      <c r="O818" s="309"/>
      <c r="P818" s="804">
        <f t="shared" si="81"/>
        <v>1150</v>
      </c>
      <c r="Q818" s="812">
        <f t="shared" si="81"/>
        <v>1069</v>
      </c>
      <c r="R818" s="763">
        <f t="shared" si="79"/>
        <v>92.95652173913044</v>
      </c>
    </row>
    <row r="819" spans="2:18" ht="12.75">
      <c r="B819" s="177">
        <f t="shared" si="82"/>
        <v>389</v>
      </c>
      <c r="C819" s="137"/>
      <c r="D819" s="137"/>
      <c r="E819" s="141"/>
      <c r="F819" s="154" t="s">
        <v>220</v>
      </c>
      <c r="G819" s="206" t="s">
        <v>405</v>
      </c>
      <c r="H819" s="393">
        <v>300</v>
      </c>
      <c r="I819" s="393">
        <v>99</v>
      </c>
      <c r="J819" s="620">
        <f t="shared" si="80"/>
        <v>33</v>
      </c>
      <c r="K819" s="309"/>
      <c r="L819" s="864"/>
      <c r="M819" s="357"/>
      <c r="N819" s="620"/>
      <c r="O819" s="309"/>
      <c r="P819" s="830">
        <f t="shared" si="81"/>
        <v>300</v>
      </c>
      <c r="Q819" s="844">
        <f t="shared" si="81"/>
        <v>99</v>
      </c>
      <c r="R819" s="763">
        <f t="shared" si="79"/>
        <v>33</v>
      </c>
    </row>
    <row r="820" spans="2:18" ht="15">
      <c r="B820" s="177">
        <f t="shared" si="82"/>
        <v>390</v>
      </c>
      <c r="C820" s="137"/>
      <c r="D820" s="261">
        <v>9</v>
      </c>
      <c r="E820" s="264" t="s">
        <v>451</v>
      </c>
      <c r="F820" s="264" t="s">
        <v>412</v>
      </c>
      <c r="G820" s="265"/>
      <c r="H820" s="392">
        <f>H821+H822+H823</f>
        <v>30807</v>
      </c>
      <c r="I820" s="392">
        <f>I821+I822+I823</f>
        <v>13911</v>
      </c>
      <c r="J820" s="620">
        <f t="shared" si="80"/>
        <v>45.155321842438404</v>
      </c>
      <c r="K820" s="313"/>
      <c r="L820" s="869"/>
      <c r="M820" s="884"/>
      <c r="N820" s="620"/>
      <c r="O820" s="313"/>
      <c r="P820" s="835">
        <f t="shared" si="81"/>
        <v>30807</v>
      </c>
      <c r="Q820" s="849">
        <f t="shared" si="81"/>
        <v>13911</v>
      </c>
      <c r="R820" s="763">
        <f t="shared" si="79"/>
        <v>45.155321842438404</v>
      </c>
    </row>
    <row r="821" spans="2:18" ht="12.75">
      <c r="B821" s="177">
        <f t="shared" si="82"/>
        <v>391</v>
      </c>
      <c r="C821" s="137"/>
      <c r="D821" s="137"/>
      <c r="E821" s="141"/>
      <c r="F821" s="154" t="s">
        <v>214</v>
      </c>
      <c r="G821" s="206" t="s">
        <v>543</v>
      </c>
      <c r="H821" s="393">
        <v>19883</v>
      </c>
      <c r="I821" s="393">
        <v>9286</v>
      </c>
      <c r="J821" s="620">
        <f t="shared" si="80"/>
        <v>46.7032138007343</v>
      </c>
      <c r="K821" s="309"/>
      <c r="L821" s="864"/>
      <c r="M821" s="357"/>
      <c r="N821" s="620"/>
      <c r="O821" s="309"/>
      <c r="P821" s="830">
        <f t="shared" si="81"/>
        <v>19883</v>
      </c>
      <c r="Q821" s="844">
        <f t="shared" si="81"/>
        <v>9286</v>
      </c>
      <c r="R821" s="763">
        <f t="shared" si="79"/>
        <v>46.7032138007343</v>
      </c>
    </row>
    <row r="822" spans="2:18" ht="12.75">
      <c r="B822" s="177">
        <f t="shared" si="82"/>
        <v>392</v>
      </c>
      <c r="C822" s="137"/>
      <c r="D822" s="137"/>
      <c r="E822" s="141"/>
      <c r="F822" s="154" t="s">
        <v>215</v>
      </c>
      <c r="G822" s="206" t="s">
        <v>264</v>
      </c>
      <c r="H822" s="393">
        <v>7304</v>
      </c>
      <c r="I822" s="393">
        <v>3245</v>
      </c>
      <c r="J822" s="620">
        <f t="shared" si="80"/>
        <v>44.42771084337349</v>
      </c>
      <c r="K822" s="309"/>
      <c r="L822" s="864"/>
      <c r="M822" s="357"/>
      <c r="N822" s="620"/>
      <c r="O822" s="309"/>
      <c r="P822" s="830">
        <f t="shared" si="81"/>
        <v>7304</v>
      </c>
      <c r="Q822" s="844">
        <f t="shared" si="81"/>
        <v>3245</v>
      </c>
      <c r="R822" s="763">
        <f t="shared" si="79"/>
        <v>44.42771084337349</v>
      </c>
    </row>
    <row r="823" spans="2:18" ht="12.75">
      <c r="B823" s="177">
        <f t="shared" si="82"/>
        <v>393</v>
      </c>
      <c r="C823" s="137"/>
      <c r="D823" s="137"/>
      <c r="E823" s="141"/>
      <c r="F823" s="154" t="s">
        <v>221</v>
      </c>
      <c r="G823" s="206" t="s">
        <v>360</v>
      </c>
      <c r="H823" s="393">
        <f>SUM(H824:H826)</f>
        <v>3620</v>
      </c>
      <c r="I823" s="393">
        <f>SUM(I824:I826)</f>
        <v>1380</v>
      </c>
      <c r="J823" s="620">
        <f t="shared" si="80"/>
        <v>38.12154696132597</v>
      </c>
      <c r="K823" s="309"/>
      <c r="L823" s="864"/>
      <c r="M823" s="357"/>
      <c r="N823" s="620"/>
      <c r="O823" s="309"/>
      <c r="P823" s="830">
        <f t="shared" si="81"/>
        <v>3620</v>
      </c>
      <c r="Q823" s="844">
        <f t="shared" si="81"/>
        <v>1380</v>
      </c>
      <c r="R823" s="763">
        <f t="shared" si="79"/>
        <v>38.12154696132597</v>
      </c>
    </row>
    <row r="824" spans="2:18" ht="12.75">
      <c r="B824" s="177">
        <f t="shared" si="82"/>
        <v>394</v>
      </c>
      <c r="C824" s="137"/>
      <c r="D824" s="137"/>
      <c r="E824" s="141"/>
      <c r="F824" s="138" t="s">
        <v>202</v>
      </c>
      <c r="G824" s="199" t="s">
        <v>335</v>
      </c>
      <c r="H824" s="357">
        <v>2950</v>
      </c>
      <c r="I824" s="357">
        <v>1272</v>
      </c>
      <c r="J824" s="620">
        <f t="shared" si="80"/>
        <v>43.11864406779661</v>
      </c>
      <c r="K824" s="309"/>
      <c r="L824" s="864"/>
      <c r="M824" s="357"/>
      <c r="N824" s="620"/>
      <c r="O824" s="309"/>
      <c r="P824" s="804">
        <f t="shared" si="81"/>
        <v>2950</v>
      </c>
      <c r="Q824" s="812">
        <f t="shared" si="81"/>
        <v>1272</v>
      </c>
      <c r="R824" s="763">
        <f t="shared" si="79"/>
        <v>43.11864406779661</v>
      </c>
    </row>
    <row r="825" spans="2:18" ht="12.75">
      <c r="B825" s="177">
        <f t="shared" si="82"/>
        <v>395</v>
      </c>
      <c r="C825" s="137"/>
      <c r="D825" s="137"/>
      <c r="E825" s="141"/>
      <c r="F825" s="138" t="s">
        <v>203</v>
      </c>
      <c r="G825" s="199" t="s">
        <v>251</v>
      </c>
      <c r="H825" s="357">
        <v>130</v>
      </c>
      <c r="I825" s="357">
        <v>0</v>
      </c>
      <c r="J825" s="620">
        <f t="shared" si="80"/>
        <v>0</v>
      </c>
      <c r="K825" s="309"/>
      <c r="L825" s="864"/>
      <c r="M825" s="357"/>
      <c r="N825" s="620"/>
      <c r="O825" s="309"/>
      <c r="P825" s="804">
        <f t="shared" si="81"/>
        <v>130</v>
      </c>
      <c r="Q825" s="812">
        <f t="shared" si="81"/>
        <v>0</v>
      </c>
      <c r="R825" s="763">
        <f t="shared" si="79"/>
        <v>0</v>
      </c>
    </row>
    <row r="826" spans="2:18" ht="12.75">
      <c r="B826" s="177">
        <f t="shared" si="82"/>
        <v>396</v>
      </c>
      <c r="C826" s="137"/>
      <c r="D826" s="137"/>
      <c r="E826" s="141"/>
      <c r="F826" s="138" t="s">
        <v>219</v>
      </c>
      <c r="G826" s="199" t="s">
        <v>252</v>
      </c>
      <c r="H826" s="357">
        <v>540</v>
      </c>
      <c r="I826" s="357">
        <v>108</v>
      </c>
      <c r="J826" s="620">
        <f t="shared" si="80"/>
        <v>20</v>
      </c>
      <c r="K826" s="309"/>
      <c r="L826" s="864"/>
      <c r="M826" s="357"/>
      <c r="N826" s="620"/>
      <c r="O826" s="309"/>
      <c r="P826" s="804">
        <f t="shared" si="81"/>
        <v>540</v>
      </c>
      <c r="Q826" s="812">
        <f t="shared" si="81"/>
        <v>108</v>
      </c>
      <c r="R826" s="763">
        <f t="shared" si="79"/>
        <v>20</v>
      </c>
    </row>
    <row r="827" spans="2:18" ht="12.75">
      <c r="B827" s="177">
        <f t="shared" si="82"/>
        <v>397</v>
      </c>
      <c r="C827" s="137"/>
      <c r="D827" s="137"/>
      <c r="E827" s="141"/>
      <c r="F827" s="141"/>
      <c r="G827" s="206"/>
      <c r="H827" s="335"/>
      <c r="I827" s="335"/>
      <c r="J827" s="620"/>
      <c r="K827" s="159"/>
      <c r="L827" s="649"/>
      <c r="M827" s="335"/>
      <c r="N827" s="620"/>
      <c r="O827" s="159"/>
      <c r="P827" s="804"/>
      <c r="Q827" s="812"/>
      <c r="R827" s="763"/>
    </row>
    <row r="828" spans="2:18" ht="12.75">
      <c r="B828" s="177">
        <f t="shared" si="82"/>
        <v>398</v>
      </c>
      <c r="C828" s="137"/>
      <c r="D828" s="137"/>
      <c r="E828" s="141"/>
      <c r="F828" s="278">
        <v>640</v>
      </c>
      <c r="G828" s="279" t="s">
        <v>413</v>
      </c>
      <c r="H828" s="394">
        <v>11740</v>
      </c>
      <c r="I828" s="394">
        <v>5868</v>
      </c>
      <c r="J828" s="620">
        <f t="shared" si="80"/>
        <v>49.982964224872234</v>
      </c>
      <c r="K828" s="139"/>
      <c r="L828" s="870"/>
      <c r="M828" s="885"/>
      <c r="N828" s="620"/>
      <c r="O828" s="139"/>
      <c r="P828" s="836">
        <f aca="true" t="shared" si="83" ref="P828:Q831">H828+L828</f>
        <v>11740</v>
      </c>
      <c r="Q828" s="850">
        <f t="shared" si="83"/>
        <v>5868</v>
      </c>
      <c r="R828" s="763">
        <f t="shared" si="79"/>
        <v>49.982964224872234</v>
      </c>
    </row>
    <row r="829" spans="2:18" ht="12.75">
      <c r="B829" s="177">
        <f t="shared" si="82"/>
        <v>399</v>
      </c>
      <c r="C829" s="137"/>
      <c r="D829" s="137"/>
      <c r="E829" s="141"/>
      <c r="F829" s="278">
        <v>640</v>
      </c>
      <c r="G829" s="279" t="s">
        <v>414</v>
      </c>
      <c r="H829" s="394">
        <v>8511</v>
      </c>
      <c r="I829" s="394">
        <v>4254</v>
      </c>
      <c r="J829" s="620">
        <f t="shared" si="80"/>
        <v>49.982375749030666</v>
      </c>
      <c r="K829" s="139"/>
      <c r="L829" s="870"/>
      <c r="M829" s="885"/>
      <c r="N829" s="620"/>
      <c r="O829" s="139"/>
      <c r="P829" s="836">
        <f t="shared" si="83"/>
        <v>8511</v>
      </c>
      <c r="Q829" s="850">
        <f t="shared" si="83"/>
        <v>4254</v>
      </c>
      <c r="R829" s="763">
        <f t="shared" si="79"/>
        <v>49.982375749030666</v>
      </c>
    </row>
    <row r="830" spans="2:18" ht="12.75">
      <c r="B830" s="177">
        <f t="shared" si="82"/>
        <v>400</v>
      </c>
      <c r="C830" s="137"/>
      <c r="D830" s="137"/>
      <c r="E830" s="141"/>
      <c r="F830" s="278">
        <v>640</v>
      </c>
      <c r="G830" s="279" t="s">
        <v>619</v>
      </c>
      <c r="H830" s="394">
        <v>13648</v>
      </c>
      <c r="I830" s="394">
        <v>6822</v>
      </c>
      <c r="J830" s="620">
        <f t="shared" si="80"/>
        <v>49.98534583821805</v>
      </c>
      <c r="K830" s="139"/>
      <c r="L830" s="870"/>
      <c r="M830" s="885"/>
      <c r="N830" s="620"/>
      <c r="O830" s="139"/>
      <c r="P830" s="836">
        <f t="shared" si="83"/>
        <v>13648</v>
      </c>
      <c r="Q830" s="850">
        <f t="shared" si="83"/>
        <v>6822</v>
      </c>
      <c r="R830" s="763">
        <f t="shared" si="79"/>
        <v>49.98534583821805</v>
      </c>
    </row>
    <row r="831" spans="2:18" ht="12.75">
      <c r="B831" s="177">
        <f t="shared" si="82"/>
        <v>401</v>
      </c>
      <c r="C831" s="137"/>
      <c r="D831" s="137"/>
      <c r="E831" s="141"/>
      <c r="F831" s="278">
        <v>640</v>
      </c>
      <c r="G831" s="279" t="s">
        <v>620</v>
      </c>
      <c r="H831" s="394">
        <v>15922</v>
      </c>
      <c r="I831" s="394">
        <v>7962</v>
      </c>
      <c r="J831" s="620">
        <f t="shared" si="80"/>
        <v>50.00628061801281</v>
      </c>
      <c r="K831" s="159"/>
      <c r="L831" s="870"/>
      <c r="M831" s="885"/>
      <c r="N831" s="620"/>
      <c r="O831" s="159"/>
      <c r="P831" s="836">
        <f t="shared" si="83"/>
        <v>15922</v>
      </c>
      <c r="Q831" s="850">
        <f t="shared" si="83"/>
        <v>7962</v>
      </c>
      <c r="R831" s="763">
        <f t="shared" si="79"/>
        <v>50.00628061801281</v>
      </c>
    </row>
    <row r="832" spans="2:18" ht="12.75">
      <c r="B832" s="177">
        <f t="shared" si="82"/>
        <v>402</v>
      </c>
      <c r="C832" s="137"/>
      <c r="D832" s="141"/>
      <c r="E832" s="157"/>
      <c r="F832" s="138"/>
      <c r="G832" s="199"/>
      <c r="H832" s="398"/>
      <c r="I832" s="398"/>
      <c r="J832" s="620"/>
      <c r="K832" s="159"/>
      <c r="L832" s="650"/>
      <c r="M832" s="341"/>
      <c r="N832" s="620"/>
      <c r="O832" s="159"/>
      <c r="P832" s="805"/>
      <c r="Q832" s="813"/>
      <c r="R832" s="763"/>
    </row>
    <row r="833" spans="2:18" ht="15">
      <c r="B833" s="177">
        <f t="shared" si="82"/>
        <v>403</v>
      </c>
      <c r="C833" s="137"/>
      <c r="D833" s="261">
        <v>10</v>
      </c>
      <c r="E833" s="266" t="s">
        <v>448</v>
      </c>
      <c r="F833" s="264" t="s">
        <v>415</v>
      </c>
      <c r="G833" s="265"/>
      <c r="H833" s="392">
        <f>H834+H835+H836+H843</f>
        <v>703980</v>
      </c>
      <c r="I833" s="392">
        <f>I834+I835+I836+I843</f>
        <v>362816</v>
      </c>
      <c r="J833" s="620">
        <f t="shared" si="80"/>
        <v>51.537827779198274</v>
      </c>
      <c r="K833" s="313"/>
      <c r="L833" s="869">
        <f>L844+L845</f>
        <v>5700</v>
      </c>
      <c r="M833" s="884">
        <f>M844+M845</f>
        <v>5000</v>
      </c>
      <c r="N833" s="638">
        <f>M833/L833*100</f>
        <v>87.71929824561403</v>
      </c>
      <c r="O833" s="313"/>
      <c r="P833" s="835">
        <f aca="true" t="shared" si="84" ref="P833:Q857">H833+L833</f>
        <v>709680</v>
      </c>
      <c r="Q833" s="849">
        <f t="shared" si="84"/>
        <v>367816</v>
      </c>
      <c r="R833" s="763">
        <f t="shared" si="79"/>
        <v>51.82842971480104</v>
      </c>
    </row>
    <row r="834" spans="2:18" ht="12.75">
      <c r="B834" s="177">
        <f t="shared" si="82"/>
        <v>404</v>
      </c>
      <c r="C834" s="137"/>
      <c r="D834" s="137"/>
      <c r="E834" s="141"/>
      <c r="F834" s="154" t="s">
        <v>214</v>
      </c>
      <c r="G834" s="206" t="s">
        <v>543</v>
      </c>
      <c r="H834" s="393">
        <f>463800-1335</f>
        <v>462465</v>
      </c>
      <c r="I834" s="393">
        <v>230324</v>
      </c>
      <c r="J834" s="620">
        <f t="shared" si="80"/>
        <v>49.803552701285504</v>
      </c>
      <c r="K834" s="309"/>
      <c r="L834" s="864"/>
      <c r="M834" s="357"/>
      <c r="N834" s="620"/>
      <c r="O834" s="309"/>
      <c r="P834" s="830">
        <f t="shared" si="84"/>
        <v>462465</v>
      </c>
      <c r="Q834" s="844">
        <f t="shared" si="84"/>
        <v>230324</v>
      </c>
      <c r="R834" s="763">
        <f t="shared" si="79"/>
        <v>49.803552701285504</v>
      </c>
    </row>
    <row r="835" spans="2:18" ht="12.75">
      <c r="B835" s="177">
        <f t="shared" si="82"/>
        <v>405</v>
      </c>
      <c r="C835" s="137"/>
      <c r="D835" s="137"/>
      <c r="E835" s="141"/>
      <c r="F835" s="154" t="s">
        <v>215</v>
      </c>
      <c r="G835" s="206" t="s">
        <v>264</v>
      </c>
      <c r="H835" s="393">
        <f>155880-465</f>
        <v>155415</v>
      </c>
      <c r="I835" s="393">
        <v>79454</v>
      </c>
      <c r="J835" s="620">
        <f t="shared" si="80"/>
        <v>51.12376540230994</v>
      </c>
      <c r="K835" s="309"/>
      <c r="L835" s="864"/>
      <c r="M835" s="357"/>
      <c r="N835" s="620"/>
      <c r="O835" s="309"/>
      <c r="P835" s="830">
        <f t="shared" si="84"/>
        <v>155415</v>
      </c>
      <c r="Q835" s="844">
        <f t="shared" si="84"/>
        <v>79454</v>
      </c>
      <c r="R835" s="763">
        <f t="shared" si="79"/>
        <v>51.12376540230994</v>
      </c>
    </row>
    <row r="836" spans="2:18" ht="12.75">
      <c r="B836" s="177">
        <f t="shared" si="82"/>
        <v>406</v>
      </c>
      <c r="C836" s="137"/>
      <c r="D836" s="137"/>
      <c r="E836" s="141"/>
      <c r="F836" s="154" t="s">
        <v>221</v>
      </c>
      <c r="G836" s="206" t="s">
        <v>360</v>
      </c>
      <c r="H836" s="393">
        <f>SUM(H837:H842)</f>
        <v>84300</v>
      </c>
      <c r="I836" s="393">
        <f>SUM(I837:I842)</f>
        <v>52810</v>
      </c>
      <c r="J836" s="620">
        <f t="shared" si="80"/>
        <v>62.6453143534994</v>
      </c>
      <c r="K836" s="309"/>
      <c r="L836" s="864"/>
      <c r="M836" s="357"/>
      <c r="N836" s="620"/>
      <c r="O836" s="309"/>
      <c r="P836" s="830">
        <f t="shared" si="84"/>
        <v>84300</v>
      </c>
      <c r="Q836" s="844">
        <f t="shared" si="84"/>
        <v>52810</v>
      </c>
      <c r="R836" s="763">
        <f t="shared" si="79"/>
        <v>62.6453143534994</v>
      </c>
    </row>
    <row r="837" spans="2:18" ht="12.75">
      <c r="B837" s="177">
        <f t="shared" si="82"/>
        <v>407</v>
      </c>
      <c r="C837" s="137"/>
      <c r="D837" s="137"/>
      <c r="E837" s="141"/>
      <c r="F837" s="138" t="s">
        <v>216</v>
      </c>
      <c r="G837" s="199" t="s">
        <v>323</v>
      </c>
      <c r="H837" s="357">
        <v>800</v>
      </c>
      <c r="I837" s="357">
        <v>333</v>
      </c>
      <c r="J837" s="620">
        <f t="shared" si="80"/>
        <v>41.625</v>
      </c>
      <c r="K837" s="309"/>
      <c r="L837" s="864"/>
      <c r="M837" s="357"/>
      <c r="N837" s="620"/>
      <c r="O837" s="309"/>
      <c r="P837" s="804">
        <f t="shared" si="84"/>
        <v>800</v>
      </c>
      <c r="Q837" s="812">
        <f t="shared" si="84"/>
        <v>333</v>
      </c>
      <c r="R837" s="763">
        <f t="shared" si="79"/>
        <v>41.625</v>
      </c>
    </row>
    <row r="838" spans="2:18" ht="12.75">
      <c r="B838" s="177">
        <f t="shared" si="82"/>
        <v>408</v>
      </c>
      <c r="C838" s="137"/>
      <c r="D838" s="137"/>
      <c r="E838" s="141"/>
      <c r="F838" s="138" t="s">
        <v>202</v>
      </c>
      <c r="G838" s="199" t="s">
        <v>335</v>
      </c>
      <c r="H838" s="357">
        <v>37240</v>
      </c>
      <c r="I838" s="357">
        <v>30688</v>
      </c>
      <c r="J838" s="620">
        <f t="shared" si="80"/>
        <v>82.40601503759399</v>
      </c>
      <c r="K838" s="309"/>
      <c r="L838" s="864"/>
      <c r="M838" s="357"/>
      <c r="N838" s="620"/>
      <c r="O838" s="309"/>
      <c r="P838" s="804">
        <f t="shared" si="84"/>
        <v>37240</v>
      </c>
      <c r="Q838" s="812">
        <f t="shared" si="84"/>
        <v>30688</v>
      </c>
      <c r="R838" s="763">
        <f t="shared" si="79"/>
        <v>82.40601503759399</v>
      </c>
    </row>
    <row r="839" spans="2:18" ht="12.75">
      <c r="B839" s="177">
        <f t="shared" si="82"/>
        <v>409</v>
      </c>
      <c r="C839" s="137"/>
      <c r="D839" s="137"/>
      <c r="E839" s="141"/>
      <c r="F839" s="138" t="s">
        <v>203</v>
      </c>
      <c r="G839" s="199" t="s">
        <v>251</v>
      </c>
      <c r="H839" s="357">
        <v>6120</v>
      </c>
      <c r="I839" s="357">
        <v>4229</v>
      </c>
      <c r="J839" s="620">
        <f t="shared" si="80"/>
        <v>69.10130718954248</v>
      </c>
      <c r="K839" s="309"/>
      <c r="L839" s="864"/>
      <c r="M839" s="357"/>
      <c r="N839" s="620"/>
      <c r="O839" s="309"/>
      <c r="P839" s="804">
        <f t="shared" si="84"/>
        <v>6120</v>
      </c>
      <c r="Q839" s="812">
        <f t="shared" si="84"/>
        <v>4229</v>
      </c>
      <c r="R839" s="763">
        <f t="shared" si="79"/>
        <v>69.10130718954248</v>
      </c>
    </row>
    <row r="840" spans="2:18" ht="12.75">
      <c r="B840" s="177">
        <f t="shared" si="82"/>
        <v>410</v>
      </c>
      <c r="C840" s="137"/>
      <c r="D840" s="137"/>
      <c r="E840" s="141"/>
      <c r="F840" s="141">
        <v>635</v>
      </c>
      <c r="G840" s="199" t="s">
        <v>266</v>
      </c>
      <c r="H840" s="357">
        <v>4900</v>
      </c>
      <c r="I840" s="357">
        <v>564</v>
      </c>
      <c r="J840" s="620">
        <f t="shared" si="80"/>
        <v>11.510204081632654</v>
      </c>
      <c r="K840" s="309"/>
      <c r="L840" s="864"/>
      <c r="M840" s="357"/>
      <c r="N840" s="620"/>
      <c r="O840" s="309"/>
      <c r="P840" s="804">
        <f t="shared" si="84"/>
        <v>4900</v>
      </c>
      <c r="Q840" s="812">
        <f t="shared" si="84"/>
        <v>564</v>
      </c>
      <c r="R840" s="763">
        <f t="shared" si="79"/>
        <v>11.510204081632654</v>
      </c>
    </row>
    <row r="841" spans="2:18" ht="12.75">
      <c r="B841" s="177">
        <f t="shared" si="82"/>
        <v>411</v>
      </c>
      <c r="C841" s="137"/>
      <c r="D841" s="137"/>
      <c r="E841" s="141"/>
      <c r="F841" s="141">
        <v>636</v>
      </c>
      <c r="G841" s="199" t="s">
        <v>267</v>
      </c>
      <c r="H841" s="357">
        <v>100</v>
      </c>
      <c r="I841" s="399">
        <v>183</v>
      </c>
      <c r="J841" s="620">
        <f t="shared" si="80"/>
        <v>183</v>
      </c>
      <c r="K841" s="309"/>
      <c r="L841" s="864"/>
      <c r="M841" s="357"/>
      <c r="N841" s="620"/>
      <c r="O841" s="309"/>
      <c r="P841" s="804">
        <f t="shared" si="84"/>
        <v>100</v>
      </c>
      <c r="Q841" s="812">
        <f t="shared" si="84"/>
        <v>183</v>
      </c>
      <c r="R841" s="763">
        <f t="shared" si="79"/>
        <v>183</v>
      </c>
    </row>
    <row r="842" spans="2:18" ht="12.75">
      <c r="B842" s="177">
        <f t="shared" si="82"/>
        <v>412</v>
      </c>
      <c r="C842" s="137"/>
      <c r="D842" s="137"/>
      <c r="E842" s="141"/>
      <c r="F842" s="138" t="s">
        <v>219</v>
      </c>
      <c r="G842" s="199" t="s">
        <v>252</v>
      </c>
      <c r="H842" s="357">
        <v>35140</v>
      </c>
      <c r="I842" s="357">
        <v>16813</v>
      </c>
      <c r="J842" s="620">
        <f t="shared" si="80"/>
        <v>47.84575981787137</v>
      </c>
      <c r="K842" s="309"/>
      <c r="L842" s="864"/>
      <c r="M842" s="357"/>
      <c r="N842" s="620"/>
      <c r="O842" s="309"/>
      <c r="P842" s="804">
        <f t="shared" si="84"/>
        <v>35140</v>
      </c>
      <c r="Q842" s="812">
        <f t="shared" si="84"/>
        <v>16813</v>
      </c>
      <c r="R842" s="763">
        <f t="shared" si="79"/>
        <v>47.84575981787137</v>
      </c>
    </row>
    <row r="843" spans="2:18" ht="12.75">
      <c r="B843" s="177">
        <f t="shared" si="82"/>
        <v>413</v>
      </c>
      <c r="C843" s="137"/>
      <c r="D843" s="137"/>
      <c r="E843" s="141"/>
      <c r="F843" s="277" t="s">
        <v>220</v>
      </c>
      <c r="G843" s="206" t="s">
        <v>542</v>
      </c>
      <c r="H843" s="393">
        <v>1800</v>
      </c>
      <c r="I843" s="393">
        <v>228</v>
      </c>
      <c r="J843" s="620">
        <f t="shared" si="80"/>
        <v>12.666666666666668</v>
      </c>
      <c r="K843" s="309"/>
      <c r="L843" s="864"/>
      <c r="M843" s="357"/>
      <c r="N843" s="620"/>
      <c r="O843" s="309"/>
      <c r="P843" s="830">
        <f t="shared" si="84"/>
        <v>1800</v>
      </c>
      <c r="Q843" s="844">
        <f t="shared" si="84"/>
        <v>228</v>
      </c>
      <c r="R843" s="763">
        <f t="shared" si="79"/>
        <v>12.666666666666668</v>
      </c>
    </row>
    <row r="844" spans="2:18" ht="12.75">
      <c r="B844" s="177">
        <f t="shared" si="82"/>
        <v>414</v>
      </c>
      <c r="C844" s="137"/>
      <c r="D844" s="137"/>
      <c r="E844" s="170"/>
      <c r="F844" s="154" t="s">
        <v>340</v>
      </c>
      <c r="G844" s="206" t="s">
        <v>774</v>
      </c>
      <c r="H844" s="393"/>
      <c r="I844" s="393"/>
      <c r="J844" s="620"/>
      <c r="K844" s="309"/>
      <c r="L844" s="864">
        <v>5000</v>
      </c>
      <c r="M844" s="357">
        <v>5000</v>
      </c>
      <c r="N844" s="638">
        <f>M844/L844*100</f>
        <v>100</v>
      </c>
      <c r="O844" s="309"/>
      <c r="P844" s="830">
        <f t="shared" si="84"/>
        <v>5000</v>
      </c>
      <c r="Q844" s="844">
        <f t="shared" si="84"/>
        <v>5000</v>
      </c>
      <c r="R844" s="763">
        <f t="shared" si="79"/>
        <v>100</v>
      </c>
    </row>
    <row r="845" spans="2:18" ht="12.75">
      <c r="B845" s="177">
        <f t="shared" si="82"/>
        <v>415</v>
      </c>
      <c r="C845" s="137"/>
      <c r="D845" s="137"/>
      <c r="E845" s="170"/>
      <c r="F845" s="154" t="s">
        <v>340</v>
      </c>
      <c r="G845" s="206" t="s">
        <v>815</v>
      </c>
      <c r="H845" s="393"/>
      <c r="I845" s="393"/>
      <c r="J845" s="620"/>
      <c r="K845" s="309"/>
      <c r="L845" s="864">
        <v>700</v>
      </c>
      <c r="M845" s="357">
        <v>0</v>
      </c>
      <c r="N845" s="638">
        <f>M845/L845*100</f>
        <v>0</v>
      </c>
      <c r="O845" s="309"/>
      <c r="P845" s="830">
        <f t="shared" si="84"/>
        <v>700</v>
      </c>
      <c r="Q845" s="844">
        <f t="shared" si="84"/>
        <v>0</v>
      </c>
      <c r="R845" s="763">
        <f t="shared" si="79"/>
        <v>0</v>
      </c>
    </row>
    <row r="846" spans="2:18" ht="15">
      <c r="B846" s="177">
        <f t="shared" si="82"/>
        <v>416</v>
      </c>
      <c r="C846" s="137"/>
      <c r="D846" s="261">
        <v>11</v>
      </c>
      <c r="E846" s="181" t="s">
        <v>452</v>
      </c>
      <c r="F846" s="158" t="s">
        <v>416</v>
      </c>
      <c r="G846" s="239"/>
      <c r="H846" s="390">
        <f>H847+H848+H849+H855+H856</f>
        <v>86440</v>
      </c>
      <c r="I846" s="390">
        <f>I847+I848+I849+I855+I856</f>
        <v>48090</v>
      </c>
      <c r="J846" s="620">
        <f t="shared" si="80"/>
        <v>55.63396575659417</v>
      </c>
      <c r="K846" s="313"/>
      <c r="L846" s="872">
        <f>L857</f>
        <v>8350</v>
      </c>
      <c r="M846" s="391">
        <f>M857</f>
        <v>0</v>
      </c>
      <c r="N846" s="638">
        <f>M846/L846*100</f>
        <v>0</v>
      </c>
      <c r="O846" s="313"/>
      <c r="P846" s="834">
        <f t="shared" si="84"/>
        <v>94790</v>
      </c>
      <c r="Q846" s="848">
        <f t="shared" si="84"/>
        <v>48090</v>
      </c>
      <c r="R846" s="763">
        <f t="shared" si="79"/>
        <v>50.733199704610186</v>
      </c>
    </row>
    <row r="847" spans="2:18" ht="12.75">
      <c r="B847" s="177">
        <f t="shared" si="82"/>
        <v>417</v>
      </c>
      <c r="C847" s="137"/>
      <c r="D847" s="137"/>
      <c r="E847" s="141"/>
      <c r="F847" s="154" t="s">
        <v>214</v>
      </c>
      <c r="G847" s="206" t="s">
        <v>543</v>
      </c>
      <c r="H847" s="393">
        <v>51000</v>
      </c>
      <c r="I847" s="393">
        <v>24630</v>
      </c>
      <c r="J847" s="620">
        <f t="shared" si="80"/>
        <v>48.294117647058826</v>
      </c>
      <c r="K847" s="309"/>
      <c r="L847" s="864"/>
      <c r="M847" s="357"/>
      <c r="N847" s="620"/>
      <c r="O847" s="309"/>
      <c r="P847" s="830">
        <f t="shared" si="84"/>
        <v>51000</v>
      </c>
      <c r="Q847" s="844">
        <f t="shared" si="84"/>
        <v>24630</v>
      </c>
      <c r="R847" s="763">
        <f t="shared" si="79"/>
        <v>48.294117647058826</v>
      </c>
    </row>
    <row r="848" spans="2:18" ht="12.75">
      <c r="B848" s="177">
        <f t="shared" si="82"/>
        <v>418</v>
      </c>
      <c r="C848" s="137"/>
      <c r="D848" s="137"/>
      <c r="E848" s="141"/>
      <c r="F848" s="154" t="s">
        <v>215</v>
      </c>
      <c r="G848" s="206" t="s">
        <v>264</v>
      </c>
      <c r="H848" s="393">
        <v>18100</v>
      </c>
      <c r="I848" s="393">
        <v>10300</v>
      </c>
      <c r="J848" s="620">
        <f t="shared" si="80"/>
        <v>56.9060773480663</v>
      </c>
      <c r="K848" s="309"/>
      <c r="L848" s="864"/>
      <c r="M848" s="357"/>
      <c r="N848" s="620"/>
      <c r="O848" s="309"/>
      <c r="P848" s="830">
        <f t="shared" si="84"/>
        <v>18100</v>
      </c>
      <c r="Q848" s="844">
        <f t="shared" si="84"/>
        <v>10300</v>
      </c>
      <c r="R848" s="763">
        <f t="shared" si="79"/>
        <v>56.9060773480663</v>
      </c>
    </row>
    <row r="849" spans="2:18" ht="12.75">
      <c r="B849" s="177">
        <f t="shared" si="82"/>
        <v>419</v>
      </c>
      <c r="C849" s="137"/>
      <c r="D849" s="137"/>
      <c r="E849" s="141"/>
      <c r="F849" s="154" t="s">
        <v>221</v>
      </c>
      <c r="G849" s="206" t="s">
        <v>360</v>
      </c>
      <c r="H849" s="393">
        <f>SUM(H850:H854)</f>
        <v>16430</v>
      </c>
      <c r="I849" s="393">
        <f>SUM(I850:I854)</f>
        <v>13077</v>
      </c>
      <c r="J849" s="620">
        <f t="shared" si="80"/>
        <v>79.59220937309799</v>
      </c>
      <c r="K849" s="309"/>
      <c r="L849" s="864"/>
      <c r="M849" s="357"/>
      <c r="N849" s="620"/>
      <c r="O849" s="309"/>
      <c r="P849" s="830">
        <f t="shared" si="84"/>
        <v>16430</v>
      </c>
      <c r="Q849" s="844">
        <f t="shared" si="84"/>
        <v>13077</v>
      </c>
      <c r="R849" s="763">
        <f t="shared" si="79"/>
        <v>79.59220937309799</v>
      </c>
    </row>
    <row r="850" spans="2:18" ht="12.75">
      <c r="B850" s="177">
        <f t="shared" si="82"/>
        <v>420</v>
      </c>
      <c r="C850" s="137"/>
      <c r="D850" s="137"/>
      <c r="E850" s="141"/>
      <c r="F850" s="138" t="s">
        <v>216</v>
      </c>
      <c r="G850" s="199" t="s">
        <v>323</v>
      </c>
      <c r="H850" s="357">
        <v>500</v>
      </c>
      <c r="I850" s="357">
        <v>155</v>
      </c>
      <c r="J850" s="620">
        <f t="shared" si="80"/>
        <v>31</v>
      </c>
      <c r="K850" s="309"/>
      <c r="L850" s="864"/>
      <c r="M850" s="357"/>
      <c r="N850" s="620"/>
      <c r="O850" s="309"/>
      <c r="P850" s="804">
        <f t="shared" si="84"/>
        <v>500</v>
      </c>
      <c r="Q850" s="812">
        <f t="shared" si="84"/>
        <v>155</v>
      </c>
      <c r="R850" s="763">
        <f aca="true" t="shared" si="85" ref="R850:R917">Q850/P850*100</f>
        <v>31</v>
      </c>
    </row>
    <row r="851" spans="2:18" ht="12.75">
      <c r="B851" s="177">
        <f t="shared" si="82"/>
        <v>421</v>
      </c>
      <c r="C851" s="137"/>
      <c r="D851" s="137"/>
      <c r="E851" s="141"/>
      <c r="F851" s="138" t="s">
        <v>202</v>
      </c>
      <c r="G851" s="199" t="s">
        <v>335</v>
      </c>
      <c r="H851" s="357">
        <v>5490</v>
      </c>
      <c r="I851" s="357">
        <v>2231</v>
      </c>
      <c r="J851" s="620">
        <f t="shared" si="80"/>
        <v>40.63752276867031</v>
      </c>
      <c r="K851" s="309"/>
      <c r="L851" s="864"/>
      <c r="M851" s="357"/>
      <c r="N851" s="620"/>
      <c r="O851" s="309"/>
      <c r="P851" s="804">
        <f t="shared" si="84"/>
        <v>5490</v>
      </c>
      <c r="Q851" s="812">
        <f t="shared" si="84"/>
        <v>2231</v>
      </c>
      <c r="R851" s="763">
        <f t="shared" si="85"/>
        <v>40.63752276867031</v>
      </c>
    </row>
    <row r="852" spans="2:18" ht="12.75">
      <c r="B852" s="177">
        <f t="shared" si="82"/>
        <v>422</v>
      </c>
      <c r="C852" s="137"/>
      <c r="D852" s="137"/>
      <c r="E852" s="141"/>
      <c r="F852" s="138" t="s">
        <v>203</v>
      </c>
      <c r="G852" s="199" t="s">
        <v>251</v>
      </c>
      <c r="H852" s="357">
        <v>1092</v>
      </c>
      <c r="I852" s="357">
        <v>926</v>
      </c>
      <c r="J852" s="620">
        <f aca="true" t="shared" si="86" ref="J852:J920">I852/H852*100</f>
        <v>84.7985347985348</v>
      </c>
      <c r="K852" s="309"/>
      <c r="L852" s="864"/>
      <c r="M852" s="357"/>
      <c r="N852" s="620"/>
      <c r="O852" s="309"/>
      <c r="P852" s="804">
        <f t="shared" si="84"/>
        <v>1092</v>
      </c>
      <c r="Q852" s="812">
        <f t="shared" si="84"/>
        <v>926</v>
      </c>
      <c r="R852" s="763">
        <f t="shared" si="85"/>
        <v>84.7985347985348</v>
      </c>
    </row>
    <row r="853" spans="2:18" ht="12.75">
      <c r="B853" s="177">
        <f t="shared" si="82"/>
        <v>423</v>
      </c>
      <c r="C853" s="137"/>
      <c r="D853" s="137"/>
      <c r="E853" s="141"/>
      <c r="F853" s="141">
        <v>635</v>
      </c>
      <c r="G853" s="199" t="s">
        <v>266</v>
      </c>
      <c r="H853" s="357">
        <v>400</v>
      </c>
      <c r="I853" s="357">
        <v>318</v>
      </c>
      <c r="J853" s="620">
        <f t="shared" si="86"/>
        <v>79.5</v>
      </c>
      <c r="K853" s="309"/>
      <c r="L853" s="864"/>
      <c r="M853" s="357"/>
      <c r="N853" s="620"/>
      <c r="O853" s="309"/>
      <c r="P853" s="804">
        <f t="shared" si="84"/>
        <v>400</v>
      </c>
      <c r="Q853" s="812">
        <f t="shared" si="84"/>
        <v>318</v>
      </c>
      <c r="R853" s="763">
        <f t="shared" si="85"/>
        <v>79.5</v>
      </c>
    </row>
    <row r="854" spans="2:18" ht="12.75">
      <c r="B854" s="177">
        <f t="shared" si="82"/>
        <v>424</v>
      </c>
      <c r="C854" s="137"/>
      <c r="D854" s="137"/>
      <c r="E854" s="141"/>
      <c r="F854" s="138" t="s">
        <v>219</v>
      </c>
      <c r="G854" s="199" t="s">
        <v>252</v>
      </c>
      <c r="H854" s="357">
        <v>8948</v>
      </c>
      <c r="I854" s="399">
        <v>9447</v>
      </c>
      <c r="J854" s="620">
        <f t="shared" si="86"/>
        <v>105.57666517657577</v>
      </c>
      <c r="K854" s="309"/>
      <c r="L854" s="864"/>
      <c r="M854" s="357"/>
      <c r="N854" s="620"/>
      <c r="O854" s="309"/>
      <c r="P854" s="804">
        <f t="shared" si="84"/>
        <v>8948</v>
      </c>
      <c r="Q854" s="812">
        <f t="shared" si="84"/>
        <v>9447</v>
      </c>
      <c r="R854" s="763">
        <f t="shared" si="85"/>
        <v>105.57666517657577</v>
      </c>
    </row>
    <row r="855" spans="2:18" ht="12.75">
      <c r="B855" s="177">
        <f t="shared" si="82"/>
        <v>425</v>
      </c>
      <c r="C855" s="137"/>
      <c r="D855" s="137"/>
      <c r="E855" s="141"/>
      <c r="F855" s="154" t="s">
        <v>221</v>
      </c>
      <c r="G855" s="206" t="s">
        <v>253</v>
      </c>
      <c r="H855" s="393">
        <v>340</v>
      </c>
      <c r="I855" s="393">
        <v>0</v>
      </c>
      <c r="J855" s="620">
        <f t="shared" si="86"/>
        <v>0</v>
      </c>
      <c r="K855" s="307"/>
      <c r="L855" s="861"/>
      <c r="M855" s="393"/>
      <c r="N855" s="620"/>
      <c r="O855" s="307"/>
      <c r="P855" s="830">
        <f t="shared" si="84"/>
        <v>340</v>
      </c>
      <c r="Q855" s="844">
        <f t="shared" si="84"/>
        <v>0</v>
      </c>
      <c r="R855" s="763">
        <f t="shared" si="85"/>
        <v>0</v>
      </c>
    </row>
    <row r="856" spans="2:18" ht="12.75">
      <c r="B856" s="177">
        <f t="shared" si="82"/>
        <v>426</v>
      </c>
      <c r="C856" s="137"/>
      <c r="D856" s="137"/>
      <c r="E856" s="141"/>
      <c r="F856" s="154" t="s">
        <v>220</v>
      </c>
      <c r="G856" s="206" t="s">
        <v>542</v>
      </c>
      <c r="H856" s="393">
        <v>570</v>
      </c>
      <c r="I856" s="393">
        <v>83</v>
      </c>
      <c r="J856" s="620">
        <f t="shared" si="86"/>
        <v>14.561403508771932</v>
      </c>
      <c r="K856" s="307"/>
      <c r="L856" s="861"/>
      <c r="M856" s="393"/>
      <c r="N856" s="620"/>
      <c r="O856" s="307"/>
      <c r="P856" s="830">
        <f t="shared" si="84"/>
        <v>570</v>
      </c>
      <c r="Q856" s="844">
        <f t="shared" si="84"/>
        <v>83</v>
      </c>
      <c r="R856" s="763">
        <f t="shared" si="85"/>
        <v>14.561403508771932</v>
      </c>
    </row>
    <row r="857" spans="2:18" ht="12.75">
      <c r="B857" s="177">
        <f t="shared" si="82"/>
        <v>427</v>
      </c>
      <c r="C857" s="137"/>
      <c r="D857" s="137"/>
      <c r="E857" s="141"/>
      <c r="F857" s="154" t="s">
        <v>340</v>
      </c>
      <c r="G857" s="206" t="s">
        <v>780</v>
      </c>
      <c r="H857" s="393"/>
      <c r="I857" s="393"/>
      <c r="J857" s="620"/>
      <c r="K857" s="307"/>
      <c r="L857" s="861">
        <v>8350</v>
      </c>
      <c r="M857" s="393">
        <v>0</v>
      </c>
      <c r="N857" s="638">
        <f>M857/L857*100</f>
        <v>0</v>
      </c>
      <c r="O857" s="307"/>
      <c r="P857" s="830">
        <f t="shared" si="84"/>
        <v>8350</v>
      </c>
      <c r="Q857" s="844">
        <f t="shared" si="84"/>
        <v>0</v>
      </c>
      <c r="R857" s="763">
        <f t="shared" si="85"/>
        <v>0</v>
      </c>
    </row>
    <row r="858" spans="2:18" ht="12.75">
      <c r="B858" s="177">
        <f t="shared" si="82"/>
        <v>428</v>
      </c>
      <c r="C858" s="137"/>
      <c r="D858" s="137"/>
      <c r="E858" s="141"/>
      <c r="F858" s="141"/>
      <c r="G858" s="206"/>
      <c r="H858" s="335"/>
      <c r="I858" s="335"/>
      <c r="J858" s="620"/>
      <c r="K858" s="159"/>
      <c r="L858" s="649"/>
      <c r="M858" s="335"/>
      <c r="N858" s="620"/>
      <c r="O858" s="159"/>
      <c r="P858" s="804"/>
      <c r="Q858" s="812"/>
      <c r="R858" s="763"/>
    </row>
    <row r="859" spans="2:18" ht="12.75">
      <c r="B859" s="177">
        <f t="shared" si="82"/>
        <v>429</v>
      </c>
      <c r="C859" s="137"/>
      <c r="D859" s="137"/>
      <c r="E859" s="141"/>
      <c r="F859" s="278">
        <v>640</v>
      </c>
      <c r="G859" s="279" t="s">
        <v>417</v>
      </c>
      <c r="H859" s="403">
        <v>111696</v>
      </c>
      <c r="I859" s="403">
        <v>55848</v>
      </c>
      <c r="J859" s="620">
        <f t="shared" si="86"/>
        <v>50</v>
      </c>
      <c r="K859" s="139"/>
      <c r="L859" s="871"/>
      <c r="M859" s="886"/>
      <c r="N859" s="620"/>
      <c r="O859" s="139"/>
      <c r="P859" s="837">
        <f>H859+L859</f>
        <v>111696</v>
      </c>
      <c r="Q859" s="851">
        <f>I859+M859</f>
        <v>55848</v>
      </c>
      <c r="R859" s="763">
        <f t="shared" si="85"/>
        <v>50</v>
      </c>
    </row>
    <row r="860" spans="2:18" ht="12.75">
      <c r="B860" s="177">
        <f t="shared" si="82"/>
        <v>430</v>
      </c>
      <c r="C860" s="137"/>
      <c r="D860" s="137"/>
      <c r="E860" s="141"/>
      <c r="F860" s="278">
        <v>640</v>
      </c>
      <c r="G860" s="279" t="s">
        <v>418</v>
      </c>
      <c r="H860" s="394">
        <v>104799</v>
      </c>
      <c r="I860" s="394">
        <v>52398</v>
      </c>
      <c r="J860" s="620">
        <f t="shared" si="86"/>
        <v>49.99856868863253</v>
      </c>
      <c r="K860" s="139"/>
      <c r="L860" s="870"/>
      <c r="M860" s="885"/>
      <c r="N860" s="620"/>
      <c r="O860" s="139"/>
      <c r="P860" s="836">
        <f>H860+L860</f>
        <v>104799</v>
      </c>
      <c r="Q860" s="850">
        <f>I860+M860</f>
        <v>52398</v>
      </c>
      <c r="R860" s="763">
        <f t="shared" si="85"/>
        <v>49.99856868863253</v>
      </c>
    </row>
    <row r="861" spans="2:18" ht="12.75">
      <c r="B861" s="177">
        <f t="shared" si="82"/>
        <v>431</v>
      </c>
      <c r="C861" s="137"/>
      <c r="D861" s="137"/>
      <c r="E861" s="141"/>
      <c r="F861" s="141"/>
      <c r="G861" s="206"/>
      <c r="H861" s="346"/>
      <c r="I861" s="346"/>
      <c r="J861" s="620"/>
      <c r="K861" s="139"/>
      <c r="L861" s="649"/>
      <c r="M861" s="335"/>
      <c r="N861" s="620"/>
      <c r="O861" s="139"/>
      <c r="P861" s="804"/>
      <c r="Q861" s="812"/>
      <c r="R861" s="763"/>
    </row>
    <row r="862" spans="2:18" ht="12.75">
      <c r="B862" s="177">
        <f t="shared" si="82"/>
        <v>432</v>
      </c>
      <c r="C862" s="137"/>
      <c r="D862" s="137"/>
      <c r="E862" s="141" t="s">
        <v>452</v>
      </c>
      <c r="F862" s="141">
        <v>640</v>
      </c>
      <c r="G862" s="206" t="s">
        <v>638</v>
      </c>
      <c r="H862" s="346">
        <v>5000</v>
      </c>
      <c r="I862" s="346">
        <v>0</v>
      </c>
      <c r="J862" s="620">
        <f t="shared" si="86"/>
        <v>0</v>
      </c>
      <c r="K862" s="139"/>
      <c r="L862" s="649"/>
      <c r="M862" s="335"/>
      <c r="N862" s="620"/>
      <c r="O862" s="139"/>
      <c r="P862" s="804">
        <f>H862+L862</f>
        <v>5000</v>
      </c>
      <c r="Q862" s="812">
        <f>I862+M862</f>
        <v>0</v>
      </c>
      <c r="R862" s="763">
        <f t="shared" si="85"/>
        <v>0</v>
      </c>
    </row>
    <row r="863" spans="2:18" ht="12.75">
      <c r="B863" s="177">
        <f t="shared" si="82"/>
        <v>433</v>
      </c>
      <c r="C863" s="137"/>
      <c r="D863" s="137"/>
      <c r="E863" s="141"/>
      <c r="F863" s="141"/>
      <c r="G863" s="206"/>
      <c r="H863" s="346"/>
      <c r="I863" s="346"/>
      <c r="J863" s="620"/>
      <c r="K863" s="139"/>
      <c r="L863" s="649"/>
      <c r="M863" s="335"/>
      <c r="N863" s="620"/>
      <c r="O863" s="139"/>
      <c r="P863" s="804"/>
      <c r="Q863" s="812"/>
      <c r="R863" s="763"/>
    </row>
    <row r="864" spans="2:18" ht="12.75">
      <c r="B864" s="177">
        <f t="shared" si="82"/>
        <v>434</v>
      </c>
      <c r="C864" s="137"/>
      <c r="D864" s="137"/>
      <c r="E864" s="141" t="s">
        <v>451</v>
      </c>
      <c r="F864" s="141">
        <v>717</v>
      </c>
      <c r="G864" s="199" t="s">
        <v>456</v>
      </c>
      <c r="H864" s="346"/>
      <c r="I864" s="346"/>
      <c r="J864" s="620"/>
      <c r="K864" s="139"/>
      <c r="L864" s="649">
        <v>2246</v>
      </c>
      <c r="M864" s="335">
        <v>1123</v>
      </c>
      <c r="N864" s="638">
        <f>M864/L864*100</f>
        <v>50</v>
      </c>
      <c r="O864" s="139"/>
      <c r="P864" s="804">
        <f>H864+L864</f>
        <v>2246</v>
      </c>
      <c r="Q864" s="812">
        <f>I864+M864</f>
        <v>1123</v>
      </c>
      <c r="R864" s="763">
        <f t="shared" si="85"/>
        <v>50</v>
      </c>
    </row>
    <row r="865" spans="2:18" ht="12.75">
      <c r="B865" s="177">
        <f t="shared" si="82"/>
        <v>435</v>
      </c>
      <c r="C865" s="137"/>
      <c r="D865" s="137"/>
      <c r="E865" s="141"/>
      <c r="F865" s="141"/>
      <c r="G865" s="206"/>
      <c r="H865" s="335"/>
      <c r="I865" s="335"/>
      <c r="J865" s="620"/>
      <c r="K865" s="139"/>
      <c r="L865" s="649"/>
      <c r="M865" s="335"/>
      <c r="N865" s="620"/>
      <c r="O865" s="139"/>
      <c r="P865" s="804"/>
      <c r="Q865" s="812"/>
      <c r="R865" s="763"/>
    </row>
    <row r="866" spans="2:18" ht="15.75">
      <c r="B866" s="177">
        <f t="shared" si="82"/>
        <v>436</v>
      </c>
      <c r="C866" s="24">
        <v>4</v>
      </c>
      <c r="D866" s="134" t="s">
        <v>109</v>
      </c>
      <c r="E866" s="25"/>
      <c r="F866" s="25"/>
      <c r="G866" s="198"/>
      <c r="H866" s="371">
        <f>H867+H958+H1027+H1028+H1029+H1030</f>
        <v>944104</v>
      </c>
      <c r="I866" s="371">
        <f>I867+I958+I1027+I1028+I1029+I1030</f>
        <v>440438</v>
      </c>
      <c r="J866" s="620">
        <f t="shared" si="86"/>
        <v>46.651428232482864</v>
      </c>
      <c r="K866" s="316"/>
      <c r="L866" s="774">
        <v>0</v>
      </c>
      <c r="M866" s="337">
        <v>0</v>
      </c>
      <c r="N866" s="620"/>
      <c r="O866" s="316"/>
      <c r="P866" s="800">
        <f aca="true" t="shared" si="87" ref="P866:Q899">H866+L866</f>
        <v>944104</v>
      </c>
      <c r="Q866" s="808">
        <f t="shared" si="87"/>
        <v>440438</v>
      </c>
      <c r="R866" s="763">
        <f t="shared" si="85"/>
        <v>46.651428232482864</v>
      </c>
    </row>
    <row r="867" spans="2:18" ht="15">
      <c r="B867" s="177">
        <f t="shared" si="82"/>
        <v>437</v>
      </c>
      <c r="C867" s="153"/>
      <c r="D867" s="154"/>
      <c r="E867" s="176" t="s">
        <v>433</v>
      </c>
      <c r="F867" s="154"/>
      <c r="G867" s="206"/>
      <c r="H867" s="389">
        <f>H868+H874+H881+H887+H893+H900+H906+H914+H921+H927+H933+H939+H945+H951</f>
        <v>315710</v>
      </c>
      <c r="I867" s="389">
        <f>I868+I874+I881+I887+I893+I900+I906+I914+I921+I927+I933+I939+I945+I951</f>
        <v>148210</v>
      </c>
      <c r="J867" s="620">
        <f t="shared" si="86"/>
        <v>46.94498115359032</v>
      </c>
      <c r="K867" s="306"/>
      <c r="L867" s="852"/>
      <c r="M867" s="873"/>
      <c r="N867" s="620"/>
      <c r="O867" s="306"/>
      <c r="P867" s="824">
        <f t="shared" si="87"/>
        <v>315710</v>
      </c>
      <c r="Q867" s="838">
        <f t="shared" si="87"/>
        <v>148210</v>
      </c>
      <c r="R867" s="763">
        <f t="shared" si="85"/>
        <v>46.94498115359032</v>
      </c>
    </row>
    <row r="868" spans="2:18" ht="15">
      <c r="B868" s="177">
        <f t="shared" si="82"/>
        <v>438</v>
      </c>
      <c r="C868" s="153"/>
      <c r="D868" s="260" t="s">
        <v>4</v>
      </c>
      <c r="E868" s="181" t="s">
        <v>425</v>
      </c>
      <c r="F868" s="158" t="s">
        <v>419</v>
      </c>
      <c r="G868" s="239"/>
      <c r="H868" s="390">
        <f>H869+H870+H871</f>
        <v>14180</v>
      </c>
      <c r="I868" s="390">
        <f>I869+I870+I871</f>
        <v>8265</v>
      </c>
      <c r="J868" s="620">
        <f t="shared" si="86"/>
        <v>58.286318758815234</v>
      </c>
      <c r="K868" s="306"/>
      <c r="L868" s="854"/>
      <c r="M868" s="875"/>
      <c r="N868" s="620"/>
      <c r="O868" s="306"/>
      <c r="P868" s="826">
        <f t="shared" si="87"/>
        <v>14180</v>
      </c>
      <c r="Q868" s="840">
        <f t="shared" si="87"/>
        <v>8265</v>
      </c>
      <c r="R868" s="763">
        <f t="shared" si="85"/>
        <v>58.286318758815234</v>
      </c>
    </row>
    <row r="869" spans="2:18" ht="12.75">
      <c r="B869" s="177">
        <f t="shared" si="82"/>
        <v>439</v>
      </c>
      <c r="C869" s="153"/>
      <c r="D869" s="154"/>
      <c r="E869" s="154"/>
      <c r="F869" s="154" t="s">
        <v>214</v>
      </c>
      <c r="G869" s="206" t="s">
        <v>543</v>
      </c>
      <c r="H869" s="393">
        <f>8980+44</f>
        <v>9024</v>
      </c>
      <c r="I869" s="393">
        <v>5604</v>
      </c>
      <c r="J869" s="620">
        <f t="shared" si="86"/>
        <v>62.10106382978723</v>
      </c>
      <c r="K869" s="307"/>
      <c r="L869" s="860"/>
      <c r="M869" s="361"/>
      <c r="N869" s="620"/>
      <c r="O869" s="307"/>
      <c r="P869" s="801">
        <f t="shared" si="87"/>
        <v>9024</v>
      </c>
      <c r="Q869" s="809">
        <f t="shared" si="87"/>
        <v>5604</v>
      </c>
      <c r="R869" s="763">
        <f t="shared" si="85"/>
        <v>62.10106382978723</v>
      </c>
    </row>
    <row r="870" spans="2:18" ht="12.75">
      <c r="B870" s="177">
        <f t="shared" si="82"/>
        <v>440</v>
      </c>
      <c r="C870" s="153"/>
      <c r="D870" s="154"/>
      <c r="E870" s="154"/>
      <c r="F870" s="154" t="s">
        <v>215</v>
      </c>
      <c r="G870" s="210" t="s">
        <v>264</v>
      </c>
      <c r="H870" s="393">
        <f>3360+16</f>
        <v>3376</v>
      </c>
      <c r="I870" s="393">
        <v>2008</v>
      </c>
      <c r="J870" s="620">
        <f t="shared" si="86"/>
        <v>59.47867298578199</v>
      </c>
      <c r="K870" s="307"/>
      <c r="L870" s="860"/>
      <c r="M870" s="361"/>
      <c r="N870" s="620"/>
      <c r="O870" s="307"/>
      <c r="P870" s="801">
        <f t="shared" si="87"/>
        <v>3376</v>
      </c>
      <c r="Q870" s="809">
        <f t="shared" si="87"/>
        <v>2008</v>
      </c>
      <c r="R870" s="763">
        <f t="shared" si="85"/>
        <v>59.47867298578199</v>
      </c>
    </row>
    <row r="871" spans="2:18" ht="12.75">
      <c r="B871" s="177">
        <f t="shared" si="82"/>
        <v>441</v>
      </c>
      <c r="C871" s="137"/>
      <c r="D871" s="138"/>
      <c r="E871" s="138"/>
      <c r="F871" s="154" t="s">
        <v>221</v>
      </c>
      <c r="G871" s="206" t="s">
        <v>360</v>
      </c>
      <c r="H871" s="464">
        <f>SUM(H872:H873)</f>
        <v>1780</v>
      </c>
      <c r="I871" s="464">
        <f>SUM(I872:I873)</f>
        <v>653</v>
      </c>
      <c r="J871" s="620">
        <f t="shared" si="86"/>
        <v>36.68539325842697</v>
      </c>
      <c r="K871" s="309"/>
      <c r="L871" s="863"/>
      <c r="M871" s="402"/>
      <c r="N871" s="620"/>
      <c r="O871" s="309"/>
      <c r="P871" s="801">
        <f t="shared" si="87"/>
        <v>1780</v>
      </c>
      <c r="Q871" s="809">
        <f t="shared" si="87"/>
        <v>653</v>
      </c>
      <c r="R871" s="763">
        <f t="shared" si="85"/>
        <v>36.68539325842697</v>
      </c>
    </row>
    <row r="872" spans="2:18" ht="12.75">
      <c r="B872" s="177">
        <f t="shared" si="82"/>
        <v>442</v>
      </c>
      <c r="C872" s="137"/>
      <c r="D872" s="138"/>
      <c r="E872" s="138"/>
      <c r="F872" s="138" t="s">
        <v>203</v>
      </c>
      <c r="G872" s="199" t="s">
        <v>251</v>
      </c>
      <c r="H872" s="357">
        <v>1230</v>
      </c>
      <c r="I872" s="357">
        <v>227</v>
      </c>
      <c r="J872" s="620">
        <f t="shared" si="86"/>
        <v>18.455284552845526</v>
      </c>
      <c r="K872" s="309"/>
      <c r="L872" s="863"/>
      <c r="M872" s="402"/>
      <c r="N872" s="620"/>
      <c r="O872" s="309"/>
      <c r="P872" s="802">
        <f t="shared" si="87"/>
        <v>1230</v>
      </c>
      <c r="Q872" s="810">
        <f t="shared" si="87"/>
        <v>227</v>
      </c>
      <c r="R872" s="763">
        <f t="shared" si="85"/>
        <v>18.455284552845526</v>
      </c>
    </row>
    <row r="873" spans="2:18" ht="12.75">
      <c r="B873" s="177">
        <f t="shared" si="82"/>
        <v>443</v>
      </c>
      <c r="C873" s="137"/>
      <c r="D873" s="138"/>
      <c r="E873" s="138"/>
      <c r="F873" s="138" t="s">
        <v>219</v>
      </c>
      <c r="G873" s="199" t="s">
        <v>252</v>
      </c>
      <c r="H873" s="357">
        <v>550</v>
      </c>
      <c r="I873" s="357">
        <v>426</v>
      </c>
      <c r="J873" s="620">
        <f t="shared" si="86"/>
        <v>77.45454545454545</v>
      </c>
      <c r="K873" s="309"/>
      <c r="L873" s="863"/>
      <c r="M873" s="402"/>
      <c r="N873" s="620"/>
      <c r="O873" s="309"/>
      <c r="P873" s="802">
        <f t="shared" si="87"/>
        <v>550</v>
      </c>
      <c r="Q873" s="810">
        <f t="shared" si="87"/>
        <v>426</v>
      </c>
      <c r="R873" s="763">
        <f t="shared" si="85"/>
        <v>77.45454545454545</v>
      </c>
    </row>
    <row r="874" spans="2:18" ht="15">
      <c r="B874" s="177">
        <f t="shared" si="82"/>
        <v>444</v>
      </c>
      <c r="C874" s="137"/>
      <c r="D874" s="260" t="s">
        <v>5</v>
      </c>
      <c r="E874" s="181" t="s">
        <v>425</v>
      </c>
      <c r="F874" s="158" t="s">
        <v>420</v>
      </c>
      <c r="G874" s="239"/>
      <c r="H874" s="460">
        <f>SUM(H875:H877)</f>
        <v>20230</v>
      </c>
      <c r="I874" s="460">
        <f>I875+I876+I877+I880</f>
        <v>9335</v>
      </c>
      <c r="J874" s="620">
        <f t="shared" si="86"/>
        <v>46.14434008897676</v>
      </c>
      <c r="K874" s="306"/>
      <c r="L874" s="854"/>
      <c r="M874" s="875"/>
      <c r="N874" s="620"/>
      <c r="O874" s="306"/>
      <c r="P874" s="826">
        <f t="shared" si="87"/>
        <v>20230</v>
      </c>
      <c r="Q874" s="840">
        <f t="shared" si="87"/>
        <v>9335</v>
      </c>
      <c r="R874" s="763">
        <f t="shared" si="85"/>
        <v>46.14434008897676</v>
      </c>
    </row>
    <row r="875" spans="2:18" ht="12.75">
      <c r="B875" s="177">
        <f t="shared" si="82"/>
        <v>445</v>
      </c>
      <c r="C875" s="137"/>
      <c r="D875" s="138"/>
      <c r="E875" s="138"/>
      <c r="F875" s="154" t="s">
        <v>214</v>
      </c>
      <c r="G875" s="206" t="s">
        <v>543</v>
      </c>
      <c r="H875" s="346">
        <f>13380+67</f>
        <v>13447</v>
      </c>
      <c r="I875" s="346">
        <v>6424</v>
      </c>
      <c r="J875" s="620">
        <f t="shared" si="86"/>
        <v>47.77273741354949</v>
      </c>
      <c r="K875" s="139"/>
      <c r="L875" s="647"/>
      <c r="M875" s="339"/>
      <c r="N875" s="620"/>
      <c r="O875" s="139"/>
      <c r="P875" s="801">
        <f t="shared" si="87"/>
        <v>13447</v>
      </c>
      <c r="Q875" s="809">
        <f t="shared" si="87"/>
        <v>6424</v>
      </c>
      <c r="R875" s="763">
        <f t="shared" si="85"/>
        <v>47.77273741354949</v>
      </c>
    </row>
    <row r="876" spans="2:18" ht="12.75">
      <c r="B876" s="177">
        <f t="shared" si="82"/>
        <v>446</v>
      </c>
      <c r="C876" s="137"/>
      <c r="D876" s="138"/>
      <c r="E876" s="138"/>
      <c r="F876" s="154" t="s">
        <v>215</v>
      </c>
      <c r="G876" s="206" t="s">
        <v>264</v>
      </c>
      <c r="H876" s="346">
        <f>5010+23</f>
        <v>5033</v>
      </c>
      <c r="I876" s="346">
        <v>2242</v>
      </c>
      <c r="J876" s="620">
        <f t="shared" si="86"/>
        <v>44.54599642360421</v>
      </c>
      <c r="K876" s="139"/>
      <c r="L876" s="647"/>
      <c r="M876" s="339"/>
      <c r="N876" s="620"/>
      <c r="O876" s="139"/>
      <c r="P876" s="801">
        <f t="shared" si="87"/>
        <v>5033</v>
      </c>
      <c r="Q876" s="809">
        <f t="shared" si="87"/>
        <v>2242</v>
      </c>
      <c r="R876" s="763">
        <f t="shared" si="85"/>
        <v>44.54599642360421</v>
      </c>
    </row>
    <row r="877" spans="2:18" ht="12.75">
      <c r="B877" s="177">
        <f t="shared" si="82"/>
        <v>447</v>
      </c>
      <c r="C877" s="137"/>
      <c r="D877" s="138"/>
      <c r="E877" s="138"/>
      <c r="F877" s="154" t="s">
        <v>221</v>
      </c>
      <c r="G877" s="206" t="s">
        <v>360</v>
      </c>
      <c r="H877" s="461">
        <f>SUM(H878:H879)</f>
        <v>1750</v>
      </c>
      <c r="I877" s="461">
        <f>SUM(I878:I879)</f>
        <v>600</v>
      </c>
      <c r="J877" s="620">
        <f t="shared" si="86"/>
        <v>34.285714285714285</v>
      </c>
      <c r="K877" s="139"/>
      <c r="L877" s="647"/>
      <c r="M877" s="339"/>
      <c r="N877" s="620"/>
      <c r="O877" s="139"/>
      <c r="P877" s="801">
        <f t="shared" si="87"/>
        <v>1750</v>
      </c>
      <c r="Q877" s="809">
        <f t="shared" si="87"/>
        <v>600</v>
      </c>
      <c r="R877" s="763">
        <f t="shared" si="85"/>
        <v>34.285714285714285</v>
      </c>
    </row>
    <row r="878" spans="2:18" ht="12.75">
      <c r="B878" s="177">
        <f aca="true" t="shared" si="88" ref="B878:B941">B877+1</f>
        <v>448</v>
      </c>
      <c r="C878" s="137"/>
      <c r="D878" s="138"/>
      <c r="E878" s="138"/>
      <c r="F878" s="138" t="s">
        <v>203</v>
      </c>
      <c r="G878" s="199" t="s">
        <v>251</v>
      </c>
      <c r="H878" s="335">
        <v>1100</v>
      </c>
      <c r="I878" s="335">
        <v>80</v>
      </c>
      <c r="J878" s="620">
        <f t="shared" si="86"/>
        <v>7.2727272727272725</v>
      </c>
      <c r="K878" s="139"/>
      <c r="L878" s="647"/>
      <c r="M878" s="339"/>
      <c r="N878" s="620"/>
      <c r="O878" s="139"/>
      <c r="P878" s="802">
        <f t="shared" si="87"/>
        <v>1100</v>
      </c>
      <c r="Q878" s="810">
        <f t="shared" si="87"/>
        <v>80</v>
      </c>
      <c r="R878" s="763">
        <f t="shared" si="85"/>
        <v>7.2727272727272725</v>
      </c>
    </row>
    <row r="879" spans="2:18" ht="12.75">
      <c r="B879" s="177">
        <f t="shared" si="88"/>
        <v>449</v>
      </c>
      <c r="C879" s="137"/>
      <c r="D879" s="138"/>
      <c r="E879" s="138"/>
      <c r="F879" s="138" t="s">
        <v>219</v>
      </c>
      <c r="G879" s="199" t="s">
        <v>252</v>
      </c>
      <c r="H879" s="335">
        <v>650</v>
      </c>
      <c r="I879" s="335">
        <v>520</v>
      </c>
      <c r="J879" s="620">
        <f t="shared" si="86"/>
        <v>80</v>
      </c>
      <c r="K879" s="139"/>
      <c r="L879" s="647"/>
      <c r="M879" s="339"/>
      <c r="N879" s="620"/>
      <c r="O879" s="139"/>
      <c r="P879" s="802">
        <f t="shared" si="87"/>
        <v>650</v>
      </c>
      <c r="Q879" s="810">
        <f t="shared" si="87"/>
        <v>520</v>
      </c>
      <c r="R879" s="763">
        <f t="shared" si="85"/>
        <v>80</v>
      </c>
    </row>
    <row r="880" spans="2:18" ht="12.75">
      <c r="B880" s="177">
        <f t="shared" si="88"/>
        <v>450</v>
      </c>
      <c r="C880" s="137"/>
      <c r="D880" s="138"/>
      <c r="E880" s="175"/>
      <c r="F880" s="277" t="s">
        <v>850</v>
      </c>
      <c r="G880" s="671" t="s">
        <v>865</v>
      </c>
      <c r="H880" s="335">
        <v>0</v>
      </c>
      <c r="I880" s="530">
        <v>69</v>
      </c>
      <c r="J880" s="620"/>
      <c r="K880" s="139"/>
      <c r="L880" s="647"/>
      <c r="M880" s="339"/>
      <c r="N880" s="620"/>
      <c r="O880" s="139"/>
      <c r="P880" s="802">
        <f t="shared" si="87"/>
        <v>0</v>
      </c>
      <c r="Q880" s="810">
        <f t="shared" si="87"/>
        <v>69</v>
      </c>
      <c r="R880" s="763"/>
    </row>
    <row r="881" spans="2:18" ht="15">
      <c r="B881" s="177">
        <f t="shared" si="88"/>
        <v>451</v>
      </c>
      <c r="C881" s="137"/>
      <c r="D881" s="260" t="s">
        <v>6</v>
      </c>
      <c r="E881" s="181" t="s">
        <v>425</v>
      </c>
      <c r="F881" s="158" t="s">
        <v>421</v>
      </c>
      <c r="G881" s="239"/>
      <c r="H881" s="460">
        <f>SUM(H882:H884)</f>
        <v>12640</v>
      </c>
      <c r="I881" s="460">
        <f>SUM(I882:I884)</f>
        <v>5554</v>
      </c>
      <c r="J881" s="620">
        <f t="shared" si="86"/>
        <v>43.93987341772152</v>
      </c>
      <c r="K881" s="306"/>
      <c r="L881" s="854"/>
      <c r="M881" s="875"/>
      <c r="N881" s="620"/>
      <c r="O881" s="306"/>
      <c r="P881" s="826">
        <f t="shared" si="87"/>
        <v>12640</v>
      </c>
      <c r="Q881" s="840">
        <f t="shared" si="87"/>
        <v>5554</v>
      </c>
      <c r="R881" s="763">
        <f t="shared" si="85"/>
        <v>43.93987341772152</v>
      </c>
    </row>
    <row r="882" spans="2:18" ht="12.75">
      <c r="B882" s="177">
        <f t="shared" si="88"/>
        <v>452</v>
      </c>
      <c r="C882" s="137"/>
      <c r="D882" s="138"/>
      <c r="E882" s="138"/>
      <c r="F882" s="154" t="s">
        <v>214</v>
      </c>
      <c r="G882" s="206" t="s">
        <v>543</v>
      </c>
      <c r="H882" s="346">
        <f>7860+59</f>
        <v>7919</v>
      </c>
      <c r="I882" s="346">
        <v>3683</v>
      </c>
      <c r="J882" s="620">
        <f t="shared" si="86"/>
        <v>46.508397524940015</v>
      </c>
      <c r="K882" s="139"/>
      <c r="L882" s="647"/>
      <c r="M882" s="339"/>
      <c r="N882" s="620"/>
      <c r="O882" s="139"/>
      <c r="P882" s="801">
        <f t="shared" si="87"/>
        <v>7919</v>
      </c>
      <c r="Q882" s="809">
        <f t="shared" si="87"/>
        <v>3683</v>
      </c>
      <c r="R882" s="763">
        <f t="shared" si="85"/>
        <v>46.508397524940015</v>
      </c>
    </row>
    <row r="883" spans="2:18" ht="12.75">
      <c r="B883" s="177">
        <f t="shared" si="88"/>
        <v>453</v>
      </c>
      <c r="C883" s="137"/>
      <c r="D883" s="138"/>
      <c r="E883" s="138"/>
      <c r="F883" s="154" t="s">
        <v>215</v>
      </c>
      <c r="G883" s="206" t="s">
        <v>264</v>
      </c>
      <c r="H883" s="346">
        <f>3020+21</f>
        <v>3041</v>
      </c>
      <c r="I883" s="346">
        <v>1344</v>
      </c>
      <c r="J883" s="620">
        <f t="shared" si="86"/>
        <v>44.19598816178888</v>
      </c>
      <c r="K883" s="139"/>
      <c r="L883" s="647"/>
      <c r="M883" s="339"/>
      <c r="N883" s="620"/>
      <c r="O883" s="139"/>
      <c r="P883" s="801">
        <f t="shared" si="87"/>
        <v>3041</v>
      </c>
      <c r="Q883" s="809">
        <f t="shared" si="87"/>
        <v>1344</v>
      </c>
      <c r="R883" s="763">
        <f t="shared" si="85"/>
        <v>44.19598816178888</v>
      </c>
    </row>
    <row r="884" spans="2:18" ht="12.75">
      <c r="B884" s="177">
        <f t="shared" si="88"/>
        <v>454</v>
      </c>
      <c r="C884" s="137"/>
      <c r="D884" s="138"/>
      <c r="E884" s="138"/>
      <c r="F884" s="154" t="s">
        <v>221</v>
      </c>
      <c r="G884" s="206" t="s">
        <v>360</v>
      </c>
      <c r="H884" s="461">
        <f>SUM(H885:H886)</f>
        <v>1680</v>
      </c>
      <c r="I884" s="461">
        <f>SUM(I885:I886)</f>
        <v>527</v>
      </c>
      <c r="J884" s="620">
        <f t="shared" si="86"/>
        <v>31.36904761904762</v>
      </c>
      <c r="K884" s="139"/>
      <c r="L884" s="647"/>
      <c r="M884" s="339"/>
      <c r="N884" s="620"/>
      <c r="O884" s="139"/>
      <c r="P884" s="801">
        <f t="shared" si="87"/>
        <v>1680</v>
      </c>
      <c r="Q884" s="809">
        <f t="shared" si="87"/>
        <v>527</v>
      </c>
      <c r="R884" s="763">
        <f t="shared" si="85"/>
        <v>31.36904761904762</v>
      </c>
    </row>
    <row r="885" spans="2:18" ht="12.75">
      <c r="B885" s="177">
        <f t="shared" si="88"/>
        <v>455</v>
      </c>
      <c r="C885" s="137"/>
      <c r="D885" s="138"/>
      <c r="E885" s="138"/>
      <c r="F885" s="138" t="s">
        <v>203</v>
      </c>
      <c r="G885" s="199" t="s">
        <v>251</v>
      </c>
      <c r="H885" s="335">
        <v>1150</v>
      </c>
      <c r="I885" s="335">
        <v>89</v>
      </c>
      <c r="J885" s="620">
        <f t="shared" si="86"/>
        <v>7.739130434782608</v>
      </c>
      <c r="K885" s="139"/>
      <c r="L885" s="647"/>
      <c r="M885" s="339"/>
      <c r="N885" s="620"/>
      <c r="O885" s="139"/>
      <c r="P885" s="802">
        <f t="shared" si="87"/>
        <v>1150</v>
      </c>
      <c r="Q885" s="810">
        <f t="shared" si="87"/>
        <v>89</v>
      </c>
      <c r="R885" s="763">
        <f t="shared" si="85"/>
        <v>7.739130434782608</v>
      </c>
    </row>
    <row r="886" spans="2:18" ht="12.75">
      <c r="B886" s="177">
        <f t="shared" si="88"/>
        <v>456</v>
      </c>
      <c r="C886" s="137"/>
      <c r="D886" s="138"/>
      <c r="E886" s="138"/>
      <c r="F886" s="138" t="s">
        <v>219</v>
      </c>
      <c r="G886" s="199" t="s">
        <v>252</v>
      </c>
      <c r="H886" s="335">
        <v>530</v>
      </c>
      <c r="I886" s="335">
        <v>438</v>
      </c>
      <c r="J886" s="620">
        <f t="shared" si="86"/>
        <v>82.64150943396227</v>
      </c>
      <c r="K886" s="139"/>
      <c r="L886" s="647"/>
      <c r="M886" s="339"/>
      <c r="N886" s="620"/>
      <c r="O886" s="139"/>
      <c r="P886" s="802">
        <f t="shared" si="87"/>
        <v>530</v>
      </c>
      <c r="Q886" s="810">
        <f t="shared" si="87"/>
        <v>438</v>
      </c>
      <c r="R886" s="763">
        <f t="shared" si="85"/>
        <v>82.64150943396227</v>
      </c>
    </row>
    <row r="887" spans="2:18" ht="15">
      <c r="B887" s="177">
        <f t="shared" si="88"/>
        <v>457</v>
      </c>
      <c r="C887" s="137"/>
      <c r="D887" s="260" t="s">
        <v>7</v>
      </c>
      <c r="E887" s="181" t="s">
        <v>425</v>
      </c>
      <c r="F887" s="158" t="s">
        <v>422</v>
      </c>
      <c r="G887" s="239"/>
      <c r="H887" s="460">
        <f>SUM(H888:H890)</f>
        <v>26460</v>
      </c>
      <c r="I887" s="460">
        <f>SUM(I888:I890)</f>
        <v>12530</v>
      </c>
      <c r="J887" s="620">
        <f t="shared" si="86"/>
        <v>47.354497354497354</v>
      </c>
      <c r="K887" s="306"/>
      <c r="L887" s="854"/>
      <c r="M887" s="875"/>
      <c r="N887" s="620"/>
      <c r="O887" s="306"/>
      <c r="P887" s="826">
        <f t="shared" si="87"/>
        <v>26460</v>
      </c>
      <c r="Q887" s="840">
        <f t="shared" si="87"/>
        <v>12530</v>
      </c>
      <c r="R887" s="763">
        <f t="shared" si="85"/>
        <v>47.354497354497354</v>
      </c>
    </row>
    <row r="888" spans="2:18" ht="12.75">
      <c r="B888" s="177">
        <f t="shared" si="88"/>
        <v>458</v>
      </c>
      <c r="C888" s="137"/>
      <c r="D888" s="138"/>
      <c r="E888" s="138"/>
      <c r="F888" s="154" t="s">
        <v>214</v>
      </c>
      <c r="G888" s="206" t="s">
        <v>543</v>
      </c>
      <c r="H888" s="346">
        <f>17700+185</f>
        <v>17885</v>
      </c>
      <c r="I888" s="346">
        <v>8798</v>
      </c>
      <c r="J888" s="620">
        <f t="shared" si="86"/>
        <v>49.19206038579815</v>
      </c>
      <c r="K888" s="139"/>
      <c r="L888" s="647"/>
      <c r="M888" s="339"/>
      <c r="N888" s="620"/>
      <c r="O888" s="139"/>
      <c r="P888" s="801">
        <f t="shared" si="87"/>
        <v>17885</v>
      </c>
      <c r="Q888" s="809">
        <f t="shared" si="87"/>
        <v>8798</v>
      </c>
      <c r="R888" s="763">
        <f t="shared" si="85"/>
        <v>49.19206038579815</v>
      </c>
    </row>
    <row r="889" spans="2:18" ht="12.75">
      <c r="B889" s="177">
        <f t="shared" si="88"/>
        <v>459</v>
      </c>
      <c r="C889" s="137"/>
      <c r="D889" s="138"/>
      <c r="E889" s="138"/>
      <c r="F889" s="154" t="s">
        <v>215</v>
      </c>
      <c r="G889" s="206" t="s">
        <v>264</v>
      </c>
      <c r="H889" s="346">
        <f>6600+65</f>
        <v>6665</v>
      </c>
      <c r="I889" s="346">
        <v>3144</v>
      </c>
      <c r="J889" s="620">
        <f t="shared" si="86"/>
        <v>47.171792948237055</v>
      </c>
      <c r="K889" s="139"/>
      <c r="L889" s="647"/>
      <c r="M889" s="339"/>
      <c r="N889" s="620"/>
      <c r="O889" s="139"/>
      <c r="P889" s="801">
        <f t="shared" si="87"/>
        <v>6665</v>
      </c>
      <c r="Q889" s="809">
        <f t="shared" si="87"/>
        <v>3144</v>
      </c>
      <c r="R889" s="763">
        <f t="shared" si="85"/>
        <v>47.171792948237055</v>
      </c>
    </row>
    <row r="890" spans="2:18" ht="12.75">
      <c r="B890" s="177">
        <f t="shared" si="88"/>
        <v>460</v>
      </c>
      <c r="C890" s="137"/>
      <c r="D890" s="138"/>
      <c r="E890" s="138"/>
      <c r="F890" s="154" t="s">
        <v>221</v>
      </c>
      <c r="G890" s="206" t="s">
        <v>360</v>
      </c>
      <c r="H890" s="461">
        <f>SUM(H891:H892)</f>
        <v>1910</v>
      </c>
      <c r="I890" s="461">
        <f>SUM(I891:I892)</f>
        <v>588</v>
      </c>
      <c r="J890" s="620">
        <f t="shared" si="86"/>
        <v>30.78534031413613</v>
      </c>
      <c r="K890" s="139"/>
      <c r="L890" s="647"/>
      <c r="M890" s="339"/>
      <c r="N890" s="620"/>
      <c r="O890" s="139"/>
      <c r="P890" s="801">
        <f t="shared" si="87"/>
        <v>1910</v>
      </c>
      <c r="Q890" s="809">
        <f t="shared" si="87"/>
        <v>588</v>
      </c>
      <c r="R890" s="763">
        <f t="shared" si="85"/>
        <v>30.78534031413613</v>
      </c>
    </row>
    <row r="891" spans="2:18" ht="12.75">
      <c r="B891" s="177">
        <f t="shared" si="88"/>
        <v>461</v>
      </c>
      <c r="C891" s="137"/>
      <c r="D891" s="138"/>
      <c r="E891" s="138"/>
      <c r="F891" s="138" t="s">
        <v>203</v>
      </c>
      <c r="G891" s="199" t="s">
        <v>251</v>
      </c>
      <c r="H891" s="335">
        <v>1210</v>
      </c>
      <c r="I891" s="335">
        <v>85</v>
      </c>
      <c r="J891" s="620">
        <f t="shared" si="86"/>
        <v>7.024793388429752</v>
      </c>
      <c r="K891" s="139"/>
      <c r="L891" s="647"/>
      <c r="M891" s="339"/>
      <c r="N891" s="620"/>
      <c r="O891" s="139"/>
      <c r="P891" s="802">
        <f t="shared" si="87"/>
        <v>1210</v>
      </c>
      <c r="Q891" s="810">
        <f t="shared" si="87"/>
        <v>85</v>
      </c>
      <c r="R891" s="763">
        <f t="shared" si="85"/>
        <v>7.024793388429752</v>
      </c>
    </row>
    <row r="892" spans="2:18" ht="12.75">
      <c r="B892" s="177">
        <f t="shared" si="88"/>
        <v>462</v>
      </c>
      <c r="C892" s="137"/>
      <c r="D892" s="138"/>
      <c r="E892" s="138"/>
      <c r="F892" s="138" t="s">
        <v>219</v>
      </c>
      <c r="G892" s="199" t="s">
        <v>252</v>
      </c>
      <c r="H892" s="335">
        <v>700</v>
      </c>
      <c r="I892" s="335">
        <v>503</v>
      </c>
      <c r="J892" s="620">
        <f t="shared" si="86"/>
        <v>71.85714285714285</v>
      </c>
      <c r="K892" s="139"/>
      <c r="L892" s="647"/>
      <c r="M892" s="339"/>
      <c r="N892" s="620"/>
      <c r="O892" s="139"/>
      <c r="P892" s="802">
        <f t="shared" si="87"/>
        <v>700</v>
      </c>
      <c r="Q892" s="810">
        <f t="shared" si="87"/>
        <v>503</v>
      </c>
      <c r="R892" s="763">
        <f t="shared" si="85"/>
        <v>71.85714285714285</v>
      </c>
    </row>
    <row r="893" spans="2:18" ht="15">
      <c r="B893" s="177">
        <f t="shared" si="88"/>
        <v>463</v>
      </c>
      <c r="C893" s="137"/>
      <c r="D893" s="260" t="s">
        <v>8</v>
      </c>
      <c r="E893" s="181" t="s">
        <v>425</v>
      </c>
      <c r="F893" s="158" t="s">
        <v>423</v>
      </c>
      <c r="G893" s="239"/>
      <c r="H893" s="460">
        <f>SUM(H894:H896)</f>
        <v>21070</v>
      </c>
      <c r="I893" s="460">
        <f>I894+I895+I896+I899</f>
        <v>10756</v>
      </c>
      <c r="J893" s="620">
        <f t="shared" si="86"/>
        <v>51.04888467014713</v>
      </c>
      <c r="K893" s="306"/>
      <c r="L893" s="854"/>
      <c r="M893" s="875"/>
      <c r="N893" s="620"/>
      <c r="O893" s="306"/>
      <c r="P893" s="826">
        <f t="shared" si="87"/>
        <v>21070</v>
      </c>
      <c r="Q893" s="840">
        <f t="shared" si="87"/>
        <v>10756</v>
      </c>
      <c r="R893" s="763">
        <f t="shared" si="85"/>
        <v>51.04888467014713</v>
      </c>
    </row>
    <row r="894" spans="2:18" ht="12.75">
      <c r="B894" s="177">
        <f t="shared" si="88"/>
        <v>464</v>
      </c>
      <c r="C894" s="137"/>
      <c r="D894" s="138"/>
      <c r="E894" s="138"/>
      <c r="F894" s="154" t="s">
        <v>214</v>
      </c>
      <c r="G894" s="206" t="s">
        <v>543</v>
      </c>
      <c r="H894" s="346">
        <f>13670+185</f>
        <v>13855</v>
      </c>
      <c r="I894" s="346">
        <v>7412</v>
      </c>
      <c r="J894" s="620">
        <f t="shared" si="86"/>
        <v>53.49693251533743</v>
      </c>
      <c r="K894" s="139"/>
      <c r="L894" s="647"/>
      <c r="M894" s="339"/>
      <c r="N894" s="620"/>
      <c r="O894" s="139"/>
      <c r="P894" s="801">
        <f t="shared" si="87"/>
        <v>13855</v>
      </c>
      <c r="Q894" s="809">
        <f t="shared" si="87"/>
        <v>7412</v>
      </c>
      <c r="R894" s="763">
        <f t="shared" si="85"/>
        <v>53.49693251533743</v>
      </c>
    </row>
    <row r="895" spans="2:18" ht="12.75">
      <c r="B895" s="177">
        <f t="shared" si="88"/>
        <v>465</v>
      </c>
      <c r="C895" s="137"/>
      <c r="D895" s="138"/>
      <c r="E895" s="138"/>
      <c r="F895" s="154" t="s">
        <v>215</v>
      </c>
      <c r="G895" s="206" t="s">
        <v>264</v>
      </c>
      <c r="H895" s="346">
        <f>5180+65</f>
        <v>5245</v>
      </c>
      <c r="I895" s="346">
        <v>2655</v>
      </c>
      <c r="J895" s="620">
        <f t="shared" si="86"/>
        <v>50.619637750238326</v>
      </c>
      <c r="K895" s="139"/>
      <c r="L895" s="647"/>
      <c r="M895" s="339"/>
      <c r="N895" s="620"/>
      <c r="O895" s="139"/>
      <c r="P895" s="801">
        <f t="shared" si="87"/>
        <v>5245</v>
      </c>
      <c r="Q895" s="809">
        <f t="shared" si="87"/>
        <v>2655</v>
      </c>
      <c r="R895" s="763">
        <f t="shared" si="85"/>
        <v>50.619637750238326</v>
      </c>
    </row>
    <row r="896" spans="2:18" ht="12.75">
      <c r="B896" s="177">
        <f t="shared" si="88"/>
        <v>466</v>
      </c>
      <c r="C896" s="137"/>
      <c r="D896" s="138"/>
      <c r="E896" s="138"/>
      <c r="F896" s="154" t="s">
        <v>221</v>
      </c>
      <c r="G896" s="206" t="s">
        <v>360</v>
      </c>
      <c r="H896" s="461">
        <f>SUM(H897:H898)</f>
        <v>1970</v>
      </c>
      <c r="I896" s="461">
        <f>SUM(I897:I898)</f>
        <v>540</v>
      </c>
      <c r="J896" s="620">
        <f t="shared" si="86"/>
        <v>27.411167512690355</v>
      </c>
      <c r="K896" s="139"/>
      <c r="L896" s="647"/>
      <c r="M896" s="339"/>
      <c r="N896" s="620"/>
      <c r="O896" s="139"/>
      <c r="P896" s="801">
        <f t="shared" si="87"/>
        <v>1970</v>
      </c>
      <c r="Q896" s="809">
        <f t="shared" si="87"/>
        <v>540</v>
      </c>
      <c r="R896" s="763">
        <f t="shared" si="85"/>
        <v>27.411167512690355</v>
      </c>
    </row>
    <row r="897" spans="2:18" ht="12.75">
      <c r="B897" s="177">
        <f t="shared" si="88"/>
        <v>467</v>
      </c>
      <c r="C897" s="137"/>
      <c r="D897" s="138"/>
      <c r="E897" s="138"/>
      <c r="F897" s="138" t="s">
        <v>203</v>
      </c>
      <c r="G897" s="199" t="s">
        <v>251</v>
      </c>
      <c r="H897" s="335">
        <v>1250</v>
      </c>
      <c r="I897" s="335">
        <v>112</v>
      </c>
      <c r="J897" s="620">
        <f t="shared" si="86"/>
        <v>8.959999999999999</v>
      </c>
      <c r="K897" s="139"/>
      <c r="L897" s="647"/>
      <c r="M897" s="339"/>
      <c r="N897" s="620"/>
      <c r="O897" s="139"/>
      <c r="P897" s="804">
        <f t="shared" si="87"/>
        <v>1250</v>
      </c>
      <c r="Q897" s="812">
        <f t="shared" si="87"/>
        <v>112</v>
      </c>
      <c r="R897" s="763">
        <f t="shared" si="85"/>
        <v>8.959999999999999</v>
      </c>
    </row>
    <row r="898" spans="2:18" ht="12.75">
      <c r="B898" s="177">
        <f t="shared" si="88"/>
        <v>468</v>
      </c>
      <c r="C898" s="137"/>
      <c r="D898" s="138"/>
      <c r="E898" s="138"/>
      <c r="F898" s="138" t="s">
        <v>219</v>
      </c>
      <c r="G898" s="199" t="s">
        <v>252</v>
      </c>
      <c r="H898" s="341">
        <v>720</v>
      </c>
      <c r="I898" s="341">
        <v>428</v>
      </c>
      <c r="J898" s="620">
        <f t="shared" si="86"/>
        <v>59.44444444444444</v>
      </c>
      <c r="K898" s="187"/>
      <c r="L898" s="649"/>
      <c r="M898" s="335"/>
      <c r="N898" s="620"/>
      <c r="O898" s="139"/>
      <c r="P898" s="804">
        <f t="shared" si="87"/>
        <v>720</v>
      </c>
      <c r="Q898" s="812">
        <f t="shared" si="87"/>
        <v>428</v>
      </c>
      <c r="R898" s="763">
        <f t="shared" si="85"/>
        <v>59.44444444444444</v>
      </c>
    </row>
    <row r="899" spans="2:18" ht="12.75">
      <c r="B899" s="177">
        <f t="shared" si="88"/>
        <v>469</v>
      </c>
      <c r="C899" s="137"/>
      <c r="D899" s="138"/>
      <c r="E899" s="175"/>
      <c r="F899" s="277" t="s">
        <v>850</v>
      </c>
      <c r="G899" s="671" t="s">
        <v>865</v>
      </c>
      <c r="H899" s="335">
        <v>0</v>
      </c>
      <c r="I899" s="530">
        <v>149</v>
      </c>
      <c r="J899" s="620"/>
      <c r="K899" s="139"/>
      <c r="L899" s="857"/>
      <c r="M899" s="437"/>
      <c r="N899" s="620"/>
      <c r="O899" s="139"/>
      <c r="P899" s="830">
        <f t="shared" si="87"/>
        <v>0</v>
      </c>
      <c r="Q899" s="844">
        <f t="shared" si="87"/>
        <v>149</v>
      </c>
      <c r="R899" s="763"/>
    </row>
    <row r="900" spans="2:18" ht="15">
      <c r="B900" s="177">
        <f t="shared" si="88"/>
        <v>470</v>
      </c>
      <c r="C900" s="137"/>
      <c r="D900" s="260" t="s">
        <v>170</v>
      </c>
      <c r="E900" s="181" t="s">
        <v>425</v>
      </c>
      <c r="F900" s="158" t="s">
        <v>424</v>
      </c>
      <c r="G900" s="239"/>
      <c r="H900" s="460">
        <f>SUM(H901:H903)</f>
        <v>32870</v>
      </c>
      <c r="I900" s="460">
        <f>SUM(I901:I903)</f>
        <v>15617</v>
      </c>
      <c r="J900" s="620">
        <f t="shared" si="86"/>
        <v>47.511408579251594</v>
      </c>
      <c r="K900" s="306"/>
      <c r="L900" s="872"/>
      <c r="M900" s="391"/>
      <c r="N900" s="620"/>
      <c r="O900" s="306"/>
      <c r="P900" s="826">
        <f aca="true" t="shared" si="89" ref="P900:Q934">H900+L900</f>
        <v>32870</v>
      </c>
      <c r="Q900" s="840">
        <f t="shared" si="89"/>
        <v>15617</v>
      </c>
      <c r="R900" s="763">
        <f t="shared" si="85"/>
        <v>47.511408579251594</v>
      </c>
    </row>
    <row r="901" spans="2:18" ht="12.75">
      <c r="B901" s="177">
        <f t="shared" si="88"/>
        <v>471</v>
      </c>
      <c r="C901" s="137"/>
      <c r="D901" s="138"/>
      <c r="E901" s="138"/>
      <c r="F901" s="154" t="s">
        <v>214</v>
      </c>
      <c r="G901" s="206" t="s">
        <v>543</v>
      </c>
      <c r="H901" s="346">
        <f>22200+207</f>
        <v>22407</v>
      </c>
      <c r="I901" s="346">
        <v>10832</v>
      </c>
      <c r="J901" s="620">
        <f t="shared" si="86"/>
        <v>48.34203597090195</v>
      </c>
      <c r="K901" s="139"/>
      <c r="L901" s="647"/>
      <c r="M901" s="339"/>
      <c r="N901" s="620"/>
      <c r="O901" s="139"/>
      <c r="P901" s="801">
        <f t="shared" si="89"/>
        <v>22407</v>
      </c>
      <c r="Q901" s="809">
        <f t="shared" si="89"/>
        <v>10832</v>
      </c>
      <c r="R901" s="763">
        <f t="shared" si="85"/>
        <v>48.34203597090195</v>
      </c>
    </row>
    <row r="902" spans="2:18" ht="12.75">
      <c r="B902" s="177">
        <f t="shared" si="88"/>
        <v>472</v>
      </c>
      <c r="C902" s="137"/>
      <c r="D902" s="138"/>
      <c r="E902" s="138"/>
      <c r="F902" s="154" t="s">
        <v>215</v>
      </c>
      <c r="G902" s="206" t="s">
        <v>264</v>
      </c>
      <c r="H902" s="346">
        <f>8340+73</f>
        <v>8413</v>
      </c>
      <c r="I902" s="346">
        <v>3970</v>
      </c>
      <c r="J902" s="620">
        <f t="shared" si="86"/>
        <v>47.18887436110781</v>
      </c>
      <c r="K902" s="139"/>
      <c r="L902" s="647"/>
      <c r="M902" s="339"/>
      <c r="N902" s="620"/>
      <c r="O902" s="139"/>
      <c r="P902" s="801">
        <f t="shared" si="89"/>
        <v>8413</v>
      </c>
      <c r="Q902" s="809">
        <f t="shared" si="89"/>
        <v>3970</v>
      </c>
      <c r="R902" s="763">
        <f t="shared" si="85"/>
        <v>47.18887436110781</v>
      </c>
    </row>
    <row r="903" spans="2:18" ht="12.75">
      <c r="B903" s="177">
        <f t="shared" si="88"/>
        <v>473</v>
      </c>
      <c r="C903" s="137"/>
      <c r="D903" s="138"/>
      <c r="E903" s="138"/>
      <c r="F903" s="154" t="s">
        <v>221</v>
      </c>
      <c r="G903" s="206" t="s">
        <v>360</v>
      </c>
      <c r="H903" s="461">
        <f>SUM(H904:H905)</f>
        <v>2050</v>
      </c>
      <c r="I903" s="461">
        <f>SUM(I904:I905)</f>
        <v>815</v>
      </c>
      <c r="J903" s="620">
        <f t="shared" si="86"/>
        <v>39.75609756097561</v>
      </c>
      <c r="K903" s="139"/>
      <c r="L903" s="647"/>
      <c r="M903" s="339"/>
      <c r="N903" s="620"/>
      <c r="O903" s="139"/>
      <c r="P903" s="801">
        <f t="shared" si="89"/>
        <v>2050</v>
      </c>
      <c r="Q903" s="809">
        <f t="shared" si="89"/>
        <v>815</v>
      </c>
      <c r="R903" s="763">
        <f t="shared" si="85"/>
        <v>39.75609756097561</v>
      </c>
    </row>
    <row r="904" spans="2:18" ht="12.75">
      <c r="B904" s="177">
        <f t="shared" si="88"/>
        <v>474</v>
      </c>
      <c r="C904" s="137"/>
      <c r="D904" s="138"/>
      <c r="E904" s="138"/>
      <c r="F904" s="138" t="s">
        <v>203</v>
      </c>
      <c r="G904" s="199" t="s">
        <v>251</v>
      </c>
      <c r="H904" s="335">
        <v>1250</v>
      </c>
      <c r="I904" s="335">
        <v>197</v>
      </c>
      <c r="J904" s="620">
        <f t="shared" si="86"/>
        <v>15.76</v>
      </c>
      <c r="K904" s="139"/>
      <c r="L904" s="647"/>
      <c r="M904" s="339"/>
      <c r="N904" s="620"/>
      <c r="O904" s="139"/>
      <c r="P904" s="802">
        <f t="shared" si="89"/>
        <v>1250</v>
      </c>
      <c r="Q904" s="810">
        <f t="shared" si="89"/>
        <v>197</v>
      </c>
      <c r="R904" s="763">
        <f t="shared" si="85"/>
        <v>15.76</v>
      </c>
    </row>
    <row r="905" spans="2:18" ht="12.75">
      <c r="B905" s="177">
        <f t="shared" si="88"/>
        <v>475</v>
      </c>
      <c r="C905" s="137"/>
      <c r="D905" s="138"/>
      <c r="E905" s="138"/>
      <c r="F905" s="138" t="s">
        <v>219</v>
      </c>
      <c r="G905" s="199" t="s">
        <v>252</v>
      </c>
      <c r="H905" s="335">
        <v>800</v>
      </c>
      <c r="I905" s="335">
        <v>618</v>
      </c>
      <c r="J905" s="620">
        <f t="shared" si="86"/>
        <v>77.25</v>
      </c>
      <c r="K905" s="139"/>
      <c r="L905" s="647"/>
      <c r="M905" s="339"/>
      <c r="N905" s="620"/>
      <c r="O905" s="139"/>
      <c r="P905" s="802">
        <f t="shared" si="89"/>
        <v>800</v>
      </c>
      <c r="Q905" s="810">
        <f t="shared" si="89"/>
        <v>618</v>
      </c>
      <c r="R905" s="763">
        <f t="shared" si="85"/>
        <v>77.25</v>
      </c>
    </row>
    <row r="906" spans="2:18" ht="15">
      <c r="B906" s="177">
        <f t="shared" si="88"/>
        <v>476</v>
      </c>
      <c r="C906" s="153"/>
      <c r="D906" s="260" t="s">
        <v>174</v>
      </c>
      <c r="E906" s="181" t="s">
        <v>425</v>
      </c>
      <c r="F906" s="158" t="s">
        <v>426</v>
      </c>
      <c r="G906" s="239"/>
      <c r="H906" s="460">
        <f>SUM(H907:H909)</f>
        <v>35160</v>
      </c>
      <c r="I906" s="460">
        <f>SUM(I907:I909)</f>
        <v>18600</v>
      </c>
      <c r="J906" s="620">
        <f t="shared" si="86"/>
        <v>52.901023890784984</v>
      </c>
      <c r="K906" s="306"/>
      <c r="L906" s="854"/>
      <c r="M906" s="875"/>
      <c r="N906" s="620"/>
      <c r="O906" s="306"/>
      <c r="P906" s="826">
        <f t="shared" si="89"/>
        <v>35160</v>
      </c>
      <c r="Q906" s="840">
        <f t="shared" si="89"/>
        <v>18600</v>
      </c>
      <c r="R906" s="763">
        <f t="shared" si="85"/>
        <v>52.901023890784984</v>
      </c>
    </row>
    <row r="907" spans="2:18" ht="12.75">
      <c r="B907" s="177">
        <f t="shared" si="88"/>
        <v>477</v>
      </c>
      <c r="C907" s="153"/>
      <c r="D907" s="154"/>
      <c r="E907" s="138"/>
      <c r="F907" s="154" t="s">
        <v>214</v>
      </c>
      <c r="G907" s="206" t="s">
        <v>543</v>
      </c>
      <c r="H907" s="346">
        <f>23160+111</f>
        <v>23271</v>
      </c>
      <c r="I907" s="346">
        <v>11787</v>
      </c>
      <c r="J907" s="620">
        <f t="shared" si="86"/>
        <v>50.65102488075287</v>
      </c>
      <c r="K907" s="156"/>
      <c r="L907" s="645"/>
      <c r="M907" s="354"/>
      <c r="N907" s="620"/>
      <c r="O907" s="156"/>
      <c r="P907" s="801">
        <f t="shared" si="89"/>
        <v>23271</v>
      </c>
      <c r="Q907" s="809">
        <f t="shared" si="89"/>
        <v>11787</v>
      </c>
      <c r="R907" s="763">
        <f t="shared" si="85"/>
        <v>50.65102488075287</v>
      </c>
    </row>
    <row r="908" spans="2:18" ht="12.75">
      <c r="B908" s="177">
        <f t="shared" si="88"/>
        <v>478</v>
      </c>
      <c r="C908" s="153"/>
      <c r="D908" s="154"/>
      <c r="E908" s="138"/>
      <c r="F908" s="154" t="s">
        <v>215</v>
      </c>
      <c r="G908" s="206" t="s">
        <v>264</v>
      </c>
      <c r="H908" s="346">
        <f>8780+39</f>
        <v>8819</v>
      </c>
      <c r="I908" s="346">
        <v>4737</v>
      </c>
      <c r="J908" s="620">
        <f t="shared" si="86"/>
        <v>53.71357296745663</v>
      </c>
      <c r="K908" s="156"/>
      <c r="L908" s="645"/>
      <c r="M908" s="354"/>
      <c r="N908" s="620"/>
      <c r="O908" s="156"/>
      <c r="P908" s="801">
        <f t="shared" si="89"/>
        <v>8819</v>
      </c>
      <c r="Q908" s="809">
        <f t="shared" si="89"/>
        <v>4737</v>
      </c>
      <c r="R908" s="763">
        <f t="shared" si="85"/>
        <v>53.71357296745663</v>
      </c>
    </row>
    <row r="909" spans="2:18" ht="12.75">
      <c r="B909" s="177">
        <f t="shared" si="88"/>
        <v>479</v>
      </c>
      <c r="C909" s="153"/>
      <c r="D909" s="154"/>
      <c r="E909" s="138"/>
      <c r="F909" s="154" t="s">
        <v>221</v>
      </c>
      <c r="G909" s="206" t="s">
        <v>360</v>
      </c>
      <c r="H909" s="461">
        <f>SUM(H912:H913)</f>
        <v>3070</v>
      </c>
      <c r="I909" s="461">
        <f>I910+I911+I912+I913</f>
        <v>2076</v>
      </c>
      <c r="J909" s="620">
        <f t="shared" si="86"/>
        <v>67.62214983713355</v>
      </c>
      <c r="K909" s="156"/>
      <c r="L909" s="645"/>
      <c r="M909" s="354"/>
      <c r="N909" s="620"/>
      <c r="O909" s="156"/>
      <c r="P909" s="801">
        <f t="shared" si="89"/>
        <v>3070</v>
      </c>
      <c r="Q909" s="809">
        <f t="shared" si="89"/>
        <v>2076</v>
      </c>
      <c r="R909" s="763">
        <f t="shared" si="85"/>
        <v>67.62214983713355</v>
      </c>
    </row>
    <row r="910" spans="2:18" ht="12.75">
      <c r="B910" s="177">
        <f t="shared" si="88"/>
        <v>480</v>
      </c>
      <c r="C910" s="153"/>
      <c r="D910" s="154"/>
      <c r="E910" s="138"/>
      <c r="F910" s="138" t="s">
        <v>216</v>
      </c>
      <c r="G910" s="199" t="s">
        <v>867</v>
      </c>
      <c r="H910" s="335">
        <v>0</v>
      </c>
      <c r="I910" s="356">
        <v>23</v>
      </c>
      <c r="J910" s="620"/>
      <c r="K910" s="156"/>
      <c r="L910" s="645"/>
      <c r="M910" s="354"/>
      <c r="N910" s="620"/>
      <c r="O910" s="156"/>
      <c r="P910" s="802">
        <f t="shared" si="89"/>
        <v>0</v>
      </c>
      <c r="Q910" s="810">
        <f t="shared" si="89"/>
        <v>23</v>
      </c>
      <c r="R910" s="763"/>
    </row>
    <row r="911" spans="2:18" ht="12.75">
      <c r="B911" s="177">
        <f t="shared" si="88"/>
        <v>481</v>
      </c>
      <c r="C911" s="153"/>
      <c r="D911" s="154"/>
      <c r="E911" s="138"/>
      <c r="F911" s="138" t="s">
        <v>202</v>
      </c>
      <c r="G911" s="199" t="s">
        <v>250</v>
      </c>
      <c r="H911" s="335">
        <v>0</v>
      </c>
      <c r="I911" s="356">
        <v>367</v>
      </c>
      <c r="J911" s="620"/>
      <c r="K911" s="156"/>
      <c r="L911" s="645"/>
      <c r="M911" s="354"/>
      <c r="N911" s="620"/>
      <c r="O911" s="156"/>
      <c r="P911" s="802">
        <f t="shared" si="89"/>
        <v>0</v>
      </c>
      <c r="Q911" s="810">
        <f t="shared" si="89"/>
        <v>367</v>
      </c>
      <c r="R911" s="763"/>
    </row>
    <row r="912" spans="2:18" ht="12.75">
      <c r="B912" s="177">
        <f t="shared" si="88"/>
        <v>482</v>
      </c>
      <c r="C912" s="153"/>
      <c r="D912" s="154"/>
      <c r="E912" s="138"/>
      <c r="F912" s="138" t="s">
        <v>203</v>
      </c>
      <c r="G912" s="199" t="s">
        <v>251</v>
      </c>
      <c r="H912" s="335">
        <v>1300</v>
      </c>
      <c r="I912" s="335">
        <v>243</v>
      </c>
      <c r="J912" s="620">
        <f t="shared" si="86"/>
        <v>18.69230769230769</v>
      </c>
      <c r="K912" s="156"/>
      <c r="L912" s="645"/>
      <c r="M912" s="354"/>
      <c r="N912" s="620"/>
      <c r="O912" s="156"/>
      <c r="P912" s="802">
        <f t="shared" si="89"/>
        <v>1300</v>
      </c>
      <c r="Q912" s="810">
        <f t="shared" si="89"/>
        <v>243</v>
      </c>
      <c r="R912" s="763">
        <f t="shared" si="85"/>
        <v>18.69230769230769</v>
      </c>
    </row>
    <row r="913" spans="2:18" ht="12.75">
      <c r="B913" s="177">
        <f t="shared" si="88"/>
        <v>483</v>
      </c>
      <c r="C913" s="153"/>
      <c r="D913" s="154"/>
      <c r="E913" s="138"/>
      <c r="F913" s="138" t="s">
        <v>219</v>
      </c>
      <c r="G913" s="199" t="s">
        <v>252</v>
      </c>
      <c r="H913" s="335">
        <f>820+950</f>
        <v>1770</v>
      </c>
      <c r="I913" s="335">
        <v>1443</v>
      </c>
      <c r="J913" s="620">
        <f t="shared" si="86"/>
        <v>81.52542372881356</v>
      </c>
      <c r="K913" s="156"/>
      <c r="L913" s="645"/>
      <c r="M913" s="354"/>
      <c r="N913" s="620"/>
      <c r="O913" s="156"/>
      <c r="P913" s="802">
        <f t="shared" si="89"/>
        <v>1770</v>
      </c>
      <c r="Q913" s="810">
        <f t="shared" si="89"/>
        <v>1443</v>
      </c>
      <c r="R913" s="763">
        <f t="shared" si="85"/>
        <v>81.52542372881356</v>
      </c>
    </row>
    <row r="914" spans="2:18" ht="15">
      <c r="B914" s="177">
        <f t="shared" si="88"/>
        <v>484</v>
      </c>
      <c r="C914" s="153"/>
      <c r="D914" s="260" t="s">
        <v>367</v>
      </c>
      <c r="E914" s="181" t="s">
        <v>425</v>
      </c>
      <c r="F914" s="158" t="s">
        <v>427</v>
      </c>
      <c r="G914" s="239"/>
      <c r="H914" s="460">
        <f>SUM(H915:H917)</f>
        <v>30750</v>
      </c>
      <c r="I914" s="460">
        <f>SUM(I915:I917)</f>
        <v>15417</v>
      </c>
      <c r="J914" s="620">
        <f t="shared" si="86"/>
        <v>50.13658536585366</v>
      </c>
      <c r="K914" s="306"/>
      <c r="L914" s="854"/>
      <c r="M914" s="875"/>
      <c r="N914" s="620"/>
      <c r="O914" s="306"/>
      <c r="P914" s="826">
        <f t="shared" si="89"/>
        <v>30750</v>
      </c>
      <c r="Q914" s="840">
        <f t="shared" si="89"/>
        <v>15417</v>
      </c>
      <c r="R914" s="763">
        <f t="shared" si="85"/>
        <v>50.13658536585366</v>
      </c>
    </row>
    <row r="915" spans="2:18" ht="12.75">
      <c r="B915" s="177">
        <f t="shared" si="88"/>
        <v>485</v>
      </c>
      <c r="C915" s="153"/>
      <c r="D915" s="154"/>
      <c r="E915" s="138"/>
      <c r="F915" s="154" t="s">
        <v>214</v>
      </c>
      <c r="G915" s="206" t="s">
        <v>543</v>
      </c>
      <c r="H915" s="346">
        <f>20970+96</f>
        <v>21066</v>
      </c>
      <c r="I915" s="346">
        <v>10957</v>
      </c>
      <c r="J915" s="620">
        <f t="shared" si="86"/>
        <v>52.0127219215798</v>
      </c>
      <c r="K915" s="156"/>
      <c r="L915" s="645"/>
      <c r="M915" s="354"/>
      <c r="N915" s="620"/>
      <c r="O915" s="156"/>
      <c r="P915" s="801">
        <f t="shared" si="89"/>
        <v>21066</v>
      </c>
      <c r="Q915" s="809">
        <f t="shared" si="89"/>
        <v>10957</v>
      </c>
      <c r="R915" s="763">
        <f t="shared" si="85"/>
        <v>52.0127219215798</v>
      </c>
    </row>
    <row r="916" spans="2:18" ht="12.75">
      <c r="B916" s="177">
        <f t="shared" si="88"/>
        <v>486</v>
      </c>
      <c r="C916" s="153"/>
      <c r="D916" s="154"/>
      <c r="E916" s="138"/>
      <c r="F916" s="154" t="s">
        <v>215</v>
      </c>
      <c r="G916" s="206" t="s">
        <v>264</v>
      </c>
      <c r="H916" s="346">
        <f>7600+34</f>
        <v>7634</v>
      </c>
      <c r="I916" s="346">
        <v>3715</v>
      </c>
      <c r="J916" s="620">
        <f t="shared" si="86"/>
        <v>48.663872150903856</v>
      </c>
      <c r="K916" s="156"/>
      <c r="L916" s="645"/>
      <c r="M916" s="354"/>
      <c r="N916" s="620"/>
      <c r="O916" s="156"/>
      <c r="P916" s="801">
        <f t="shared" si="89"/>
        <v>7634</v>
      </c>
      <c r="Q916" s="809">
        <f t="shared" si="89"/>
        <v>3715</v>
      </c>
      <c r="R916" s="763">
        <f t="shared" si="85"/>
        <v>48.663872150903856</v>
      </c>
    </row>
    <row r="917" spans="2:18" ht="12.75">
      <c r="B917" s="177">
        <f t="shared" si="88"/>
        <v>487</v>
      </c>
      <c r="C917" s="153"/>
      <c r="D917" s="154"/>
      <c r="E917" s="138"/>
      <c r="F917" s="154" t="s">
        <v>221</v>
      </c>
      <c r="G917" s="206" t="s">
        <v>360</v>
      </c>
      <c r="H917" s="461">
        <f>SUM(H919:H920)</f>
        <v>2050</v>
      </c>
      <c r="I917" s="461">
        <f>SUM(I918:I920)</f>
        <v>745</v>
      </c>
      <c r="J917" s="620">
        <f t="shared" si="86"/>
        <v>36.34146341463415</v>
      </c>
      <c r="K917" s="156"/>
      <c r="L917" s="645"/>
      <c r="M917" s="354"/>
      <c r="N917" s="620"/>
      <c r="O917" s="156"/>
      <c r="P917" s="801">
        <f t="shared" si="89"/>
        <v>2050</v>
      </c>
      <c r="Q917" s="809">
        <f t="shared" si="89"/>
        <v>745</v>
      </c>
      <c r="R917" s="763">
        <f t="shared" si="85"/>
        <v>36.34146341463415</v>
      </c>
    </row>
    <row r="918" spans="2:18" ht="12.75">
      <c r="B918" s="177">
        <f t="shared" si="88"/>
        <v>488</v>
      </c>
      <c r="C918" s="153"/>
      <c r="D918" s="154"/>
      <c r="E918" s="138"/>
      <c r="F918" s="138" t="s">
        <v>216</v>
      </c>
      <c r="G918" s="199" t="s">
        <v>867</v>
      </c>
      <c r="H918" s="335">
        <v>0</v>
      </c>
      <c r="I918" s="356">
        <v>24</v>
      </c>
      <c r="J918" s="620"/>
      <c r="K918" s="156"/>
      <c r="L918" s="645"/>
      <c r="M918" s="354"/>
      <c r="N918" s="620"/>
      <c r="O918" s="156"/>
      <c r="P918" s="802">
        <f t="shared" si="89"/>
        <v>0</v>
      </c>
      <c r="Q918" s="810">
        <f t="shared" si="89"/>
        <v>24</v>
      </c>
      <c r="R918" s="763"/>
    </row>
    <row r="919" spans="2:18" ht="12.75">
      <c r="B919" s="177">
        <f t="shared" si="88"/>
        <v>489</v>
      </c>
      <c r="C919" s="153"/>
      <c r="D919" s="154"/>
      <c r="E919" s="138"/>
      <c r="F919" s="138" t="s">
        <v>203</v>
      </c>
      <c r="G919" s="199" t="s">
        <v>251</v>
      </c>
      <c r="H919" s="335">
        <v>1250</v>
      </c>
      <c r="I919" s="335">
        <v>90</v>
      </c>
      <c r="J919" s="620">
        <f t="shared" si="86"/>
        <v>7.199999999999999</v>
      </c>
      <c r="K919" s="156"/>
      <c r="L919" s="645"/>
      <c r="M919" s="354"/>
      <c r="N919" s="620"/>
      <c r="O919" s="156"/>
      <c r="P919" s="802">
        <f t="shared" si="89"/>
        <v>1250</v>
      </c>
      <c r="Q919" s="810">
        <f t="shared" si="89"/>
        <v>90</v>
      </c>
      <c r="R919" s="763">
        <f aca="true" t="shared" si="90" ref="R919:R982">Q919/P919*100</f>
        <v>7.199999999999999</v>
      </c>
    </row>
    <row r="920" spans="2:18" ht="12.75">
      <c r="B920" s="177">
        <f t="shared" si="88"/>
        <v>490</v>
      </c>
      <c r="C920" s="153"/>
      <c r="D920" s="154"/>
      <c r="E920" s="138"/>
      <c r="F920" s="138" t="s">
        <v>219</v>
      </c>
      <c r="G920" s="199" t="s">
        <v>252</v>
      </c>
      <c r="H920" s="335">
        <v>800</v>
      </c>
      <c r="I920" s="335">
        <v>631</v>
      </c>
      <c r="J920" s="620">
        <f t="shared" si="86"/>
        <v>78.875</v>
      </c>
      <c r="K920" s="276"/>
      <c r="L920" s="646"/>
      <c r="M920" s="346"/>
      <c r="N920" s="620"/>
      <c r="O920" s="276"/>
      <c r="P920" s="804">
        <f t="shared" si="89"/>
        <v>800</v>
      </c>
      <c r="Q920" s="812">
        <f t="shared" si="89"/>
        <v>631</v>
      </c>
      <c r="R920" s="763">
        <f t="shared" si="90"/>
        <v>78.875</v>
      </c>
    </row>
    <row r="921" spans="2:18" ht="15">
      <c r="B921" s="177">
        <f t="shared" si="88"/>
        <v>491</v>
      </c>
      <c r="C921" s="153"/>
      <c r="D921" s="260" t="s">
        <v>369</v>
      </c>
      <c r="E921" s="266" t="s">
        <v>425</v>
      </c>
      <c r="F921" s="264" t="s">
        <v>428</v>
      </c>
      <c r="G921" s="265"/>
      <c r="H921" s="463">
        <f>SUM(H922:H924)</f>
        <v>16260</v>
      </c>
      <c r="I921" s="463">
        <f>SUM(I922:I924)</f>
        <v>7719</v>
      </c>
      <c r="J921" s="620">
        <f aca="true" t="shared" si="91" ref="J921:J984">I921/H921*100</f>
        <v>47.47232472324723</v>
      </c>
      <c r="K921" s="306"/>
      <c r="L921" s="872"/>
      <c r="M921" s="391"/>
      <c r="N921" s="620"/>
      <c r="O921" s="306"/>
      <c r="P921" s="834">
        <f t="shared" si="89"/>
        <v>16260</v>
      </c>
      <c r="Q921" s="848">
        <f t="shared" si="89"/>
        <v>7719</v>
      </c>
      <c r="R921" s="763">
        <f t="shared" si="90"/>
        <v>47.47232472324723</v>
      </c>
    </row>
    <row r="922" spans="2:18" ht="12.75">
      <c r="B922" s="177">
        <f t="shared" si="88"/>
        <v>492</v>
      </c>
      <c r="C922" s="153"/>
      <c r="D922" s="154"/>
      <c r="E922" s="138"/>
      <c r="F922" s="154" t="s">
        <v>214</v>
      </c>
      <c r="G922" s="206" t="s">
        <v>543</v>
      </c>
      <c r="H922" s="346">
        <f>10640+59</f>
        <v>10699</v>
      </c>
      <c r="I922" s="346">
        <v>5294</v>
      </c>
      <c r="J922" s="620">
        <f t="shared" si="91"/>
        <v>49.48125993083466</v>
      </c>
      <c r="K922" s="156"/>
      <c r="L922" s="646"/>
      <c r="M922" s="346"/>
      <c r="N922" s="620"/>
      <c r="O922" s="156"/>
      <c r="P922" s="801">
        <f t="shared" si="89"/>
        <v>10699</v>
      </c>
      <c r="Q922" s="809">
        <f t="shared" si="89"/>
        <v>5294</v>
      </c>
      <c r="R922" s="763">
        <f t="shared" si="90"/>
        <v>49.48125993083466</v>
      </c>
    </row>
    <row r="923" spans="2:18" ht="12.75">
      <c r="B923" s="177">
        <f t="shared" si="88"/>
        <v>493</v>
      </c>
      <c r="C923" s="153"/>
      <c r="D923" s="154"/>
      <c r="E923" s="138"/>
      <c r="F923" s="154" t="s">
        <v>215</v>
      </c>
      <c r="G923" s="206" t="s">
        <v>264</v>
      </c>
      <c r="H923" s="346">
        <f>3920+21</f>
        <v>3941</v>
      </c>
      <c r="I923" s="346">
        <v>1902</v>
      </c>
      <c r="J923" s="620">
        <f t="shared" si="91"/>
        <v>48.261862471453945</v>
      </c>
      <c r="K923" s="156"/>
      <c r="L923" s="645"/>
      <c r="M923" s="354"/>
      <c r="N923" s="620"/>
      <c r="O923" s="156"/>
      <c r="P923" s="801">
        <f t="shared" si="89"/>
        <v>3941</v>
      </c>
      <c r="Q923" s="809">
        <f t="shared" si="89"/>
        <v>1902</v>
      </c>
      <c r="R923" s="763">
        <f t="shared" si="90"/>
        <v>48.261862471453945</v>
      </c>
    </row>
    <row r="924" spans="2:18" ht="12.75">
      <c r="B924" s="177">
        <f t="shared" si="88"/>
        <v>494</v>
      </c>
      <c r="C924" s="153"/>
      <c r="D924" s="154"/>
      <c r="E924" s="138"/>
      <c r="F924" s="154" t="s">
        <v>221</v>
      </c>
      <c r="G924" s="206" t="s">
        <v>360</v>
      </c>
      <c r="H924" s="461">
        <f>SUM(H925:H926)</f>
        <v>1620</v>
      </c>
      <c r="I924" s="461">
        <f>SUM(I925:I926)</f>
        <v>523</v>
      </c>
      <c r="J924" s="620">
        <f t="shared" si="91"/>
        <v>32.28395061728395</v>
      </c>
      <c r="K924" s="156"/>
      <c r="L924" s="645"/>
      <c r="M924" s="354"/>
      <c r="N924" s="620"/>
      <c r="O924" s="156"/>
      <c r="P924" s="801">
        <f t="shared" si="89"/>
        <v>1620</v>
      </c>
      <c r="Q924" s="809">
        <f t="shared" si="89"/>
        <v>523</v>
      </c>
      <c r="R924" s="763">
        <f t="shared" si="90"/>
        <v>32.28395061728395</v>
      </c>
    </row>
    <row r="925" spans="2:18" ht="12.75">
      <c r="B925" s="177">
        <f t="shared" si="88"/>
        <v>495</v>
      </c>
      <c r="C925" s="153"/>
      <c r="D925" s="154"/>
      <c r="E925" s="138"/>
      <c r="F925" s="138" t="s">
        <v>203</v>
      </c>
      <c r="G925" s="199" t="s">
        <v>251</v>
      </c>
      <c r="H925" s="335">
        <v>1150</v>
      </c>
      <c r="I925" s="335">
        <v>118</v>
      </c>
      <c r="J925" s="620">
        <f t="shared" si="91"/>
        <v>10.26086956521739</v>
      </c>
      <c r="K925" s="156"/>
      <c r="L925" s="645"/>
      <c r="M925" s="354"/>
      <c r="N925" s="620"/>
      <c r="O925" s="156"/>
      <c r="P925" s="802">
        <f t="shared" si="89"/>
        <v>1150</v>
      </c>
      <c r="Q925" s="810">
        <f t="shared" si="89"/>
        <v>118</v>
      </c>
      <c r="R925" s="763">
        <f t="shared" si="90"/>
        <v>10.26086956521739</v>
      </c>
    </row>
    <row r="926" spans="2:18" ht="12.75">
      <c r="B926" s="177">
        <f t="shared" si="88"/>
        <v>496</v>
      </c>
      <c r="C926" s="153"/>
      <c r="D926" s="154"/>
      <c r="E926" s="138"/>
      <c r="F926" s="138" t="s">
        <v>219</v>
      </c>
      <c r="G926" s="199" t="s">
        <v>252</v>
      </c>
      <c r="H926" s="335">
        <v>470</v>
      </c>
      <c r="I926" s="335">
        <v>405</v>
      </c>
      <c r="J926" s="620">
        <f t="shared" si="91"/>
        <v>86.17021276595744</v>
      </c>
      <c r="K926" s="156"/>
      <c r="L926" s="645"/>
      <c r="M926" s="354"/>
      <c r="N926" s="620"/>
      <c r="O926" s="156"/>
      <c r="P926" s="802">
        <f t="shared" si="89"/>
        <v>470</v>
      </c>
      <c r="Q926" s="810">
        <f t="shared" si="89"/>
        <v>405</v>
      </c>
      <c r="R926" s="763">
        <f t="shared" si="90"/>
        <v>86.17021276595744</v>
      </c>
    </row>
    <row r="927" spans="2:18" ht="15">
      <c r="B927" s="177">
        <f t="shared" si="88"/>
        <v>497</v>
      </c>
      <c r="C927" s="153"/>
      <c r="D927" s="260" t="s">
        <v>371</v>
      </c>
      <c r="E927" s="181" t="s">
        <v>425</v>
      </c>
      <c r="F927" s="158" t="s">
        <v>429</v>
      </c>
      <c r="G927" s="239"/>
      <c r="H927" s="460">
        <f>SUM(H928:H930)</f>
        <v>24730</v>
      </c>
      <c r="I927" s="460">
        <f>SUM(I928:I930)</f>
        <v>8053</v>
      </c>
      <c r="J927" s="620">
        <f t="shared" si="91"/>
        <v>32.56368782854832</v>
      </c>
      <c r="K927" s="306"/>
      <c r="L927" s="854"/>
      <c r="M927" s="875"/>
      <c r="N927" s="620"/>
      <c r="O927" s="306"/>
      <c r="P927" s="826">
        <f t="shared" si="89"/>
        <v>24730</v>
      </c>
      <c r="Q927" s="840">
        <f t="shared" si="89"/>
        <v>8053</v>
      </c>
      <c r="R927" s="763">
        <f t="shared" si="90"/>
        <v>32.56368782854832</v>
      </c>
    </row>
    <row r="928" spans="2:18" ht="12.75">
      <c r="B928" s="177">
        <f t="shared" si="88"/>
        <v>498</v>
      </c>
      <c r="C928" s="153"/>
      <c r="D928" s="154"/>
      <c r="E928" s="138"/>
      <c r="F928" s="154" t="s">
        <v>214</v>
      </c>
      <c r="G928" s="206" t="s">
        <v>543</v>
      </c>
      <c r="H928" s="346">
        <f>15050+89</f>
        <v>15139</v>
      </c>
      <c r="I928" s="346">
        <v>5504</v>
      </c>
      <c r="J928" s="620">
        <f t="shared" si="91"/>
        <v>36.356430411519916</v>
      </c>
      <c r="K928" s="156"/>
      <c r="L928" s="645"/>
      <c r="M928" s="354"/>
      <c r="N928" s="620"/>
      <c r="O928" s="156"/>
      <c r="P928" s="801">
        <f t="shared" si="89"/>
        <v>15139</v>
      </c>
      <c r="Q928" s="809">
        <f t="shared" si="89"/>
        <v>5504</v>
      </c>
      <c r="R928" s="763">
        <f t="shared" si="90"/>
        <v>36.356430411519916</v>
      </c>
    </row>
    <row r="929" spans="2:18" ht="12.75">
      <c r="B929" s="177">
        <f t="shared" si="88"/>
        <v>499</v>
      </c>
      <c r="C929" s="153"/>
      <c r="D929" s="154"/>
      <c r="E929" s="138"/>
      <c r="F929" s="154" t="s">
        <v>215</v>
      </c>
      <c r="G929" s="206" t="s">
        <v>264</v>
      </c>
      <c r="H929" s="346">
        <f>5600+31</f>
        <v>5631</v>
      </c>
      <c r="I929" s="346">
        <v>1980</v>
      </c>
      <c r="J929" s="620">
        <f t="shared" si="91"/>
        <v>35.16249334043687</v>
      </c>
      <c r="K929" s="156"/>
      <c r="L929" s="645"/>
      <c r="M929" s="354"/>
      <c r="N929" s="620"/>
      <c r="O929" s="156"/>
      <c r="P929" s="801">
        <f t="shared" si="89"/>
        <v>5631</v>
      </c>
      <c r="Q929" s="809">
        <f t="shared" si="89"/>
        <v>1980</v>
      </c>
      <c r="R929" s="763">
        <f t="shared" si="90"/>
        <v>35.16249334043687</v>
      </c>
    </row>
    <row r="930" spans="2:18" ht="12.75">
      <c r="B930" s="177">
        <f t="shared" si="88"/>
        <v>500</v>
      </c>
      <c r="C930" s="153"/>
      <c r="D930" s="154"/>
      <c r="E930" s="138"/>
      <c r="F930" s="154" t="s">
        <v>221</v>
      </c>
      <c r="G930" s="206" t="s">
        <v>360</v>
      </c>
      <c r="H930" s="461">
        <f>SUM(H931:H932)</f>
        <v>3960</v>
      </c>
      <c r="I930" s="461">
        <f>SUM(I931:I932)</f>
        <v>569</v>
      </c>
      <c r="J930" s="620">
        <f t="shared" si="91"/>
        <v>14.36868686868687</v>
      </c>
      <c r="K930" s="156"/>
      <c r="L930" s="645"/>
      <c r="M930" s="354"/>
      <c r="N930" s="620"/>
      <c r="O930" s="156"/>
      <c r="P930" s="801">
        <f t="shared" si="89"/>
        <v>3960</v>
      </c>
      <c r="Q930" s="809">
        <f t="shared" si="89"/>
        <v>569</v>
      </c>
      <c r="R930" s="763">
        <f t="shared" si="90"/>
        <v>14.36868686868687</v>
      </c>
    </row>
    <row r="931" spans="2:18" ht="12.75">
      <c r="B931" s="177">
        <f t="shared" si="88"/>
        <v>501</v>
      </c>
      <c r="C931" s="153"/>
      <c r="D931" s="154"/>
      <c r="E931" s="138"/>
      <c r="F931" s="138" t="s">
        <v>203</v>
      </c>
      <c r="G931" s="199" t="s">
        <v>251</v>
      </c>
      <c r="H931" s="335">
        <v>3230</v>
      </c>
      <c r="I931" s="335">
        <v>65</v>
      </c>
      <c r="J931" s="620">
        <f t="shared" si="91"/>
        <v>2.0123839009287927</v>
      </c>
      <c r="K931" s="156"/>
      <c r="L931" s="645"/>
      <c r="M931" s="354"/>
      <c r="N931" s="620"/>
      <c r="O931" s="156"/>
      <c r="P931" s="802">
        <f t="shared" si="89"/>
        <v>3230</v>
      </c>
      <c r="Q931" s="810">
        <f t="shared" si="89"/>
        <v>65</v>
      </c>
      <c r="R931" s="763">
        <f t="shared" si="90"/>
        <v>2.0123839009287927</v>
      </c>
    </row>
    <row r="932" spans="2:18" ht="12.75">
      <c r="B932" s="177">
        <f t="shared" si="88"/>
        <v>502</v>
      </c>
      <c r="C932" s="153"/>
      <c r="D932" s="154"/>
      <c r="E932" s="138"/>
      <c r="F932" s="138" t="s">
        <v>219</v>
      </c>
      <c r="G932" s="199" t="s">
        <v>252</v>
      </c>
      <c r="H932" s="335">
        <v>730</v>
      </c>
      <c r="I932" s="335">
        <v>504</v>
      </c>
      <c r="J932" s="620">
        <f t="shared" si="91"/>
        <v>69.04109589041096</v>
      </c>
      <c r="K932" s="156"/>
      <c r="L932" s="645"/>
      <c r="M932" s="354"/>
      <c r="N932" s="620"/>
      <c r="O932" s="156"/>
      <c r="P932" s="802">
        <f t="shared" si="89"/>
        <v>730</v>
      </c>
      <c r="Q932" s="810">
        <f t="shared" si="89"/>
        <v>504</v>
      </c>
      <c r="R932" s="763">
        <f t="shared" si="90"/>
        <v>69.04109589041096</v>
      </c>
    </row>
    <row r="933" spans="2:18" ht="15">
      <c r="B933" s="177">
        <f t="shared" si="88"/>
        <v>503</v>
      </c>
      <c r="C933" s="153"/>
      <c r="D933" s="260" t="s">
        <v>373</v>
      </c>
      <c r="E933" s="266" t="s">
        <v>425</v>
      </c>
      <c r="F933" s="264" t="s">
        <v>430</v>
      </c>
      <c r="G933" s="265"/>
      <c r="H933" s="460">
        <f>SUM(H934:H936)</f>
        <v>26620</v>
      </c>
      <c r="I933" s="460">
        <f>SUM(I934:I936)</f>
        <v>11478</v>
      </c>
      <c r="J933" s="620">
        <f t="shared" si="91"/>
        <v>43.117956423741546</v>
      </c>
      <c r="K933" s="306"/>
      <c r="L933" s="854"/>
      <c r="M933" s="875"/>
      <c r="N933" s="620"/>
      <c r="O933" s="306"/>
      <c r="P933" s="826">
        <f t="shared" si="89"/>
        <v>26620</v>
      </c>
      <c r="Q933" s="840">
        <f t="shared" si="89"/>
        <v>11478</v>
      </c>
      <c r="R933" s="763">
        <f t="shared" si="90"/>
        <v>43.117956423741546</v>
      </c>
    </row>
    <row r="934" spans="2:18" ht="12.75">
      <c r="B934" s="177">
        <f t="shared" si="88"/>
        <v>504</v>
      </c>
      <c r="C934" s="153"/>
      <c r="D934" s="154"/>
      <c r="E934" s="138"/>
      <c r="F934" s="154" t="s">
        <v>214</v>
      </c>
      <c r="G934" s="206" t="s">
        <v>543</v>
      </c>
      <c r="H934" s="346">
        <f>17460+193</f>
        <v>17653</v>
      </c>
      <c r="I934" s="346">
        <v>7875</v>
      </c>
      <c r="J934" s="620">
        <f t="shared" si="91"/>
        <v>44.60998130629355</v>
      </c>
      <c r="K934" s="156"/>
      <c r="L934" s="646"/>
      <c r="M934" s="346"/>
      <c r="N934" s="620"/>
      <c r="O934" s="156"/>
      <c r="P934" s="830">
        <f t="shared" si="89"/>
        <v>17653</v>
      </c>
      <c r="Q934" s="844">
        <f t="shared" si="89"/>
        <v>7875</v>
      </c>
      <c r="R934" s="763">
        <f t="shared" si="90"/>
        <v>44.60998130629355</v>
      </c>
    </row>
    <row r="935" spans="2:18" ht="12.75">
      <c r="B935" s="177">
        <f t="shared" si="88"/>
        <v>505</v>
      </c>
      <c r="C935" s="153"/>
      <c r="D935" s="154"/>
      <c r="E935" s="138"/>
      <c r="F935" s="154" t="s">
        <v>215</v>
      </c>
      <c r="G935" s="206" t="s">
        <v>264</v>
      </c>
      <c r="H935" s="346">
        <f>6360+67</f>
        <v>6427</v>
      </c>
      <c r="I935" s="346">
        <v>2805</v>
      </c>
      <c r="J935" s="620">
        <f t="shared" si="91"/>
        <v>43.64400186712307</v>
      </c>
      <c r="K935" s="156"/>
      <c r="L935" s="645"/>
      <c r="M935" s="354"/>
      <c r="N935" s="620"/>
      <c r="O935" s="156"/>
      <c r="P935" s="801">
        <f aca="true" t="shared" si="92" ref="P935:Q956">H935+L935</f>
        <v>6427</v>
      </c>
      <c r="Q935" s="809">
        <f t="shared" si="92"/>
        <v>2805</v>
      </c>
      <c r="R935" s="763">
        <f t="shared" si="90"/>
        <v>43.64400186712307</v>
      </c>
    </row>
    <row r="936" spans="2:18" ht="12.75">
      <c r="B936" s="177">
        <f t="shared" si="88"/>
        <v>506</v>
      </c>
      <c r="C936" s="153"/>
      <c r="D936" s="154"/>
      <c r="E936" s="138"/>
      <c r="F936" s="154" t="s">
        <v>221</v>
      </c>
      <c r="G936" s="206" t="s">
        <v>360</v>
      </c>
      <c r="H936" s="461">
        <f>SUM(H937:H938)</f>
        <v>2540</v>
      </c>
      <c r="I936" s="461">
        <f>SUM(I937:I938)</f>
        <v>798</v>
      </c>
      <c r="J936" s="620">
        <f t="shared" si="91"/>
        <v>31.417322834645667</v>
      </c>
      <c r="K936" s="156"/>
      <c r="L936" s="645"/>
      <c r="M936" s="354"/>
      <c r="N936" s="620"/>
      <c r="O936" s="156"/>
      <c r="P936" s="801">
        <f t="shared" si="92"/>
        <v>2540</v>
      </c>
      <c r="Q936" s="809">
        <f t="shared" si="92"/>
        <v>798</v>
      </c>
      <c r="R936" s="763">
        <f t="shared" si="90"/>
        <v>31.417322834645667</v>
      </c>
    </row>
    <row r="937" spans="2:18" ht="12.75">
      <c r="B937" s="177">
        <f t="shared" si="88"/>
        <v>507</v>
      </c>
      <c r="C937" s="153"/>
      <c r="D937" s="154"/>
      <c r="E937" s="138"/>
      <c r="F937" s="138" t="s">
        <v>203</v>
      </c>
      <c r="G937" s="199" t="s">
        <v>251</v>
      </c>
      <c r="H937" s="335">
        <f>1100+500</f>
        <v>1600</v>
      </c>
      <c r="I937" s="335">
        <v>224</v>
      </c>
      <c r="J937" s="620">
        <f t="shared" si="91"/>
        <v>14.000000000000002</v>
      </c>
      <c r="K937" s="156"/>
      <c r="L937" s="645"/>
      <c r="M937" s="354"/>
      <c r="N937" s="620"/>
      <c r="O937" s="156"/>
      <c r="P937" s="802">
        <f t="shared" si="92"/>
        <v>1600</v>
      </c>
      <c r="Q937" s="810">
        <f t="shared" si="92"/>
        <v>224</v>
      </c>
      <c r="R937" s="763">
        <f t="shared" si="90"/>
        <v>14.000000000000002</v>
      </c>
    </row>
    <row r="938" spans="2:18" ht="12.75">
      <c r="B938" s="177">
        <f t="shared" si="88"/>
        <v>508</v>
      </c>
      <c r="C938" s="153"/>
      <c r="D938" s="154"/>
      <c r="E938" s="138"/>
      <c r="F938" s="138" t="s">
        <v>219</v>
      </c>
      <c r="G938" s="199" t="s">
        <v>252</v>
      </c>
      <c r="H938" s="335">
        <f>610+330</f>
        <v>940</v>
      </c>
      <c r="I938" s="335">
        <v>574</v>
      </c>
      <c r="J938" s="620">
        <f t="shared" si="91"/>
        <v>61.06382978723405</v>
      </c>
      <c r="K938" s="156"/>
      <c r="L938" s="645"/>
      <c r="M938" s="354"/>
      <c r="N938" s="620"/>
      <c r="O938" s="156"/>
      <c r="P938" s="802">
        <f t="shared" si="92"/>
        <v>940</v>
      </c>
      <c r="Q938" s="810">
        <f t="shared" si="92"/>
        <v>574</v>
      </c>
      <c r="R938" s="763">
        <f t="shared" si="90"/>
        <v>61.06382978723405</v>
      </c>
    </row>
    <row r="939" spans="2:18" ht="15">
      <c r="B939" s="177">
        <f t="shared" si="88"/>
        <v>509</v>
      </c>
      <c r="C939" s="153"/>
      <c r="D939" s="260" t="s">
        <v>376</v>
      </c>
      <c r="E939" s="181" t="s">
        <v>425</v>
      </c>
      <c r="F939" s="158" t="s">
        <v>431</v>
      </c>
      <c r="G939" s="239"/>
      <c r="H939" s="460">
        <f>SUM(H940:H942)</f>
        <v>23310</v>
      </c>
      <c r="I939" s="460">
        <f>SUM(I940:I942)</f>
        <v>10452</v>
      </c>
      <c r="J939" s="620">
        <f t="shared" si="91"/>
        <v>44.839124839124835</v>
      </c>
      <c r="K939" s="306"/>
      <c r="L939" s="854"/>
      <c r="M939" s="875"/>
      <c r="N939" s="620"/>
      <c r="O939" s="306"/>
      <c r="P939" s="826">
        <f t="shared" si="92"/>
        <v>23310</v>
      </c>
      <c r="Q939" s="840">
        <f t="shared" si="92"/>
        <v>10452</v>
      </c>
      <c r="R939" s="763">
        <f t="shared" si="90"/>
        <v>44.839124839124835</v>
      </c>
    </row>
    <row r="940" spans="2:18" ht="12.75">
      <c r="B940" s="177">
        <f t="shared" si="88"/>
        <v>510</v>
      </c>
      <c r="C940" s="153"/>
      <c r="D940" s="154"/>
      <c r="E940" s="138"/>
      <c r="F940" s="154" t="s">
        <v>214</v>
      </c>
      <c r="G940" s="206" t="s">
        <v>543</v>
      </c>
      <c r="H940" s="346">
        <f>15510+193</f>
        <v>15703</v>
      </c>
      <c r="I940" s="346">
        <v>7287</v>
      </c>
      <c r="J940" s="620">
        <f t="shared" si="91"/>
        <v>46.40514551359613</v>
      </c>
      <c r="K940" s="156"/>
      <c r="L940" s="645"/>
      <c r="M940" s="354"/>
      <c r="N940" s="620"/>
      <c r="O940" s="156"/>
      <c r="P940" s="801">
        <f t="shared" si="92"/>
        <v>15703</v>
      </c>
      <c r="Q940" s="809">
        <f t="shared" si="92"/>
        <v>7287</v>
      </c>
      <c r="R940" s="763">
        <f t="shared" si="90"/>
        <v>46.40514551359613</v>
      </c>
    </row>
    <row r="941" spans="2:18" ht="12.75">
      <c r="B941" s="177">
        <f t="shared" si="88"/>
        <v>511</v>
      </c>
      <c r="C941" s="153"/>
      <c r="D941" s="154"/>
      <c r="E941" s="138"/>
      <c r="F941" s="154" t="s">
        <v>215</v>
      </c>
      <c r="G941" s="206" t="s">
        <v>264</v>
      </c>
      <c r="H941" s="346">
        <f>5770+67</f>
        <v>5837</v>
      </c>
      <c r="I941" s="346">
        <v>2656</v>
      </c>
      <c r="J941" s="620">
        <f t="shared" si="91"/>
        <v>45.50282679458626</v>
      </c>
      <c r="K941" s="156"/>
      <c r="L941" s="645"/>
      <c r="M941" s="354"/>
      <c r="N941" s="620"/>
      <c r="O941" s="156"/>
      <c r="P941" s="801">
        <f t="shared" si="92"/>
        <v>5837</v>
      </c>
      <c r="Q941" s="809">
        <f t="shared" si="92"/>
        <v>2656</v>
      </c>
      <c r="R941" s="763">
        <f t="shared" si="90"/>
        <v>45.50282679458626</v>
      </c>
    </row>
    <row r="942" spans="2:18" ht="12.75">
      <c r="B942" s="177">
        <f aca="true" t="shared" si="93" ref="B942:B1005">B941+1</f>
        <v>512</v>
      </c>
      <c r="C942" s="153"/>
      <c r="D942" s="154"/>
      <c r="E942" s="138"/>
      <c r="F942" s="154" t="s">
        <v>221</v>
      </c>
      <c r="G942" s="206" t="s">
        <v>360</v>
      </c>
      <c r="H942" s="461">
        <f>SUM(H943:H944)</f>
        <v>1770</v>
      </c>
      <c r="I942" s="461">
        <f>SUM(I943:I944)</f>
        <v>509</v>
      </c>
      <c r="J942" s="620">
        <f t="shared" si="91"/>
        <v>28.757062146892654</v>
      </c>
      <c r="K942" s="156"/>
      <c r="L942" s="645"/>
      <c r="M942" s="354"/>
      <c r="N942" s="620"/>
      <c r="O942" s="156"/>
      <c r="P942" s="801">
        <f t="shared" si="92"/>
        <v>1770</v>
      </c>
      <c r="Q942" s="809">
        <f t="shared" si="92"/>
        <v>509</v>
      </c>
      <c r="R942" s="763">
        <f t="shared" si="90"/>
        <v>28.757062146892654</v>
      </c>
    </row>
    <row r="943" spans="2:18" ht="12.75">
      <c r="B943" s="177">
        <f t="shared" si="93"/>
        <v>513</v>
      </c>
      <c r="C943" s="153"/>
      <c r="D943" s="154"/>
      <c r="E943" s="138"/>
      <c r="F943" s="138" t="s">
        <v>203</v>
      </c>
      <c r="G943" s="199" t="s">
        <v>251</v>
      </c>
      <c r="H943" s="335">
        <v>1150</v>
      </c>
      <c r="I943" s="335">
        <v>49</v>
      </c>
      <c r="J943" s="620">
        <f t="shared" si="91"/>
        <v>4.260869565217392</v>
      </c>
      <c r="K943" s="156"/>
      <c r="L943" s="645"/>
      <c r="M943" s="354"/>
      <c r="N943" s="620"/>
      <c r="O943" s="156"/>
      <c r="P943" s="802">
        <f t="shared" si="92"/>
        <v>1150</v>
      </c>
      <c r="Q943" s="810">
        <f t="shared" si="92"/>
        <v>49</v>
      </c>
      <c r="R943" s="763">
        <f t="shared" si="90"/>
        <v>4.260869565217392</v>
      </c>
    </row>
    <row r="944" spans="2:18" ht="12.75">
      <c r="B944" s="177">
        <f t="shared" si="93"/>
        <v>514</v>
      </c>
      <c r="C944" s="153"/>
      <c r="D944" s="154"/>
      <c r="E944" s="138"/>
      <c r="F944" s="138" t="s">
        <v>219</v>
      </c>
      <c r="G944" s="199" t="s">
        <v>252</v>
      </c>
      <c r="H944" s="335">
        <v>620</v>
      </c>
      <c r="I944" s="335">
        <v>460</v>
      </c>
      <c r="J944" s="620">
        <f t="shared" si="91"/>
        <v>74.19354838709677</v>
      </c>
      <c r="K944" s="156"/>
      <c r="L944" s="645"/>
      <c r="M944" s="354"/>
      <c r="N944" s="620"/>
      <c r="O944" s="156"/>
      <c r="P944" s="802">
        <f t="shared" si="92"/>
        <v>620</v>
      </c>
      <c r="Q944" s="810">
        <f t="shared" si="92"/>
        <v>460</v>
      </c>
      <c r="R944" s="763">
        <f t="shared" si="90"/>
        <v>74.19354838709677</v>
      </c>
    </row>
    <row r="945" spans="2:18" ht="15">
      <c r="B945" s="177">
        <f t="shared" si="93"/>
        <v>515</v>
      </c>
      <c r="C945" s="153"/>
      <c r="D945" s="260" t="s">
        <v>378</v>
      </c>
      <c r="E945" s="181" t="s">
        <v>425</v>
      </c>
      <c r="F945" s="158" t="s">
        <v>432</v>
      </c>
      <c r="G945" s="239"/>
      <c r="H945" s="460">
        <f>SUM(H946:H948)</f>
        <v>14245</v>
      </c>
      <c r="I945" s="460">
        <f>SUM(I946:I948)</f>
        <v>6312</v>
      </c>
      <c r="J945" s="620">
        <f t="shared" si="91"/>
        <v>44.31028431028431</v>
      </c>
      <c r="K945" s="306"/>
      <c r="L945" s="854"/>
      <c r="M945" s="875"/>
      <c r="N945" s="620"/>
      <c r="O945" s="306"/>
      <c r="P945" s="826">
        <f t="shared" si="92"/>
        <v>14245</v>
      </c>
      <c r="Q945" s="840">
        <f t="shared" si="92"/>
        <v>6312</v>
      </c>
      <c r="R945" s="763">
        <f t="shared" si="90"/>
        <v>44.31028431028431</v>
      </c>
    </row>
    <row r="946" spans="2:18" ht="12.75">
      <c r="B946" s="177">
        <f t="shared" si="93"/>
        <v>516</v>
      </c>
      <c r="C946" s="153"/>
      <c r="D946" s="154"/>
      <c r="E946" s="138"/>
      <c r="F946" s="154" t="s">
        <v>214</v>
      </c>
      <c r="G946" s="206" t="s">
        <v>543</v>
      </c>
      <c r="H946" s="346">
        <f>9340+100</f>
        <v>9440</v>
      </c>
      <c r="I946" s="346">
        <v>4244</v>
      </c>
      <c r="J946" s="620">
        <f t="shared" si="91"/>
        <v>44.95762711864407</v>
      </c>
      <c r="K946" s="156"/>
      <c r="L946" s="645"/>
      <c r="M946" s="354"/>
      <c r="N946" s="620"/>
      <c r="O946" s="156"/>
      <c r="P946" s="801">
        <f t="shared" si="92"/>
        <v>9440</v>
      </c>
      <c r="Q946" s="809">
        <f t="shared" si="92"/>
        <v>4244</v>
      </c>
      <c r="R946" s="763">
        <f t="shared" si="90"/>
        <v>44.95762711864407</v>
      </c>
    </row>
    <row r="947" spans="2:18" ht="12.75">
      <c r="B947" s="177">
        <f t="shared" si="93"/>
        <v>517</v>
      </c>
      <c r="C947" s="153"/>
      <c r="D947" s="154"/>
      <c r="E947" s="138"/>
      <c r="F947" s="154" t="s">
        <v>215</v>
      </c>
      <c r="G947" s="206" t="s">
        <v>264</v>
      </c>
      <c r="H947" s="346">
        <f>3430+35</f>
        <v>3465</v>
      </c>
      <c r="I947" s="346">
        <v>1567</v>
      </c>
      <c r="J947" s="620">
        <f t="shared" si="91"/>
        <v>45.22366522366522</v>
      </c>
      <c r="K947" s="156"/>
      <c r="L947" s="645"/>
      <c r="M947" s="354"/>
      <c r="N947" s="620"/>
      <c r="O947" s="156"/>
      <c r="P947" s="801">
        <f t="shared" si="92"/>
        <v>3465</v>
      </c>
      <c r="Q947" s="809">
        <f t="shared" si="92"/>
        <v>1567</v>
      </c>
      <c r="R947" s="763">
        <f t="shared" si="90"/>
        <v>45.22366522366522</v>
      </c>
    </row>
    <row r="948" spans="2:18" ht="12.75">
      <c r="B948" s="177">
        <f t="shared" si="93"/>
        <v>518</v>
      </c>
      <c r="C948" s="153"/>
      <c r="D948" s="154"/>
      <c r="E948" s="138"/>
      <c r="F948" s="154" t="s">
        <v>221</v>
      </c>
      <c r="G948" s="206" t="s">
        <v>360</v>
      </c>
      <c r="H948" s="461">
        <f>SUM(H949:H950)</f>
        <v>1340</v>
      </c>
      <c r="I948" s="461">
        <f>SUM(I949:I950)</f>
        <v>501</v>
      </c>
      <c r="J948" s="620">
        <f t="shared" si="91"/>
        <v>37.38805970149254</v>
      </c>
      <c r="K948" s="156"/>
      <c r="L948" s="645"/>
      <c r="M948" s="354"/>
      <c r="N948" s="620"/>
      <c r="O948" s="156"/>
      <c r="P948" s="801">
        <f t="shared" si="92"/>
        <v>1340</v>
      </c>
      <c r="Q948" s="809">
        <f t="shared" si="92"/>
        <v>501</v>
      </c>
      <c r="R948" s="763">
        <f t="shared" si="90"/>
        <v>37.38805970149254</v>
      </c>
    </row>
    <row r="949" spans="2:18" ht="12.75">
      <c r="B949" s="177">
        <f t="shared" si="93"/>
        <v>519</v>
      </c>
      <c r="C949" s="153"/>
      <c r="D949" s="154"/>
      <c r="E949" s="138"/>
      <c r="F949" s="138" t="s">
        <v>203</v>
      </c>
      <c r="G949" s="199" t="s">
        <v>251</v>
      </c>
      <c r="H949" s="335">
        <v>900</v>
      </c>
      <c r="I949" s="335">
        <v>59</v>
      </c>
      <c r="J949" s="620">
        <f t="shared" si="91"/>
        <v>6.555555555555556</v>
      </c>
      <c r="K949" s="156"/>
      <c r="L949" s="645"/>
      <c r="M949" s="354"/>
      <c r="N949" s="620"/>
      <c r="O949" s="156"/>
      <c r="P949" s="802">
        <f t="shared" si="92"/>
        <v>900</v>
      </c>
      <c r="Q949" s="810">
        <f t="shared" si="92"/>
        <v>59</v>
      </c>
      <c r="R949" s="763">
        <f t="shared" si="90"/>
        <v>6.555555555555556</v>
      </c>
    </row>
    <row r="950" spans="2:18" ht="12.75">
      <c r="B950" s="177">
        <f t="shared" si="93"/>
        <v>520</v>
      </c>
      <c r="C950" s="153"/>
      <c r="D950" s="154"/>
      <c r="E950" s="138"/>
      <c r="F950" s="138" t="s">
        <v>219</v>
      </c>
      <c r="G950" s="199" t="s">
        <v>252</v>
      </c>
      <c r="H950" s="335">
        <v>440</v>
      </c>
      <c r="I950" s="356">
        <v>442</v>
      </c>
      <c r="J950" s="620">
        <f t="shared" si="91"/>
        <v>100.45454545454547</v>
      </c>
      <c r="K950" s="156"/>
      <c r="L950" s="645"/>
      <c r="M950" s="354"/>
      <c r="N950" s="620"/>
      <c r="O950" s="156"/>
      <c r="P950" s="802">
        <f t="shared" si="92"/>
        <v>440</v>
      </c>
      <c r="Q950" s="810">
        <f t="shared" si="92"/>
        <v>442</v>
      </c>
      <c r="R950" s="763">
        <f t="shared" si="90"/>
        <v>100.45454545454547</v>
      </c>
    </row>
    <row r="951" spans="2:18" ht="15">
      <c r="B951" s="177">
        <f t="shared" si="93"/>
        <v>521</v>
      </c>
      <c r="C951" s="153"/>
      <c r="D951" s="260" t="s">
        <v>380</v>
      </c>
      <c r="E951" s="181" t="s">
        <v>425</v>
      </c>
      <c r="F951" s="158" t="s">
        <v>703</v>
      </c>
      <c r="G951" s="239"/>
      <c r="H951" s="460">
        <f>SUM(H952:H954)</f>
        <v>17185</v>
      </c>
      <c r="I951" s="460">
        <f>SUM(I952:I954)</f>
        <v>8122</v>
      </c>
      <c r="J951" s="620">
        <f t="shared" si="91"/>
        <v>47.262147221414025</v>
      </c>
      <c r="K951" s="306"/>
      <c r="L951" s="854"/>
      <c r="M951" s="875"/>
      <c r="N951" s="620"/>
      <c r="O951" s="306"/>
      <c r="P951" s="826">
        <f t="shared" si="92"/>
        <v>17185</v>
      </c>
      <c r="Q951" s="840">
        <f t="shared" si="92"/>
        <v>8122</v>
      </c>
      <c r="R951" s="763">
        <f t="shared" si="90"/>
        <v>47.262147221414025</v>
      </c>
    </row>
    <row r="952" spans="2:18" ht="12.75">
      <c r="B952" s="177">
        <f t="shared" si="93"/>
        <v>522</v>
      </c>
      <c r="C952" s="153"/>
      <c r="D952" s="154"/>
      <c r="E952" s="138"/>
      <c r="F952" s="154" t="s">
        <v>214</v>
      </c>
      <c r="G952" s="206" t="s">
        <v>543</v>
      </c>
      <c r="H952" s="346">
        <f>11160+122</f>
        <v>11282</v>
      </c>
      <c r="I952" s="346">
        <v>5568</v>
      </c>
      <c r="J952" s="620">
        <f t="shared" si="91"/>
        <v>49.352951604325476</v>
      </c>
      <c r="K952" s="156"/>
      <c r="L952" s="645"/>
      <c r="M952" s="354"/>
      <c r="N952" s="620"/>
      <c r="O952" s="156"/>
      <c r="P952" s="801">
        <f t="shared" si="92"/>
        <v>11282</v>
      </c>
      <c r="Q952" s="809">
        <f t="shared" si="92"/>
        <v>5568</v>
      </c>
      <c r="R952" s="763">
        <f t="shared" si="90"/>
        <v>49.352951604325476</v>
      </c>
    </row>
    <row r="953" spans="2:18" ht="12.75">
      <c r="B953" s="177">
        <f t="shared" si="93"/>
        <v>523</v>
      </c>
      <c r="C953" s="153"/>
      <c r="D953" s="154"/>
      <c r="E953" s="138"/>
      <c r="F953" s="154" t="s">
        <v>215</v>
      </c>
      <c r="G953" s="206" t="s">
        <v>264</v>
      </c>
      <c r="H953" s="346">
        <f>4200+43</f>
        <v>4243</v>
      </c>
      <c r="I953" s="346">
        <v>2054</v>
      </c>
      <c r="J953" s="620">
        <f t="shared" si="91"/>
        <v>48.40914447325006</v>
      </c>
      <c r="K953" s="156"/>
      <c r="L953" s="645"/>
      <c r="M953" s="354"/>
      <c r="N953" s="620"/>
      <c r="O953" s="156"/>
      <c r="P953" s="801">
        <f t="shared" si="92"/>
        <v>4243</v>
      </c>
      <c r="Q953" s="809">
        <f t="shared" si="92"/>
        <v>2054</v>
      </c>
      <c r="R953" s="763">
        <f t="shared" si="90"/>
        <v>48.40914447325006</v>
      </c>
    </row>
    <row r="954" spans="2:18" ht="12.75">
      <c r="B954" s="177">
        <f t="shared" si="93"/>
        <v>524</v>
      </c>
      <c r="C954" s="153"/>
      <c r="D954" s="154"/>
      <c r="E954" s="138"/>
      <c r="F954" s="154" t="s">
        <v>221</v>
      </c>
      <c r="G954" s="206" t="s">
        <v>360</v>
      </c>
      <c r="H954" s="461">
        <f>SUM(H955:H956)</f>
        <v>1660</v>
      </c>
      <c r="I954" s="461">
        <f>SUM(I955:I956)</f>
        <v>500</v>
      </c>
      <c r="J954" s="620">
        <f t="shared" si="91"/>
        <v>30.120481927710845</v>
      </c>
      <c r="K954" s="156"/>
      <c r="L954" s="645"/>
      <c r="M954" s="354"/>
      <c r="N954" s="620"/>
      <c r="O954" s="156"/>
      <c r="P954" s="801">
        <f t="shared" si="92"/>
        <v>1660</v>
      </c>
      <c r="Q954" s="809">
        <f t="shared" si="92"/>
        <v>500</v>
      </c>
      <c r="R954" s="763">
        <f t="shared" si="90"/>
        <v>30.120481927710845</v>
      </c>
    </row>
    <row r="955" spans="2:18" ht="12.75">
      <c r="B955" s="177">
        <f t="shared" si="93"/>
        <v>525</v>
      </c>
      <c r="C955" s="153"/>
      <c r="D955" s="154"/>
      <c r="E955" s="138"/>
      <c r="F955" s="138" t="s">
        <v>203</v>
      </c>
      <c r="G955" s="199" t="s">
        <v>251</v>
      </c>
      <c r="H955" s="335">
        <v>1200</v>
      </c>
      <c r="I955" s="335">
        <v>97</v>
      </c>
      <c r="J955" s="620">
        <f t="shared" si="91"/>
        <v>8.083333333333332</v>
      </c>
      <c r="K955" s="156"/>
      <c r="L955" s="645"/>
      <c r="M955" s="354"/>
      <c r="N955" s="620"/>
      <c r="O955" s="156"/>
      <c r="P955" s="802">
        <f t="shared" si="92"/>
        <v>1200</v>
      </c>
      <c r="Q955" s="810">
        <f t="shared" si="92"/>
        <v>97</v>
      </c>
      <c r="R955" s="763">
        <f t="shared" si="90"/>
        <v>8.083333333333332</v>
      </c>
    </row>
    <row r="956" spans="2:18" ht="12.75">
      <c r="B956" s="177">
        <f t="shared" si="93"/>
        <v>526</v>
      </c>
      <c r="C956" s="153"/>
      <c r="D956" s="154"/>
      <c r="E956" s="138"/>
      <c r="F956" s="281" t="s">
        <v>219</v>
      </c>
      <c r="G956" s="199" t="s">
        <v>252</v>
      </c>
      <c r="H956" s="335">
        <v>460</v>
      </c>
      <c r="I956" s="335">
        <v>403</v>
      </c>
      <c r="J956" s="620">
        <f t="shared" si="91"/>
        <v>87.60869565217392</v>
      </c>
      <c r="K956" s="156"/>
      <c r="L956" s="645"/>
      <c r="M956" s="354"/>
      <c r="N956" s="620"/>
      <c r="O956" s="156"/>
      <c r="P956" s="802">
        <f t="shared" si="92"/>
        <v>460</v>
      </c>
      <c r="Q956" s="810">
        <f t="shared" si="92"/>
        <v>403</v>
      </c>
      <c r="R956" s="763">
        <f t="shared" si="90"/>
        <v>87.60869565217392</v>
      </c>
    </row>
    <row r="957" spans="2:18" ht="12.75">
      <c r="B957" s="177">
        <f t="shared" si="93"/>
        <v>527</v>
      </c>
      <c r="C957" s="153"/>
      <c r="D957" s="154"/>
      <c r="E957" s="175"/>
      <c r="F957" s="138"/>
      <c r="G957" s="199"/>
      <c r="H957" s="335"/>
      <c r="I957" s="335"/>
      <c r="J957" s="620"/>
      <c r="K957" s="156"/>
      <c r="L957" s="645"/>
      <c r="M957" s="354"/>
      <c r="N957" s="620"/>
      <c r="O957" s="156"/>
      <c r="P957" s="802"/>
      <c r="Q957" s="810"/>
      <c r="R957" s="763"/>
    </row>
    <row r="958" spans="2:18" ht="15">
      <c r="B958" s="177">
        <f t="shared" si="93"/>
        <v>528</v>
      </c>
      <c r="C958" s="153"/>
      <c r="D958" s="154"/>
      <c r="E958" s="176" t="s">
        <v>550</v>
      </c>
      <c r="F958" s="138"/>
      <c r="G958" s="199"/>
      <c r="H958" s="397">
        <f>H959+H968+H977+H987+H996+H1005+H1014+H1023</f>
        <v>582140</v>
      </c>
      <c r="I958" s="397">
        <f>I959+I968+I977+I987+I996+I1005+I1014+I1023</f>
        <v>269098</v>
      </c>
      <c r="J958" s="620">
        <f t="shared" si="91"/>
        <v>46.22565018724018</v>
      </c>
      <c r="K958" s="156"/>
      <c r="L958" s="645"/>
      <c r="M958" s="354"/>
      <c r="N958" s="620"/>
      <c r="O958" s="156"/>
      <c r="P958" s="801">
        <f aca="true" t="shared" si="94" ref="P958:Q989">H958+L958</f>
        <v>582140</v>
      </c>
      <c r="Q958" s="809">
        <f t="shared" si="94"/>
        <v>269098</v>
      </c>
      <c r="R958" s="763">
        <f t="shared" si="90"/>
        <v>46.22565018724018</v>
      </c>
    </row>
    <row r="959" spans="2:18" ht="15">
      <c r="B959" s="177">
        <f t="shared" si="93"/>
        <v>529</v>
      </c>
      <c r="C959" s="153"/>
      <c r="D959" s="260" t="s">
        <v>382</v>
      </c>
      <c r="E959" s="181" t="s">
        <v>425</v>
      </c>
      <c r="F959" s="323" t="s">
        <v>398</v>
      </c>
      <c r="G959" s="239"/>
      <c r="H959" s="390">
        <f>H960+H961+H962+H967</f>
        <v>80012</v>
      </c>
      <c r="I959" s="390">
        <f>I960+I961+I962+I967</f>
        <v>37835</v>
      </c>
      <c r="J959" s="620">
        <f t="shared" si="91"/>
        <v>47.28665700144978</v>
      </c>
      <c r="K959" s="306"/>
      <c r="L959" s="854"/>
      <c r="M959" s="875"/>
      <c r="N959" s="620"/>
      <c r="O959" s="306"/>
      <c r="P959" s="826">
        <f t="shared" si="94"/>
        <v>80012</v>
      </c>
      <c r="Q959" s="840">
        <f t="shared" si="94"/>
        <v>37835</v>
      </c>
      <c r="R959" s="763">
        <f t="shared" si="90"/>
        <v>47.28665700144978</v>
      </c>
    </row>
    <row r="960" spans="2:18" ht="12.75">
      <c r="B960" s="177">
        <f t="shared" si="93"/>
        <v>530</v>
      </c>
      <c r="C960" s="153"/>
      <c r="D960" s="154"/>
      <c r="E960" s="138"/>
      <c r="F960" s="154" t="s">
        <v>214</v>
      </c>
      <c r="G960" s="206" t="s">
        <v>543</v>
      </c>
      <c r="H960" s="393">
        <v>48335</v>
      </c>
      <c r="I960" s="393">
        <v>23491</v>
      </c>
      <c r="J960" s="620">
        <f t="shared" si="91"/>
        <v>48.60039308989345</v>
      </c>
      <c r="K960" s="307"/>
      <c r="L960" s="860"/>
      <c r="M960" s="361"/>
      <c r="N960" s="620"/>
      <c r="O960" s="307"/>
      <c r="P960" s="801">
        <f t="shared" si="94"/>
        <v>48335</v>
      </c>
      <c r="Q960" s="809">
        <f t="shared" si="94"/>
        <v>23491</v>
      </c>
      <c r="R960" s="763">
        <f t="shared" si="90"/>
        <v>48.60039308989345</v>
      </c>
    </row>
    <row r="961" spans="2:18" ht="12.75">
      <c r="B961" s="177">
        <f t="shared" si="93"/>
        <v>531</v>
      </c>
      <c r="C961" s="153"/>
      <c r="D961" s="154"/>
      <c r="E961" s="138"/>
      <c r="F961" s="154" t="s">
        <v>215</v>
      </c>
      <c r="G961" s="206" t="s">
        <v>264</v>
      </c>
      <c r="H961" s="393">
        <v>16782</v>
      </c>
      <c r="I961" s="393">
        <v>8276</v>
      </c>
      <c r="J961" s="620">
        <f t="shared" si="91"/>
        <v>49.314741985460614</v>
      </c>
      <c r="K961" s="307"/>
      <c r="L961" s="860"/>
      <c r="M961" s="361"/>
      <c r="N961" s="620"/>
      <c r="O961" s="307"/>
      <c r="P961" s="801">
        <f t="shared" si="94"/>
        <v>16782</v>
      </c>
      <c r="Q961" s="809">
        <f t="shared" si="94"/>
        <v>8276</v>
      </c>
      <c r="R961" s="763">
        <f t="shared" si="90"/>
        <v>49.314741985460614</v>
      </c>
    </row>
    <row r="962" spans="2:18" ht="12.75">
      <c r="B962" s="177">
        <f t="shared" si="93"/>
        <v>532</v>
      </c>
      <c r="C962" s="153"/>
      <c r="D962" s="154"/>
      <c r="E962" s="138"/>
      <c r="F962" s="154" t="s">
        <v>221</v>
      </c>
      <c r="G962" s="206" t="s">
        <v>360</v>
      </c>
      <c r="H962" s="393">
        <f>SUM(H963:H966)</f>
        <v>14645</v>
      </c>
      <c r="I962" s="393">
        <f>SUM(I963:I966)</f>
        <v>6068</v>
      </c>
      <c r="J962" s="620">
        <f t="shared" si="91"/>
        <v>41.43393649709798</v>
      </c>
      <c r="K962" s="307"/>
      <c r="L962" s="860"/>
      <c r="M962" s="361"/>
      <c r="N962" s="620"/>
      <c r="O962" s="307"/>
      <c r="P962" s="801">
        <f t="shared" si="94"/>
        <v>14645</v>
      </c>
      <c r="Q962" s="809">
        <f t="shared" si="94"/>
        <v>6068</v>
      </c>
      <c r="R962" s="763">
        <f t="shared" si="90"/>
        <v>41.43393649709798</v>
      </c>
    </row>
    <row r="963" spans="2:18" ht="12.75">
      <c r="B963" s="177">
        <f t="shared" si="93"/>
        <v>533</v>
      </c>
      <c r="C963" s="153"/>
      <c r="D963" s="154"/>
      <c r="E963" s="138"/>
      <c r="F963" s="138" t="s">
        <v>202</v>
      </c>
      <c r="G963" s="199" t="s">
        <v>335</v>
      </c>
      <c r="H963" s="357">
        <v>4030</v>
      </c>
      <c r="I963" s="357">
        <v>145</v>
      </c>
      <c r="J963" s="620">
        <f t="shared" si="91"/>
        <v>3.598014888337469</v>
      </c>
      <c r="K963" s="307"/>
      <c r="L963" s="860"/>
      <c r="M963" s="361"/>
      <c r="N963" s="620"/>
      <c r="O963" s="307"/>
      <c r="P963" s="802">
        <f t="shared" si="94"/>
        <v>4030</v>
      </c>
      <c r="Q963" s="810">
        <f t="shared" si="94"/>
        <v>145</v>
      </c>
      <c r="R963" s="763">
        <f t="shared" si="90"/>
        <v>3.598014888337469</v>
      </c>
    </row>
    <row r="964" spans="2:18" ht="12.75">
      <c r="B964" s="177">
        <f t="shared" si="93"/>
        <v>534</v>
      </c>
      <c r="C964" s="153"/>
      <c r="D964" s="154"/>
      <c r="E964" s="138"/>
      <c r="F964" s="138" t="s">
        <v>203</v>
      </c>
      <c r="G964" s="199" t="s">
        <v>251</v>
      </c>
      <c r="H964" s="357">
        <v>3825</v>
      </c>
      <c r="I964" s="357">
        <v>2470</v>
      </c>
      <c r="J964" s="620">
        <f t="shared" si="91"/>
        <v>64.57516339869281</v>
      </c>
      <c r="K964" s="307"/>
      <c r="L964" s="860"/>
      <c r="M964" s="361"/>
      <c r="N964" s="620"/>
      <c r="O964" s="307"/>
      <c r="P964" s="802">
        <f t="shared" si="94"/>
        <v>3825</v>
      </c>
      <c r="Q964" s="810">
        <f t="shared" si="94"/>
        <v>2470</v>
      </c>
      <c r="R964" s="763">
        <f t="shared" si="90"/>
        <v>64.57516339869281</v>
      </c>
    </row>
    <row r="965" spans="2:18" ht="12.75">
      <c r="B965" s="177">
        <f t="shared" si="93"/>
        <v>535</v>
      </c>
      <c r="C965" s="280"/>
      <c r="D965" s="277"/>
      <c r="E965" s="281"/>
      <c r="F965" s="281" t="s">
        <v>217</v>
      </c>
      <c r="G965" s="209" t="s">
        <v>266</v>
      </c>
      <c r="H965" s="357">
        <v>850</v>
      </c>
      <c r="I965" s="357">
        <v>706</v>
      </c>
      <c r="J965" s="620">
        <f t="shared" si="91"/>
        <v>83.05882352941177</v>
      </c>
      <c r="K965" s="307"/>
      <c r="L965" s="860"/>
      <c r="M965" s="361"/>
      <c r="N965" s="620"/>
      <c r="O965" s="307"/>
      <c r="P965" s="802">
        <f t="shared" si="94"/>
        <v>850</v>
      </c>
      <c r="Q965" s="810">
        <f t="shared" si="94"/>
        <v>706</v>
      </c>
      <c r="R965" s="763">
        <f t="shared" si="90"/>
        <v>83.05882352941177</v>
      </c>
    </row>
    <row r="966" spans="2:18" ht="12.75">
      <c r="B966" s="177">
        <f t="shared" si="93"/>
        <v>536</v>
      </c>
      <c r="C966" s="153"/>
      <c r="D966" s="154"/>
      <c r="E966" s="138"/>
      <c r="F966" s="138" t="s">
        <v>219</v>
      </c>
      <c r="G966" s="199" t="s">
        <v>252</v>
      </c>
      <c r="H966" s="357">
        <v>5940</v>
      </c>
      <c r="I966" s="357">
        <v>2747</v>
      </c>
      <c r="J966" s="620">
        <f t="shared" si="91"/>
        <v>46.245791245791246</v>
      </c>
      <c r="K966" s="307"/>
      <c r="L966" s="860"/>
      <c r="M966" s="361"/>
      <c r="N966" s="620"/>
      <c r="O966" s="307"/>
      <c r="P966" s="802">
        <f t="shared" si="94"/>
        <v>5940</v>
      </c>
      <c r="Q966" s="810">
        <f t="shared" si="94"/>
        <v>2747</v>
      </c>
      <c r="R966" s="763">
        <f t="shared" si="90"/>
        <v>46.245791245791246</v>
      </c>
    </row>
    <row r="967" spans="2:18" ht="12.75">
      <c r="B967" s="177">
        <f t="shared" si="93"/>
        <v>537</v>
      </c>
      <c r="C967" s="153"/>
      <c r="D967" s="154"/>
      <c r="E967" s="138"/>
      <c r="F967" s="154" t="s">
        <v>220</v>
      </c>
      <c r="G967" s="206" t="s">
        <v>392</v>
      </c>
      <c r="H967" s="361">
        <v>250</v>
      </c>
      <c r="I967" s="361">
        <v>0</v>
      </c>
      <c r="J967" s="620">
        <f t="shared" si="91"/>
        <v>0</v>
      </c>
      <c r="K967" s="308"/>
      <c r="L967" s="861"/>
      <c r="M967" s="393"/>
      <c r="N967" s="620"/>
      <c r="O967" s="308"/>
      <c r="P967" s="830">
        <f t="shared" si="94"/>
        <v>250</v>
      </c>
      <c r="Q967" s="844">
        <f t="shared" si="94"/>
        <v>0</v>
      </c>
      <c r="R967" s="763">
        <f t="shared" si="90"/>
        <v>0</v>
      </c>
    </row>
    <row r="968" spans="2:18" ht="15">
      <c r="B968" s="177">
        <f t="shared" si="93"/>
        <v>538</v>
      </c>
      <c r="C968" s="153"/>
      <c r="D968" s="260" t="s">
        <v>384</v>
      </c>
      <c r="E968" s="266" t="s">
        <v>425</v>
      </c>
      <c r="F968" s="264" t="s">
        <v>399</v>
      </c>
      <c r="G968" s="265"/>
      <c r="H968" s="390">
        <f>H969+H970+H971+H976</f>
        <v>68612</v>
      </c>
      <c r="I968" s="390">
        <f>I969+I970+I971+I976</f>
        <v>32440</v>
      </c>
      <c r="J968" s="620">
        <f t="shared" si="91"/>
        <v>47.2803591208535</v>
      </c>
      <c r="K968" s="306"/>
      <c r="L968" s="858"/>
      <c r="M968" s="878"/>
      <c r="N968" s="620"/>
      <c r="O968" s="306"/>
      <c r="P968" s="828">
        <f t="shared" si="94"/>
        <v>68612</v>
      </c>
      <c r="Q968" s="842">
        <f t="shared" si="94"/>
        <v>32440</v>
      </c>
      <c r="R968" s="763">
        <f t="shared" si="90"/>
        <v>47.2803591208535</v>
      </c>
    </row>
    <row r="969" spans="2:18" ht="12.75">
      <c r="B969" s="177">
        <f t="shared" si="93"/>
        <v>539</v>
      </c>
      <c r="C969" s="153"/>
      <c r="D969" s="154"/>
      <c r="E969" s="138"/>
      <c r="F969" s="154" t="s">
        <v>214</v>
      </c>
      <c r="G969" s="206" t="s">
        <v>543</v>
      </c>
      <c r="H969" s="393">
        <v>42072</v>
      </c>
      <c r="I969" s="393">
        <v>20571</v>
      </c>
      <c r="J969" s="620">
        <f t="shared" si="91"/>
        <v>48.89475185396463</v>
      </c>
      <c r="K969" s="307"/>
      <c r="L969" s="860"/>
      <c r="M969" s="361"/>
      <c r="N969" s="620"/>
      <c r="O969" s="307"/>
      <c r="P969" s="801">
        <f t="shared" si="94"/>
        <v>42072</v>
      </c>
      <c r="Q969" s="809">
        <f t="shared" si="94"/>
        <v>20571</v>
      </c>
      <c r="R969" s="763">
        <f t="shared" si="90"/>
        <v>48.89475185396463</v>
      </c>
    </row>
    <row r="970" spans="2:18" ht="12.75">
      <c r="B970" s="177">
        <f t="shared" si="93"/>
        <v>540</v>
      </c>
      <c r="C970" s="153"/>
      <c r="D970" s="154"/>
      <c r="E970" s="138"/>
      <c r="F970" s="154" t="s">
        <v>215</v>
      </c>
      <c r="G970" s="206" t="s">
        <v>264</v>
      </c>
      <c r="H970" s="393">
        <v>16125</v>
      </c>
      <c r="I970" s="393">
        <v>7585</v>
      </c>
      <c r="J970" s="620">
        <f t="shared" si="91"/>
        <v>47.038759689922486</v>
      </c>
      <c r="K970" s="307"/>
      <c r="L970" s="860"/>
      <c r="M970" s="361"/>
      <c r="N970" s="620"/>
      <c r="O970" s="307"/>
      <c r="P970" s="801">
        <f t="shared" si="94"/>
        <v>16125</v>
      </c>
      <c r="Q970" s="809">
        <f t="shared" si="94"/>
        <v>7585</v>
      </c>
      <c r="R970" s="763">
        <f t="shared" si="90"/>
        <v>47.038759689922486</v>
      </c>
    </row>
    <row r="971" spans="2:18" ht="12.75">
      <c r="B971" s="177">
        <f t="shared" si="93"/>
        <v>541</v>
      </c>
      <c r="C971" s="153"/>
      <c r="D971" s="154"/>
      <c r="E971" s="138"/>
      <c r="F971" s="154" t="s">
        <v>221</v>
      </c>
      <c r="G971" s="206" t="s">
        <v>360</v>
      </c>
      <c r="H971" s="393">
        <f>SUM(H972:H975)</f>
        <v>9915</v>
      </c>
      <c r="I971" s="393">
        <f>SUM(I972:I975)</f>
        <v>4216</v>
      </c>
      <c r="J971" s="620">
        <f t="shared" si="91"/>
        <v>42.52143217347453</v>
      </c>
      <c r="K971" s="307"/>
      <c r="L971" s="860"/>
      <c r="M971" s="361"/>
      <c r="N971" s="620"/>
      <c r="O971" s="307"/>
      <c r="P971" s="801">
        <f t="shared" si="94"/>
        <v>9915</v>
      </c>
      <c r="Q971" s="809">
        <f t="shared" si="94"/>
        <v>4216</v>
      </c>
      <c r="R971" s="763">
        <f t="shared" si="90"/>
        <v>42.52143217347453</v>
      </c>
    </row>
    <row r="972" spans="2:18" ht="12.75">
      <c r="B972" s="177">
        <f t="shared" si="93"/>
        <v>542</v>
      </c>
      <c r="C972" s="153"/>
      <c r="D972" s="154"/>
      <c r="E972" s="138"/>
      <c r="F972" s="138" t="s">
        <v>202</v>
      </c>
      <c r="G972" s="199" t="s">
        <v>335</v>
      </c>
      <c r="H972" s="357">
        <v>4315</v>
      </c>
      <c r="I972" s="357">
        <v>2070</v>
      </c>
      <c r="J972" s="620">
        <f t="shared" si="91"/>
        <v>47.972190034762455</v>
      </c>
      <c r="K972" s="307"/>
      <c r="L972" s="860"/>
      <c r="M972" s="361"/>
      <c r="N972" s="620"/>
      <c r="O972" s="307"/>
      <c r="P972" s="802">
        <f t="shared" si="94"/>
        <v>4315</v>
      </c>
      <c r="Q972" s="810">
        <f t="shared" si="94"/>
        <v>2070</v>
      </c>
      <c r="R972" s="763">
        <f t="shared" si="90"/>
        <v>47.972190034762455</v>
      </c>
    </row>
    <row r="973" spans="2:18" ht="12.75">
      <c r="B973" s="177">
        <f t="shared" si="93"/>
        <v>543</v>
      </c>
      <c r="C973" s="153"/>
      <c r="D973" s="154"/>
      <c r="E973" s="138"/>
      <c r="F973" s="138" t="s">
        <v>203</v>
      </c>
      <c r="G973" s="199" t="s">
        <v>251</v>
      </c>
      <c r="H973" s="357">
        <v>1500</v>
      </c>
      <c r="I973" s="357">
        <v>544</v>
      </c>
      <c r="J973" s="620">
        <f t="shared" si="91"/>
        <v>36.266666666666666</v>
      </c>
      <c r="K973" s="307"/>
      <c r="L973" s="860"/>
      <c r="M973" s="361"/>
      <c r="N973" s="620"/>
      <c r="O973" s="307"/>
      <c r="P973" s="802">
        <f t="shared" si="94"/>
        <v>1500</v>
      </c>
      <c r="Q973" s="810">
        <f t="shared" si="94"/>
        <v>544</v>
      </c>
      <c r="R973" s="763">
        <f t="shared" si="90"/>
        <v>36.266666666666666</v>
      </c>
    </row>
    <row r="974" spans="2:18" ht="12.75">
      <c r="B974" s="177">
        <f t="shared" si="93"/>
        <v>544</v>
      </c>
      <c r="C974" s="153"/>
      <c r="D974" s="154"/>
      <c r="E974" s="138"/>
      <c r="F974" s="138" t="s">
        <v>217</v>
      </c>
      <c r="G974" s="199" t="s">
        <v>266</v>
      </c>
      <c r="H974" s="357">
        <v>1000</v>
      </c>
      <c r="I974" s="357">
        <v>0</v>
      </c>
      <c r="J974" s="620">
        <f t="shared" si="91"/>
        <v>0</v>
      </c>
      <c r="K974" s="307"/>
      <c r="L974" s="860"/>
      <c r="M974" s="361"/>
      <c r="N974" s="620"/>
      <c r="O974" s="307"/>
      <c r="P974" s="802">
        <f t="shared" si="94"/>
        <v>1000</v>
      </c>
      <c r="Q974" s="810">
        <f t="shared" si="94"/>
        <v>0</v>
      </c>
      <c r="R974" s="763">
        <f t="shared" si="90"/>
        <v>0</v>
      </c>
    </row>
    <row r="975" spans="2:18" ht="12.75">
      <c r="B975" s="177">
        <f t="shared" si="93"/>
        <v>545</v>
      </c>
      <c r="C975" s="153"/>
      <c r="D975" s="154"/>
      <c r="E975" s="138"/>
      <c r="F975" s="138" t="s">
        <v>219</v>
      </c>
      <c r="G975" s="199" t="s">
        <v>252</v>
      </c>
      <c r="H975" s="357">
        <v>3100</v>
      </c>
      <c r="I975" s="357">
        <v>1602</v>
      </c>
      <c r="J975" s="620">
        <f t="shared" si="91"/>
        <v>51.677419354838705</v>
      </c>
      <c r="K975" s="307"/>
      <c r="L975" s="860"/>
      <c r="M975" s="361"/>
      <c r="N975" s="620"/>
      <c r="O975" s="307"/>
      <c r="P975" s="802">
        <f t="shared" si="94"/>
        <v>3100</v>
      </c>
      <c r="Q975" s="810">
        <f t="shared" si="94"/>
        <v>1602</v>
      </c>
      <c r="R975" s="763">
        <f t="shared" si="90"/>
        <v>51.677419354838705</v>
      </c>
    </row>
    <row r="976" spans="2:18" ht="12.75">
      <c r="B976" s="177">
        <f t="shared" si="93"/>
        <v>546</v>
      </c>
      <c r="C976" s="153"/>
      <c r="D976" s="154"/>
      <c r="E976" s="138"/>
      <c r="F976" s="154" t="s">
        <v>220</v>
      </c>
      <c r="G976" s="206" t="s">
        <v>542</v>
      </c>
      <c r="H976" s="393">
        <v>500</v>
      </c>
      <c r="I976" s="393">
        <v>68</v>
      </c>
      <c r="J976" s="620">
        <f t="shared" si="91"/>
        <v>13.600000000000001</v>
      </c>
      <c r="K976" s="307"/>
      <c r="L976" s="860"/>
      <c r="M976" s="361"/>
      <c r="N976" s="620"/>
      <c r="O976" s="307"/>
      <c r="P976" s="801">
        <f t="shared" si="94"/>
        <v>500</v>
      </c>
      <c r="Q976" s="809">
        <f t="shared" si="94"/>
        <v>68</v>
      </c>
      <c r="R976" s="763">
        <f t="shared" si="90"/>
        <v>13.600000000000001</v>
      </c>
    </row>
    <row r="977" spans="2:18" ht="15">
      <c r="B977" s="177">
        <f t="shared" si="93"/>
        <v>547</v>
      </c>
      <c r="C977" s="153"/>
      <c r="D977" s="260" t="s">
        <v>502</v>
      </c>
      <c r="E977" s="181" t="s">
        <v>425</v>
      </c>
      <c r="F977" s="158" t="s">
        <v>400</v>
      </c>
      <c r="G977" s="239"/>
      <c r="H977" s="390">
        <f>H978+H979+H980+H986</f>
        <v>74325</v>
      </c>
      <c r="I977" s="390">
        <f>I978+I979+I980+I986</f>
        <v>34409</v>
      </c>
      <c r="J977" s="620">
        <f t="shared" si="91"/>
        <v>46.29532458795829</v>
      </c>
      <c r="K977" s="306"/>
      <c r="L977" s="854"/>
      <c r="M977" s="875"/>
      <c r="N977" s="620"/>
      <c r="O977" s="306"/>
      <c r="P977" s="826">
        <f t="shared" si="94"/>
        <v>74325</v>
      </c>
      <c r="Q977" s="840">
        <f t="shared" si="94"/>
        <v>34409</v>
      </c>
      <c r="R977" s="763">
        <f t="shared" si="90"/>
        <v>46.29532458795829</v>
      </c>
    </row>
    <row r="978" spans="2:18" ht="12.75">
      <c r="B978" s="177">
        <f t="shared" si="93"/>
        <v>548</v>
      </c>
      <c r="C978" s="153"/>
      <c r="D978" s="154"/>
      <c r="E978" s="138"/>
      <c r="F978" s="154" t="s">
        <v>214</v>
      </c>
      <c r="G978" s="206" t="s">
        <v>543</v>
      </c>
      <c r="H978" s="393">
        <v>43155</v>
      </c>
      <c r="I978" s="393">
        <v>21159</v>
      </c>
      <c r="J978" s="620">
        <f t="shared" si="91"/>
        <v>49.03023983315954</v>
      </c>
      <c r="K978" s="307"/>
      <c r="L978" s="860"/>
      <c r="M978" s="361"/>
      <c r="N978" s="620"/>
      <c r="O978" s="307"/>
      <c r="P978" s="801">
        <f t="shared" si="94"/>
        <v>43155</v>
      </c>
      <c r="Q978" s="809">
        <f t="shared" si="94"/>
        <v>21159</v>
      </c>
      <c r="R978" s="763">
        <f t="shared" si="90"/>
        <v>49.03023983315954</v>
      </c>
    </row>
    <row r="979" spans="2:18" ht="12.75">
      <c r="B979" s="177">
        <f t="shared" si="93"/>
        <v>549</v>
      </c>
      <c r="C979" s="153"/>
      <c r="D979" s="154"/>
      <c r="E979" s="138"/>
      <c r="F979" s="154" t="s">
        <v>215</v>
      </c>
      <c r="G979" s="206" t="s">
        <v>264</v>
      </c>
      <c r="H979" s="393">
        <v>16250</v>
      </c>
      <c r="I979" s="393">
        <v>8165</v>
      </c>
      <c r="J979" s="620">
        <f t="shared" si="91"/>
        <v>50.24615384615385</v>
      </c>
      <c r="K979" s="307"/>
      <c r="L979" s="860"/>
      <c r="M979" s="361"/>
      <c r="N979" s="620"/>
      <c r="O979" s="307"/>
      <c r="P979" s="801">
        <f t="shared" si="94"/>
        <v>16250</v>
      </c>
      <c r="Q979" s="809">
        <f t="shared" si="94"/>
        <v>8165</v>
      </c>
      <c r="R979" s="763">
        <f t="shared" si="90"/>
        <v>50.24615384615385</v>
      </c>
    </row>
    <row r="980" spans="2:18" ht="12.75">
      <c r="B980" s="177">
        <f t="shared" si="93"/>
        <v>550</v>
      </c>
      <c r="C980" s="153"/>
      <c r="D980" s="154"/>
      <c r="E980" s="138"/>
      <c r="F980" s="154" t="s">
        <v>221</v>
      </c>
      <c r="G980" s="206" t="s">
        <v>360</v>
      </c>
      <c r="H980" s="393">
        <f>SUM(H981:H985)</f>
        <v>14270</v>
      </c>
      <c r="I980" s="393">
        <f>SUM(I981:I985)</f>
        <v>5014</v>
      </c>
      <c r="J980" s="620">
        <f t="shared" si="91"/>
        <v>35.13665031534688</v>
      </c>
      <c r="K980" s="307"/>
      <c r="L980" s="860"/>
      <c r="M980" s="361"/>
      <c r="N980" s="620"/>
      <c r="O980" s="307"/>
      <c r="P980" s="801">
        <f t="shared" si="94"/>
        <v>14270</v>
      </c>
      <c r="Q980" s="809">
        <f t="shared" si="94"/>
        <v>5014</v>
      </c>
      <c r="R980" s="763">
        <f t="shared" si="90"/>
        <v>35.13665031534688</v>
      </c>
    </row>
    <row r="981" spans="2:18" ht="12.75">
      <c r="B981" s="177">
        <f t="shared" si="93"/>
        <v>551</v>
      </c>
      <c r="C981" s="153"/>
      <c r="D981" s="154"/>
      <c r="E981" s="138"/>
      <c r="F981" s="138" t="s">
        <v>216</v>
      </c>
      <c r="G981" s="199" t="s">
        <v>260</v>
      </c>
      <c r="H981" s="357">
        <v>100</v>
      </c>
      <c r="I981" s="357">
        <v>0</v>
      </c>
      <c r="J981" s="620">
        <f t="shared" si="91"/>
        <v>0</v>
      </c>
      <c r="K981" s="307"/>
      <c r="L981" s="860"/>
      <c r="M981" s="361"/>
      <c r="N981" s="620"/>
      <c r="O981" s="307"/>
      <c r="P981" s="802">
        <f t="shared" si="94"/>
        <v>100</v>
      </c>
      <c r="Q981" s="810">
        <f t="shared" si="94"/>
        <v>0</v>
      </c>
      <c r="R981" s="763">
        <f t="shared" si="90"/>
        <v>0</v>
      </c>
    </row>
    <row r="982" spans="2:18" ht="12.75">
      <c r="B982" s="177">
        <f t="shared" si="93"/>
        <v>552</v>
      </c>
      <c r="C982" s="153"/>
      <c r="D982" s="154"/>
      <c r="E982" s="138"/>
      <c r="F982" s="138" t="s">
        <v>202</v>
      </c>
      <c r="G982" s="199" t="s">
        <v>335</v>
      </c>
      <c r="H982" s="357">
        <v>7020</v>
      </c>
      <c r="I982" s="357">
        <v>2791</v>
      </c>
      <c r="J982" s="620">
        <f t="shared" si="91"/>
        <v>39.75783475783476</v>
      </c>
      <c r="K982" s="307"/>
      <c r="L982" s="860"/>
      <c r="M982" s="361"/>
      <c r="N982" s="620"/>
      <c r="O982" s="307"/>
      <c r="P982" s="802">
        <f t="shared" si="94"/>
        <v>7020</v>
      </c>
      <c r="Q982" s="810">
        <f t="shared" si="94"/>
        <v>2791</v>
      </c>
      <c r="R982" s="763">
        <f t="shared" si="90"/>
        <v>39.75783475783476</v>
      </c>
    </row>
    <row r="983" spans="2:18" ht="12.75">
      <c r="B983" s="177">
        <f t="shared" si="93"/>
        <v>553</v>
      </c>
      <c r="C983" s="153"/>
      <c r="D983" s="154"/>
      <c r="E983" s="138"/>
      <c r="F983" s="138" t="s">
        <v>203</v>
      </c>
      <c r="G983" s="199" t="s">
        <v>251</v>
      </c>
      <c r="H983" s="357">
        <v>1500</v>
      </c>
      <c r="I983" s="357">
        <v>919</v>
      </c>
      <c r="J983" s="620">
        <f t="shared" si="91"/>
        <v>61.266666666666666</v>
      </c>
      <c r="K983" s="307"/>
      <c r="L983" s="860"/>
      <c r="M983" s="361"/>
      <c r="N983" s="620"/>
      <c r="O983" s="307"/>
      <c r="P983" s="802">
        <f t="shared" si="94"/>
        <v>1500</v>
      </c>
      <c r="Q983" s="810">
        <f t="shared" si="94"/>
        <v>919</v>
      </c>
      <c r="R983" s="763">
        <f aca="true" t="shared" si="95" ref="R983:R1046">Q983/P983*100</f>
        <v>61.266666666666666</v>
      </c>
    </row>
    <row r="984" spans="2:18" ht="12.75">
      <c r="B984" s="177">
        <f t="shared" si="93"/>
        <v>554</v>
      </c>
      <c r="C984" s="153"/>
      <c r="D984" s="154"/>
      <c r="E984" s="138"/>
      <c r="F984" s="138" t="s">
        <v>217</v>
      </c>
      <c r="G984" s="199" t="s">
        <v>266</v>
      </c>
      <c r="H984" s="357">
        <v>4000</v>
      </c>
      <c r="I984" s="357">
        <v>807</v>
      </c>
      <c r="J984" s="620">
        <f t="shared" si="91"/>
        <v>20.175</v>
      </c>
      <c r="K984" s="307"/>
      <c r="L984" s="860"/>
      <c r="M984" s="361"/>
      <c r="N984" s="620"/>
      <c r="O984" s="307"/>
      <c r="P984" s="802">
        <f t="shared" si="94"/>
        <v>4000</v>
      </c>
      <c r="Q984" s="810">
        <f t="shared" si="94"/>
        <v>807</v>
      </c>
      <c r="R984" s="763">
        <f t="shared" si="95"/>
        <v>20.175</v>
      </c>
    </row>
    <row r="985" spans="2:18" ht="12.75">
      <c r="B985" s="177">
        <f t="shared" si="93"/>
        <v>555</v>
      </c>
      <c r="C985" s="153"/>
      <c r="D985" s="154"/>
      <c r="E985" s="138"/>
      <c r="F985" s="138" t="s">
        <v>219</v>
      </c>
      <c r="G985" s="199" t="s">
        <v>252</v>
      </c>
      <c r="H985" s="357">
        <v>1650</v>
      </c>
      <c r="I985" s="357">
        <v>497</v>
      </c>
      <c r="J985" s="620">
        <f aca="true" t="shared" si="96" ref="J985:J1048">I985/H985*100</f>
        <v>30.12121212121212</v>
      </c>
      <c r="K985" s="307"/>
      <c r="L985" s="860"/>
      <c r="M985" s="361"/>
      <c r="N985" s="620"/>
      <c r="O985" s="307"/>
      <c r="P985" s="802">
        <f t="shared" si="94"/>
        <v>1650</v>
      </c>
      <c r="Q985" s="810">
        <f t="shared" si="94"/>
        <v>497</v>
      </c>
      <c r="R985" s="763">
        <f t="shared" si="95"/>
        <v>30.12121212121212</v>
      </c>
    </row>
    <row r="986" spans="2:18" ht="12.75">
      <c r="B986" s="177">
        <f t="shared" si="93"/>
        <v>556</v>
      </c>
      <c r="C986" s="153"/>
      <c r="D986" s="154"/>
      <c r="E986" s="138"/>
      <c r="F986" s="154" t="s">
        <v>220</v>
      </c>
      <c r="G986" s="206" t="s">
        <v>542</v>
      </c>
      <c r="H986" s="393">
        <v>650</v>
      </c>
      <c r="I986" s="393">
        <v>71</v>
      </c>
      <c r="J986" s="620">
        <f t="shared" si="96"/>
        <v>10.923076923076923</v>
      </c>
      <c r="K986" s="307"/>
      <c r="L986" s="860"/>
      <c r="M986" s="361"/>
      <c r="N986" s="620"/>
      <c r="O986" s="307"/>
      <c r="P986" s="801">
        <f t="shared" si="94"/>
        <v>650</v>
      </c>
      <c r="Q986" s="809">
        <f t="shared" si="94"/>
        <v>71</v>
      </c>
      <c r="R986" s="763">
        <f t="shared" si="95"/>
        <v>10.923076923076923</v>
      </c>
    </row>
    <row r="987" spans="2:18" ht="15">
      <c r="B987" s="177">
        <f t="shared" si="93"/>
        <v>557</v>
      </c>
      <c r="C987" s="153"/>
      <c r="D987" s="260" t="s">
        <v>503</v>
      </c>
      <c r="E987" s="181" t="s">
        <v>425</v>
      </c>
      <c r="F987" s="158" t="s">
        <v>401</v>
      </c>
      <c r="G987" s="239"/>
      <c r="H987" s="390">
        <f>H988+H989+H990</f>
        <v>55780</v>
      </c>
      <c r="I987" s="390">
        <f>I988+I989+I990</f>
        <v>27458</v>
      </c>
      <c r="J987" s="620">
        <f t="shared" si="96"/>
        <v>49.2255288633919</v>
      </c>
      <c r="K987" s="306"/>
      <c r="L987" s="854"/>
      <c r="M987" s="875"/>
      <c r="N987" s="620"/>
      <c r="O987" s="306"/>
      <c r="P987" s="826">
        <f t="shared" si="94"/>
        <v>55780</v>
      </c>
      <c r="Q987" s="840">
        <f t="shared" si="94"/>
        <v>27458</v>
      </c>
      <c r="R987" s="763">
        <f t="shared" si="95"/>
        <v>49.2255288633919</v>
      </c>
    </row>
    <row r="988" spans="2:18" ht="12.75">
      <c r="B988" s="177">
        <f t="shared" si="93"/>
        <v>558</v>
      </c>
      <c r="C988" s="153"/>
      <c r="D988" s="154"/>
      <c r="E988" s="138"/>
      <c r="F988" s="154" t="s">
        <v>214</v>
      </c>
      <c r="G988" s="206" t="s">
        <v>543</v>
      </c>
      <c r="H988" s="393">
        <f>28470+2150</f>
        <v>30620</v>
      </c>
      <c r="I988" s="393">
        <v>15305</v>
      </c>
      <c r="J988" s="620">
        <f t="shared" si="96"/>
        <v>49.98367080339647</v>
      </c>
      <c r="K988" s="307"/>
      <c r="L988" s="860"/>
      <c r="M988" s="361"/>
      <c r="N988" s="620"/>
      <c r="O988" s="307"/>
      <c r="P988" s="801">
        <f t="shared" si="94"/>
        <v>30620</v>
      </c>
      <c r="Q988" s="809">
        <f t="shared" si="94"/>
        <v>15305</v>
      </c>
      <c r="R988" s="763">
        <f t="shared" si="95"/>
        <v>49.98367080339647</v>
      </c>
    </row>
    <row r="989" spans="2:18" ht="12.75">
      <c r="B989" s="177">
        <f t="shared" si="93"/>
        <v>559</v>
      </c>
      <c r="C989" s="153"/>
      <c r="D989" s="154"/>
      <c r="E989" s="138"/>
      <c r="F989" s="154" t="s">
        <v>215</v>
      </c>
      <c r="G989" s="206" t="s">
        <v>264</v>
      </c>
      <c r="H989" s="393">
        <f>10810+750</f>
        <v>11560</v>
      </c>
      <c r="I989" s="393">
        <v>5456</v>
      </c>
      <c r="J989" s="620">
        <f t="shared" si="96"/>
        <v>47.19723183391004</v>
      </c>
      <c r="K989" s="307"/>
      <c r="L989" s="860"/>
      <c r="M989" s="361"/>
      <c r="N989" s="620"/>
      <c r="O989" s="307"/>
      <c r="P989" s="801">
        <f t="shared" si="94"/>
        <v>11560</v>
      </c>
      <c r="Q989" s="809">
        <f t="shared" si="94"/>
        <v>5456</v>
      </c>
      <c r="R989" s="763">
        <f t="shared" si="95"/>
        <v>47.19723183391004</v>
      </c>
    </row>
    <row r="990" spans="2:18" ht="12.75">
      <c r="B990" s="177">
        <f t="shared" si="93"/>
        <v>560</v>
      </c>
      <c r="C990" s="153"/>
      <c r="D990" s="154"/>
      <c r="E990" s="138"/>
      <c r="F990" s="154" t="s">
        <v>221</v>
      </c>
      <c r="G990" s="206" t="s">
        <v>360</v>
      </c>
      <c r="H990" s="393">
        <f>SUM(H991:H995)</f>
        <v>13600</v>
      </c>
      <c r="I990" s="393">
        <f>SUM(I991:I995)</f>
        <v>6697</v>
      </c>
      <c r="J990" s="620">
        <f t="shared" si="96"/>
        <v>49.24264705882353</v>
      </c>
      <c r="K990" s="307"/>
      <c r="L990" s="860"/>
      <c r="M990" s="361"/>
      <c r="N990" s="620"/>
      <c r="O990" s="307"/>
      <c r="P990" s="801">
        <f aca="true" t="shared" si="97" ref="P990:Q1025">H990+L990</f>
        <v>13600</v>
      </c>
      <c r="Q990" s="809">
        <f t="shared" si="97"/>
        <v>6697</v>
      </c>
      <c r="R990" s="763">
        <f t="shared" si="95"/>
        <v>49.24264705882353</v>
      </c>
    </row>
    <row r="991" spans="2:18" ht="12.75">
      <c r="B991" s="177">
        <f t="shared" si="93"/>
        <v>561</v>
      </c>
      <c r="C991" s="153"/>
      <c r="D991" s="154"/>
      <c r="E991" s="138"/>
      <c r="F991" s="138" t="s">
        <v>216</v>
      </c>
      <c r="G991" s="199" t="s">
        <v>260</v>
      </c>
      <c r="H991" s="357">
        <v>20</v>
      </c>
      <c r="I991" s="357">
        <v>0</v>
      </c>
      <c r="J991" s="620">
        <f t="shared" si="96"/>
        <v>0</v>
      </c>
      <c r="K991" s="307"/>
      <c r="L991" s="860"/>
      <c r="M991" s="361"/>
      <c r="N991" s="620"/>
      <c r="O991" s="307"/>
      <c r="P991" s="802">
        <f t="shared" si="97"/>
        <v>20</v>
      </c>
      <c r="Q991" s="810">
        <f t="shared" si="97"/>
        <v>0</v>
      </c>
      <c r="R991" s="763">
        <f t="shared" si="95"/>
        <v>0</v>
      </c>
    </row>
    <row r="992" spans="2:18" ht="12.75">
      <c r="B992" s="177">
        <f t="shared" si="93"/>
        <v>562</v>
      </c>
      <c r="C992" s="153"/>
      <c r="D992" s="154"/>
      <c r="E992" s="138"/>
      <c r="F992" s="138" t="s">
        <v>202</v>
      </c>
      <c r="G992" s="199" t="s">
        <v>335</v>
      </c>
      <c r="H992" s="357">
        <v>10860</v>
      </c>
      <c r="I992" s="357">
        <v>5253</v>
      </c>
      <c r="J992" s="620">
        <f t="shared" si="96"/>
        <v>48.370165745856355</v>
      </c>
      <c r="K992" s="307"/>
      <c r="L992" s="860"/>
      <c r="M992" s="361"/>
      <c r="N992" s="620"/>
      <c r="O992" s="307"/>
      <c r="P992" s="802">
        <f t="shared" si="97"/>
        <v>10860</v>
      </c>
      <c r="Q992" s="810">
        <f t="shared" si="97"/>
        <v>5253</v>
      </c>
      <c r="R992" s="763">
        <f t="shared" si="95"/>
        <v>48.370165745856355</v>
      </c>
    </row>
    <row r="993" spans="2:18" ht="12.75">
      <c r="B993" s="177">
        <f t="shared" si="93"/>
        <v>563</v>
      </c>
      <c r="C993" s="153"/>
      <c r="D993" s="154"/>
      <c r="E993" s="138"/>
      <c r="F993" s="138" t="s">
        <v>203</v>
      </c>
      <c r="G993" s="199" t="s">
        <v>251</v>
      </c>
      <c r="H993" s="357">
        <v>400</v>
      </c>
      <c r="I993" s="357">
        <v>61</v>
      </c>
      <c r="J993" s="620">
        <f t="shared" si="96"/>
        <v>15.25</v>
      </c>
      <c r="K993" s="307"/>
      <c r="L993" s="860"/>
      <c r="M993" s="361"/>
      <c r="N993" s="620"/>
      <c r="O993" s="307"/>
      <c r="P993" s="802">
        <f t="shared" si="97"/>
        <v>400</v>
      </c>
      <c r="Q993" s="810">
        <f t="shared" si="97"/>
        <v>61</v>
      </c>
      <c r="R993" s="763">
        <f t="shared" si="95"/>
        <v>15.25</v>
      </c>
    </row>
    <row r="994" spans="2:18" ht="12.75">
      <c r="B994" s="177">
        <f t="shared" si="93"/>
        <v>564</v>
      </c>
      <c r="C994" s="153"/>
      <c r="D994" s="154"/>
      <c r="E994" s="138"/>
      <c r="F994" s="138" t="s">
        <v>217</v>
      </c>
      <c r="G994" s="199" t="s">
        <v>266</v>
      </c>
      <c r="H994" s="357">
        <v>220</v>
      </c>
      <c r="I994" s="357">
        <v>0</v>
      </c>
      <c r="J994" s="620">
        <f t="shared" si="96"/>
        <v>0</v>
      </c>
      <c r="K994" s="307"/>
      <c r="L994" s="860"/>
      <c r="M994" s="361"/>
      <c r="N994" s="620"/>
      <c r="O994" s="307"/>
      <c r="P994" s="802">
        <f t="shared" si="97"/>
        <v>220</v>
      </c>
      <c r="Q994" s="810">
        <f t="shared" si="97"/>
        <v>0</v>
      </c>
      <c r="R994" s="763">
        <f t="shared" si="95"/>
        <v>0</v>
      </c>
    </row>
    <row r="995" spans="2:18" ht="12.75">
      <c r="B995" s="177">
        <f t="shared" si="93"/>
        <v>565</v>
      </c>
      <c r="C995" s="153"/>
      <c r="D995" s="154"/>
      <c r="E995" s="138"/>
      <c r="F995" s="138" t="s">
        <v>219</v>
      </c>
      <c r="G995" s="199" t="s">
        <v>252</v>
      </c>
      <c r="H995" s="357">
        <v>2100</v>
      </c>
      <c r="I995" s="357">
        <v>1383</v>
      </c>
      <c r="J995" s="620">
        <f t="shared" si="96"/>
        <v>65.85714285714286</v>
      </c>
      <c r="K995" s="307"/>
      <c r="L995" s="860"/>
      <c r="M995" s="361"/>
      <c r="N995" s="620"/>
      <c r="O995" s="307"/>
      <c r="P995" s="802">
        <f t="shared" si="97"/>
        <v>2100</v>
      </c>
      <c r="Q995" s="810">
        <f t="shared" si="97"/>
        <v>1383</v>
      </c>
      <c r="R995" s="763">
        <f t="shared" si="95"/>
        <v>65.85714285714286</v>
      </c>
    </row>
    <row r="996" spans="2:18" ht="15">
      <c r="B996" s="177">
        <f t="shared" si="93"/>
        <v>566</v>
      </c>
      <c r="C996" s="153"/>
      <c r="D996" s="260" t="s">
        <v>504</v>
      </c>
      <c r="E996" s="181" t="s">
        <v>425</v>
      </c>
      <c r="F996" s="158" t="s">
        <v>402</v>
      </c>
      <c r="G996" s="239"/>
      <c r="H996" s="390">
        <f>H997+H998+H999+H1004</f>
        <v>58470</v>
      </c>
      <c r="I996" s="390">
        <f>I997+I998+I999+I1004</f>
        <v>25055</v>
      </c>
      <c r="J996" s="620">
        <f t="shared" si="96"/>
        <v>42.85103471865914</v>
      </c>
      <c r="K996" s="306"/>
      <c r="L996" s="854"/>
      <c r="M996" s="875"/>
      <c r="N996" s="620"/>
      <c r="O996" s="306"/>
      <c r="P996" s="826">
        <f t="shared" si="97"/>
        <v>58470</v>
      </c>
      <c r="Q996" s="840">
        <f t="shared" si="97"/>
        <v>25055</v>
      </c>
      <c r="R996" s="763">
        <f t="shared" si="95"/>
        <v>42.85103471865914</v>
      </c>
    </row>
    <row r="997" spans="2:18" ht="12.75">
      <c r="B997" s="177">
        <f t="shared" si="93"/>
        <v>567</v>
      </c>
      <c r="C997" s="153"/>
      <c r="D997" s="154"/>
      <c r="E997" s="138"/>
      <c r="F997" s="154" t="s">
        <v>214</v>
      </c>
      <c r="G997" s="206" t="s">
        <v>543</v>
      </c>
      <c r="H997" s="393">
        <f>33560-370</f>
        <v>33190</v>
      </c>
      <c r="I997" s="393">
        <v>14661</v>
      </c>
      <c r="J997" s="620">
        <f t="shared" si="96"/>
        <v>44.17294365772823</v>
      </c>
      <c r="K997" s="307"/>
      <c r="L997" s="860"/>
      <c r="M997" s="361"/>
      <c r="N997" s="620"/>
      <c r="O997" s="307"/>
      <c r="P997" s="801">
        <f t="shared" si="97"/>
        <v>33190</v>
      </c>
      <c r="Q997" s="809">
        <f t="shared" si="97"/>
        <v>14661</v>
      </c>
      <c r="R997" s="763">
        <f t="shared" si="95"/>
        <v>44.17294365772823</v>
      </c>
    </row>
    <row r="998" spans="2:18" ht="12.75">
      <c r="B998" s="177">
        <f t="shared" si="93"/>
        <v>568</v>
      </c>
      <c r="C998" s="153"/>
      <c r="D998" s="154"/>
      <c r="E998" s="138"/>
      <c r="F998" s="154" t="s">
        <v>215</v>
      </c>
      <c r="G998" s="206" t="s">
        <v>264</v>
      </c>
      <c r="H998" s="393">
        <f>12700-130</f>
        <v>12570</v>
      </c>
      <c r="I998" s="393">
        <v>5111</v>
      </c>
      <c r="J998" s="620">
        <f t="shared" si="96"/>
        <v>40.66030230708035</v>
      </c>
      <c r="K998" s="307"/>
      <c r="L998" s="860"/>
      <c r="M998" s="361"/>
      <c r="N998" s="620"/>
      <c r="O998" s="307"/>
      <c r="P998" s="801">
        <f t="shared" si="97"/>
        <v>12570</v>
      </c>
      <c r="Q998" s="809">
        <f t="shared" si="97"/>
        <v>5111</v>
      </c>
      <c r="R998" s="763">
        <f t="shared" si="95"/>
        <v>40.66030230708035</v>
      </c>
    </row>
    <row r="999" spans="2:18" ht="12.75">
      <c r="B999" s="177">
        <f t="shared" si="93"/>
        <v>569</v>
      </c>
      <c r="C999" s="153"/>
      <c r="D999" s="154"/>
      <c r="E999" s="138"/>
      <c r="F999" s="154" t="s">
        <v>221</v>
      </c>
      <c r="G999" s="206" t="s">
        <v>360</v>
      </c>
      <c r="H999" s="393">
        <f>SUM(H1000:H1003)</f>
        <v>12510</v>
      </c>
      <c r="I999" s="393">
        <f>SUM(I1000:I1003)</f>
        <v>5068</v>
      </c>
      <c r="J999" s="620">
        <f t="shared" si="96"/>
        <v>40.51159072741807</v>
      </c>
      <c r="K999" s="307"/>
      <c r="L999" s="860"/>
      <c r="M999" s="361"/>
      <c r="N999" s="620"/>
      <c r="O999" s="307"/>
      <c r="P999" s="801">
        <f t="shared" si="97"/>
        <v>12510</v>
      </c>
      <c r="Q999" s="809">
        <f t="shared" si="97"/>
        <v>5068</v>
      </c>
      <c r="R999" s="763">
        <f t="shared" si="95"/>
        <v>40.51159072741807</v>
      </c>
    </row>
    <row r="1000" spans="2:18" ht="12.75">
      <c r="B1000" s="177">
        <f t="shared" si="93"/>
        <v>570</v>
      </c>
      <c r="C1000" s="153"/>
      <c r="D1000" s="154"/>
      <c r="E1000" s="138"/>
      <c r="F1000" s="138" t="s">
        <v>202</v>
      </c>
      <c r="G1000" s="199" t="s">
        <v>335</v>
      </c>
      <c r="H1000" s="357">
        <v>8890</v>
      </c>
      <c r="I1000" s="399">
        <v>1984</v>
      </c>
      <c r="J1000" s="620">
        <f t="shared" si="96"/>
        <v>22.31721034870641</v>
      </c>
      <c r="K1000" s="307"/>
      <c r="L1000" s="860"/>
      <c r="M1000" s="361"/>
      <c r="N1000" s="620"/>
      <c r="O1000" s="307"/>
      <c r="P1000" s="802">
        <f t="shared" si="97"/>
        <v>8890</v>
      </c>
      <c r="Q1000" s="810">
        <f t="shared" si="97"/>
        <v>1984</v>
      </c>
      <c r="R1000" s="763">
        <f t="shared" si="95"/>
        <v>22.31721034870641</v>
      </c>
    </row>
    <row r="1001" spans="2:18" ht="12.75">
      <c r="B1001" s="177">
        <f t="shared" si="93"/>
        <v>571</v>
      </c>
      <c r="C1001" s="153"/>
      <c r="D1001" s="154"/>
      <c r="E1001" s="138"/>
      <c r="F1001" s="138" t="s">
        <v>203</v>
      </c>
      <c r="G1001" s="199" t="s">
        <v>251</v>
      </c>
      <c r="H1001" s="357">
        <v>1000</v>
      </c>
      <c r="I1001" s="399">
        <v>1306</v>
      </c>
      <c r="J1001" s="620">
        <f t="shared" si="96"/>
        <v>130.6</v>
      </c>
      <c r="K1001" s="308"/>
      <c r="L1001" s="861"/>
      <c r="M1001" s="393"/>
      <c r="N1001" s="620"/>
      <c r="O1001" s="308"/>
      <c r="P1001" s="804">
        <f t="shared" si="97"/>
        <v>1000</v>
      </c>
      <c r="Q1001" s="812">
        <f t="shared" si="97"/>
        <v>1306</v>
      </c>
      <c r="R1001" s="763">
        <f t="shared" si="95"/>
        <v>130.6</v>
      </c>
    </row>
    <row r="1002" spans="2:18" ht="12.75">
      <c r="B1002" s="177">
        <f t="shared" si="93"/>
        <v>572</v>
      </c>
      <c r="C1002" s="153"/>
      <c r="D1002" s="154"/>
      <c r="E1002" s="138"/>
      <c r="F1002" s="138" t="s">
        <v>217</v>
      </c>
      <c r="G1002" s="199" t="s">
        <v>266</v>
      </c>
      <c r="H1002" s="396">
        <v>400</v>
      </c>
      <c r="I1002" s="891">
        <v>203</v>
      </c>
      <c r="J1002" s="620">
        <f t="shared" si="96"/>
        <v>50.74999999999999</v>
      </c>
      <c r="K1002" s="307"/>
      <c r="L1002" s="866"/>
      <c r="M1002" s="882"/>
      <c r="N1002" s="620"/>
      <c r="O1002" s="307"/>
      <c r="P1002" s="827">
        <f t="shared" si="97"/>
        <v>400</v>
      </c>
      <c r="Q1002" s="841">
        <f t="shared" si="97"/>
        <v>203</v>
      </c>
      <c r="R1002" s="763">
        <f t="shared" si="95"/>
        <v>50.74999999999999</v>
      </c>
    </row>
    <row r="1003" spans="2:18" ht="12.75">
      <c r="B1003" s="177">
        <f t="shared" si="93"/>
        <v>573</v>
      </c>
      <c r="C1003" s="137"/>
      <c r="D1003" s="138"/>
      <c r="E1003" s="138"/>
      <c r="F1003" s="138" t="s">
        <v>219</v>
      </c>
      <c r="G1003" s="199" t="s">
        <v>252</v>
      </c>
      <c r="H1003" s="357">
        <v>2220</v>
      </c>
      <c r="I1003" s="399">
        <v>1575</v>
      </c>
      <c r="J1003" s="620">
        <f t="shared" si="96"/>
        <v>70.94594594594594</v>
      </c>
      <c r="K1003" s="309"/>
      <c r="L1003" s="863"/>
      <c r="M1003" s="402"/>
      <c r="N1003" s="620"/>
      <c r="O1003" s="309"/>
      <c r="P1003" s="802">
        <f t="shared" si="97"/>
        <v>2220</v>
      </c>
      <c r="Q1003" s="810">
        <f t="shared" si="97"/>
        <v>1575</v>
      </c>
      <c r="R1003" s="763">
        <f t="shared" si="95"/>
        <v>70.94594594594594</v>
      </c>
    </row>
    <row r="1004" spans="2:18" ht="12.75">
      <c r="B1004" s="177">
        <f t="shared" si="93"/>
        <v>574</v>
      </c>
      <c r="C1004" s="137"/>
      <c r="D1004" s="137"/>
      <c r="E1004" s="141"/>
      <c r="F1004" s="154" t="s">
        <v>220</v>
      </c>
      <c r="G1004" s="206" t="s">
        <v>547</v>
      </c>
      <c r="H1004" s="393">
        <v>200</v>
      </c>
      <c r="I1004" s="401">
        <v>215</v>
      </c>
      <c r="J1004" s="620">
        <f t="shared" si="96"/>
        <v>107.5</v>
      </c>
      <c r="K1004" s="314"/>
      <c r="L1004" s="864"/>
      <c r="M1004" s="357"/>
      <c r="N1004" s="620"/>
      <c r="O1004" s="314"/>
      <c r="P1004" s="830">
        <f t="shared" si="97"/>
        <v>200</v>
      </c>
      <c r="Q1004" s="844">
        <f t="shared" si="97"/>
        <v>215</v>
      </c>
      <c r="R1004" s="763">
        <f t="shared" si="95"/>
        <v>107.5</v>
      </c>
    </row>
    <row r="1005" spans="2:18" ht="15">
      <c r="B1005" s="177">
        <f t="shared" si="93"/>
        <v>575</v>
      </c>
      <c r="C1005" s="137"/>
      <c r="D1005" s="262">
        <v>20</v>
      </c>
      <c r="E1005" s="266" t="s">
        <v>425</v>
      </c>
      <c r="F1005" s="264" t="s">
        <v>403</v>
      </c>
      <c r="G1005" s="265"/>
      <c r="H1005" s="392">
        <f>H1006+H1007+H1008+H1013</f>
        <v>57692</v>
      </c>
      <c r="I1005" s="392">
        <f>I1006+I1007+I1008+I1013</f>
        <v>28439</v>
      </c>
      <c r="J1005" s="620">
        <f t="shared" si="96"/>
        <v>49.29452957082438</v>
      </c>
      <c r="K1005" s="313"/>
      <c r="L1005" s="868"/>
      <c r="M1005" s="883"/>
      <c r="N1005" s="620"/>
      <c r="O1005" s="313"/>
      <c r="P1005" s="835">
        <f t="shared" si="97"/>
        <v>57692</v>
      </c>
      <c r="Q1005" s="849">
        <f t="shared" si="97"/>
        <v>28439</v>
      </c>
      <c r="R1005" s="763">
        <f t="shared" si="95"/>
        <v>49.29452957082438</v>
      </c>
    </row>
    <row r="1006" spans="2:18" ht="12.75">
      <c r="B1006" s="177">
        <f aca="true" t="shared" si="98" ref="B1006:B1060">B1005+1</f>
        <v>576</v>
      </c>
      <c r="C1006" s="137"/>
      <c r="D1006" s="137"/>
      <c r="E1006" s="141"/>
      <c r="F1006" s="154" t="s">
        <v>214</v>
      </c>
      <c r="G1006" s="206" t="s">
        <v>543</v>
      </c>
      <c r="H1006" s="393">
        <f>36133-890</f>
        <v>35243</v>
      </c>
      <c r="I1006" s="393">
        <v>17620</v>
      </c>
      <c r="J1006" s="620">
        <f t="shared" si="96"/>
        <v>49.99574383565531</v>
      </c>
      <c r="K1006" s="309"/>
      <c r="L1006" s="864"/>
      <c r="M1006" s="357"/>
      <c r="N1006" s="620"/>
      <c r="O1006" s="309"/>
      <c r="P1006" s="830">
        <f t="shared" si="97"/>
        <v>35243</v>
      </c>
      <c r="Q1006" s="844">
        <f t="shared" si="97"/>
        <v>17620</v>
      </c>
      <c r="R1006" s="763">
        <f t="shared" si="95"/>
        <v>49.99574383565531</v>
      </c>
    </row>
    <row r="1007" spans="2:18" ht="12.75">
      <c r="B1007" s="177">
        <f t="shared" si="98"/>
        <v>577</v>
      </c>
      <c r="C1007" s="137"/>
      <c r="D1007" s="137"/>
      <c r="E1007" s="141"/>
      <c r="F1007" s="154" t="s">
        <v>215</v>
      </c>
      <c r="G1007" s="206" t="s">
        <v>264</v>
      </c>
      <c r="H1007" s="393">
        <f>13829-310</f>
        <v>13519</v>
      </c>
      <c r="I1007" s="393">
        <v>5695</v>
      </c>
      <c r="J1007" s="620">
        <f t="shared" si="96"/>
        <v>42.125896885864336</v>
      </c>
      <c r="K1007" s="309"/>
      <c r="L1007" s="864"/>
      <c r="M1007" s="357"/>
      <c r="N1007" s="620"/>
      <c r="O1007" s="309"/>
      <c r="P1007" s="830">
        <f t="shared" si="97"/>
        <v>13519</v>
      </c>
      <c r="Q1007" s="844">
        <f t="shared" si="97"/>
        <v>5695</v>
      </c>
      <c r="R1007" s="763">
        <f t="shared" si="95"/>
        <v>42.125896885864336</v>
      </c>
    </row>
    <row r="1008" spans="2:18" ht="12.75">
      <c r="B1008" s="177">
        <f t="shared" si="98"/>
        <v>578</v>
      </c>
      <c r="C1008" s="137"/>
      <c r="D1008" s="137"/>
      <c r="E1008" s="141"/>
      <c r="F1008" s="154" t="s">
        <v>221</v>
      </c>
      <c r="G1008" s="206" t="s">
        <v>360</v>
      </c>
      <c r="H1008" s="393">
        <f>SUM(H1009:H1012)</f>
        <v>8880</v>
      </c>
      <c r="I1008" s="393">
        <f>SUM(I1009:I1012)</f>
        <v>5124</v>
      </c>
      <c r="J1008" s="620">
        <f t="shared" si="96"/>
        <v>57.7027027027027</v>
      </c>
      <c r="K1008" s="309"/>
      <c r="L1008" s="864"/>
      <c r="M1008" s="357"/>
      <c r="N1008" s="620"/>
      <c r="O1008" s="309"/>
      <c r="P1008" s="830">
        <f t="shared" si="97"/>
        <v>8880</v>
      </c>
      <c r="Q1008" s="844">
        <f t="shared" si="97"/>
        <v>5124</v>
      </c>
      <c r="R1008" s="763">
        <f t="shared" si="95"/>
        <v>57.7027027027027</v>
      </c>
    </row>
    <row r="1009" spans="2:18" ht="12.75">
      <c r="B1009" s="177">
        <f t="shared" si="98"/>
        <v>579</v>
      </c>
      <c r="C1009" s="137"/>
      <c r="D1009" s="137"/>
      <c r="E1009" s="141"/>
      <c r="F1009" s="138" t="s">
        <v>202</v>
      </c>
      <c r="G1009" s="199" t="s">
        <v>335</v>
      </c>
      <c r="H1009" s="357">
        <v>4200</v>
      </c>
      <c r="I1009" s="357">
        <v>3933</v>
      </c>
      <c r="J1009" s="620">
        <f t="shared" si="96"/>
        <v>93.64285714285714</v>
      </c>
      <c r="K1009" s="309"/>
      <c r="L1009" s="864"/>
      <c r="M1009" s="357"/>
      <c r="N1009" s="620"/>
      <c r="O1009" s="309"/>
      <c r="P1009" s="804">
        <f t="shared" si="97"/>
        <v>4200</v>
      </c>
      <c r="Q1009" s="812">
        <f t="shared" si="97"/>
        <v>3933</v>
      </c>
      <c r="R1009" s="763">
        <f t="shared" si="95"/>
        <v>93.64285714285714</v>
      </c>
    </row>
    <row r="1010" spans="2:18" ht="12.75">
      <c r="B1010" s="177">
        <f t="shared" si="98"/>
        <v>580</v>
      </c>
      <c r="C1010" s="137"/>
      <c r="D1010" s="137"/>
      <c r="E1010" s="141"/>
      <c r="F1010" s="138" t="s">
        <v>203</v>
      </c>
      <c r="G1010" s="199" t="s">
        <v>251</v>
      </c>
      <c r="H1010" s="357">
        <v>750</v>
      </c>
      <c r="I1010" s="357">
        <v>603</v>
      </c>
      <c r="J1010" s="620">
        <f t="shared" si="96"/>
        <v>80.4</v>
      </c>
      <c r="K1010" s="309"/>
      <c r="L1010" s="864"/>
      <c r="M1010" s="357"/>
      <c r="N1010" s="620"/>
      <c r="O1010" s="309"/>
      <c r="P1010" s="804">
        <f t="shared" si="97"/>
        <v>750</v>
      </c>
      <c r="Q1010" s="812">
        <f t="shared" si="97"/>
        <v>603</v>
      </c>
      <c r="R1010" s="763">
        <f t="shared" si="95"/>
        <v>80.4</v>
      </c>
    </row>
    <row r="1011" spans="2:18" ht="12.75">
      <c r="B1011" s="177">
        <f t="shared" si="98"/>
        <v>581</v>
      </c>
      <c r="C1011" s="137"/>
      <c r="D1011" s="137"/>
      <c r="E1011" s="141"/>
      <c r="F1011" s="138" t="s">
        <v>217</v>
      </c>
      <c r="G1011" s="199" t="s">
        <v>266</v>
      </c>
      <c r="H1011" s="357">
        <v>680</v>
      </c>
      <c r="I1011" s="357">
        <v>63</v>
      </c>
      <c r="J1011" s="620">
        <f t="shared" si="96"/>
        <v>9.264705882352942</v>
      </c>
      <c r="K1011" s="309"/>
      <c r="L1011" s="864"/>
      <c r="M1011" s="357"/>
      <c r="N1011" s="620"/>
      <c r="O1011" s="309"/>
      <c r="P1011" s="804">
        <f t="shared" si="97"/>
        <v>680</v>
      </c>
      <c r="Q1011" s="812">
        <f t="shared" si="97"/>
        <v>63</v>
      </c>
      <c r="R1011" s="763">
        <f t="shared" si="95"/>
        <v>9.264705882352942</v>
      </c>
    </row>
    <row r="1012" spans="2:18" ht="12.75">
      <c r="B1012" s="177">
        <f t="shared" si="98"/>
        <v>582</v>
      </c>
      <c r="C1012" s="137"/>
      <c r="D1012" s="137"/>
      <c r="E1012" s="141"/>
      <c r="F1012" s="138" t="s">
        <v>219</v>
      </c>
      <c r="G1012" s="199" t="s">
        <v>252</v>
      </c>
      <c r="H1012" s="357">
        <v>3250</v>
      </c>
      <c r="I1012" s="357">
        <v>525</v>
      </c>
      <c r="J1012" s="620">
        <f t="shared" si="96"/>
        <v>16.153846153846153</v>
      </c>
      <c r="K1012" s="309"/>
      <c r="L1012" s="864"/>
      <c r="M1012" s="357"/>
      <c r="N1012" s="620"/>
      <c r="O1012" s="309"/>
      <c r="P1012" s="804">
        <f t="shared" si="97"/>
        <v>3250</v>
      </c>
      <c r="Q1012" s="812">
        <f t="shared" si="97"/>
        <v>525</v>
      </c>
      <c r="R1012" s="763">
        <f t="shared" si="95"/>
        <v>16.153846153846153</v>
      </c>
    </row>
    <row r="1013" spans="2:18" ht="12.75">
      <c r="B1013" s="177">
        <f t="shared" si="98"/>
        <v>583</v>
      </c>
      <c r="C1013" s="137"/>
      <c r="D1013" s="137"/>
      <c r="E1013" s="141"/>
      <c r="F1013" s="154" t="s">
        <v>220</v>
      </c>
      <c r="G1013" s="206" t="s">
        <v>405</v>
      </c>
      <c r="H1013" s="393">
        <v>50</v>
      </c>
      <c r="I1013" s="393">
        <v>0</v>
      </c>
      <c r="J1013" s="620">
        <f t="shared" si="96"/>
        <v>0</v>
      </c>
      <c r="K1013" s="309"/>
      <c r="L1013" s="864"/>
      <c r="M1013" s="357"/>
      <c r="N1013" s="620"/>
      <c r="O1013" s="309"/>
      <c r="P1013" s="830">
        <f t="shared" si="97"/>
        <v>50</v>
      </c>
      <c r="Q1013" s="844">
        <f t="shared" si="97"/>
        <v>0</v>
      </c>
      <c r="R1013" s="763">
        <f t="shared" si="95"/>
        <v>0</v>
      </c>
    </row>
    <row r="1014" spans="2:18" ht="15">
      <c r="B1014" s="177">
        <f t="shared" si="98"/>
        <v>584</v>
      </c>
      <c r="C1014" s="137"/>
      <c r="D1014" s="262">
        <v>21</v>
      </c>
      <c r="E1014" s="181" t="s">
        <v>425</v>
      </c>
      <c r="F1014" s="158" t="s">
        <v>434</v>
      </c>
      <c r="G1014" s="239"/>
      <c r="H1014" s="390">
        <f>H1015+H1016+H1017+H1022</f>
        <v>80749</v>
      </c>
      <c r="I1014" s="390">
        <f>I1015+I1016+I1017+I1022</f>
        <v>39142</v>
      </c>
      <c r="J1014" s="620">
        <f t="shared" si="96"/>
        <v>48.47366530854871</v>
      </c>
      <c r="K1014" s="313"/>
      <c r="L1014" s="855"/>
      <c r="M1014" s="876"/>
      <c r="N1014" s="620"/>
      <c r="O1014" s="313"/>
      <c r="P1014" s="834">
        <f t="shared" si="97"/>
        <v>80749</v>
      </c>
      <c r="Q1014" s="848">
        <f t="shared" si="97"/>
        <v>39142</v>
      </c>
      <c r="R1014" s="763">
        <f t="shared" si="95"/>
        <v>48.47366530854871</v>
      </c>
    </row>
    <row r="1015" spans="2:18" ht="12.75">
      <c r="B1015" s="177">
        <f t="shared" si="98"/>
        <v>585</v>
      </c>
      <c r="C1015" s="137"/>
      <c r="D1015" s="137"/>
      <c r="E1015" s="141"/>
      <c r="F1015" s="154" t="s">
        <v>214</v>
      </c>
      <c r="G1015" s="206" t="s">
        <v>543</v>
      </c>
      <c r="H1015" s="393">
        <f>32237+380</f>
        <v>32617</v>
      </c>
      <c r="I1015" s="393">
        <v>15823</v>
      </c>
      <c r="J1015" s="620">
        <f t="shared" si="96"/>
        <v>48.51151240150842</v>
      </c>
      <c r="K1015" s="309"/>
      <c r="L1015" s="864"/>
      <c r="M1015" s="357"/>
      <c r="N1015" s="620"/>
      <c r="O1015" s="309"/>
      <c r="P1015" s="830">
        <f t="shared" si="97"/>
        <v>32617</v>
      </c>
      <c r="Q1015" s="844">
        <f t="shared" si="97"/>
        <v>15823</v>
      </c>
      <c r="R1015" s="763">
        <f t="shared" si="95"/>
        <v>48.51151240150842</v>
      </c>
    </row>
    <row r="1016" spans="2:18" ht="12.75">
      <c r="B1016" s="177">
        <f t="shared" si="98"/>
        <v>586</v>
      </c>
      <c r="C1016" s="137"/>
      <c r="D1016" s="137"/>
      <c r="E1016" s="141"/>
      <c r="F1016" s="154" t="s">
        <v>215</v>
      </c>
      <c r="G1016" s="206" t="s">
        <v>264</v>
      </c>
      <c r="H1016" s="393">
        <f>10982+145</f>
        <v>11127</v>
      </c>
      <c r="I1016" s="393">
        <v>5529</v>
      </c>
      <c r="J1016" s="620">
        <f t="shared" si="96"/>
        <v>49.68994338096522</v>
      </c>
      <c r="K1016" s="309"/>
      <c r="L1016" s="864"/>
      <c r="M1016" s="357"/>
      <c r="N1016" s="620"/>
      <c r="O1016" s="309"/>
      <c r="P1016" s="830">
        <f t="shared" si="97"/>
        <v>11127</v>
      </c>
      <c r="Q1016" s="844">
        <f t="shared" si="97"/>
        <v>5529</v>
      </c>
      <c r="R1016" s="763">
        <f t="shared" si="95"/>
        <v>49.68994338096522</v>
      </c>
    </row>
    <row r="1017" spans="2:18" ht="12.75">
      <c r="B1017" s="177">
        <f t="shared" si="98"/>
        <v>587</v>
      </c>
      <c r="C1017" s="137"/>
      <c r="D1017" s="137"/>
      <c r="E1017" s="141"/>
      <c r="F1017" s="154" t="s">
        <v>221</v>
      </c>
      <c r="G1017" s="206" t="s">
        <v>360</v>
      </c>
      <c r="H1017" s="393">
        <f>SUM(H1018:H1021)</f>
        <v>36755</v>
      </c>
      <c r="I1017" s="393">
        <f>SUM(I1018:I1021)</f>
        <v>17771</v>
      </c>
      <c r="J1017" s="620">
        <f t="shared" si="96"/>
        <v>48.34988436947354</v>
      </c>
      <c r="K1017" s="309"/>
      <c r="L1017" s="864"/>
      <c r="M1017" s="357"/>
      <c r="N1017" s="620"/>
      <c r="O1017" s="309"/>
      <c r="P1017" s="830">
        <f t="shared" si="97"/>
        <v>36755</v>
      </c>
      <c r="Q1017" s="844">
        <f t="shared" si="97"/>
        <v>17771</v>
      </c>
      <c r="R1017" s="763">
        <f t="shared" si="95"/>
        <v>48.34988436947354</v>
      </c>
    </row>
    <row r="1018" spans="2:18" ht="12.75">
      <c r="B1018" s="177">
        <f t="shared" si="98"/>
        <v>588</v>
      </c>
      <c r="C1018" s="137"/>
      <c r="D1018" s="137"/>
      <c r="E1018" s="141"/>
      <c r="F1018" s="138" t="s">
        <v>202</v>
      </c>
      <c r="G1018" s="199" t="s">
        <v>335</v>
      </c>
      <c r="H1018" s="357">
        <f>29525-525</f>
        <v>29000</v>
      </c>
      <c r="I1018" s="357">
        <v>14462</v>
      </c>
      <c r="J1018" s="620">
        <f t="shared" si="96"/>
        <v>49.86896551724138</v>
      </c>
      <c r="K1018" s="309"/>
      <c r="L1018" s="864"/>
      <c r="M1018" s="357"/>
      <c r="N1018" s="620"/>
      <c r="O1018" s="309"/>
      <c r="P1018" s="804">
        <f t="shared" si="97"/>
        <v>29000</v>
      </c>
      <c r="Q1018" s="812">
        <f t="shared" si="97"/>
        <v>14462</v>
      </c>
      <c r="R1018" s="763">
        <f t="shared" si="95"/>
        <v>49.86896551724138</v>
      </c>
    </row>
    <row r="1019" spans="2:18" ht="12.75">
      <c r="B1019" s="177">
        <f t="shared" si="98"/>
        <v>589</v>
      </c>
      <c r="C1019" s="137"/>
      <c r="D1019" s="137"/>
      <c r="E1019" s="141"/>
      <c r="F1019" s="138" t="s">
        <v>203</v>
      </c>
      <c r="G1019" s="199" t="s">
        <v>251</v>
      </c>
      <c r="H1019" s="357">
        <v>3135</v>
      </c>
      <c r="I1019" s="357">
        <v>61</v>
      </c>
      <c r="J1019" s="620">
        <f t="shared" si="96"/>
        <v>1.9457735247208932</v>
      </c>
      <c r="K1019" s="309"/>
      <c r="L1019" s="864"/>
      <c r="M1019" s="357"/>
      <c r="N1019" s="620"/>
      <c r="O1019" s="309"/>
      <c r="P1019" s="804">
        <f t="shared" si="97"/>
        <v>3135</v>
      </c>
      <c r="Q1019" s="812">
        <f t="shared" si="97"/>
        <v>61</v>
      </c>
      <c r="R1019" s="763">
        <f t="shared" si="95"/>
        <v>1.9457735247208932</v>
      </c>
    </row>
    <row r="1020" spans="2:18" ht="12.75">
      <c r="B1020" s="177">
        <f t="shared" si="98"/>
        <v>590</v>
      </c>
      <c r="C1020" s="137"/>
      <c r="D1020" s="137"/>
      <c r="E1020" s="141"/>
      <c r="F1020" s="138" t="s">
        <v>217</v>
      </c>
      <c r="G1020" s="199" t="s">
        <v>266</v>
      </c>
      <c r="H1020" s="357">
        <v>1150</v>
      </c>
      <c r="I1020" s="357">
        <v>317</v>
      </c>
      <c r="J1020" s="620">
        <f t="shared" si="96"/>
        <v>27.565217391304348</v>
      </c>
      <c r="K1020" s="309"/>
      <c r="L1020" s="864"/>
      <c r="M1020" s="357"/>
      <c r="N1020" s="620"/>
      <c r="O1020" s="309"/>
      <c r="P1020" s="804">
        <f t="shared" si="97"/>
        <v>1150</v>
      </c>
      <c r="Q1020" s="812">
        <f t="shared" si="97"/>
        <v>317</v>
      </c>
      <c r="R1020" s="763">
        <f t="shared" si="95"/>
        <v>27.565217391304348</v>
      </c>
    </row>
    <row r="1021" spans="2:18" ht="12.75">
      <c r="B1021" s="177">
        <f t="shared" si="98"/>
        <v>591</v>
      </c>
      <c r="C1021" s="137"/>
      <c r="D1021" s="137"/>
      <c r="E1021" s="141"/>
      <c r="F1021" s="138" t="s">
        <v>219</v>
      </c>
      <c r="G1021" s="199" t="s">
        <v>252</v>
      </c>
      <c r="H1021" s="357">
        <v>3470</v>
      </c>
      <c r="I1021" s="357">
        <v>2931</v>
      </c>
      <c r="J1021" s="620">
        <f t="shared" si="96"/>
        <v>84.46685878962536</v>
      </c>
      <c r="K1021" s="309"/>
      <c r="L1021" s="864"/>
      <c r="M1021" s="357"/>
      <c r="N1021" s="620"/>
      <c r="O1021" s="309"/>
      <c r="P1021" s="804">
        <f t="shared" si="97"/>
        <v>3470</v>
      </c>
      <c r="Q1021" s="812">
        <f t="shared" si="97"/>
        <v>2931</v>
      </c>
      <c r="R1021" s="763">
        <f t="shared" si="95"/>
        <v>84.46685878962536</v>
      </c>
    </row>
    <row r="1022" spans="2:18" ht="12.75">
      <c r="B1022" s="177">
        <f t="shared" si="98"/>
        <v>592</v>
      </c>
      <c r="C1022" s="137"/>
      <c r="D1022" s="137"/>
      <c r="E1022" s="141"/>
      <c r="F1022" s="154" t="s">
        <v>220</v>
      </c>
      <c r="G1022" s="206" t="s">
        <v>405</v>
      </c>
      <c r="H1022" s="393">
        <v>250</v>
      </c>
      <c r="I1022" s="393">
        <v>19</v>
      </c>
      <c r="J1022" s="620">
        <f t="shared" si="96"/>
        <v>7.6</v>
      </c>
      <c r="K1022" s="309"/>
      <c r="L1022" s="864"/>
      <c r="M1022" s="357"/>
      <c r="N1022" s="620"/>
      <c r="O1022" s="309"/>
      <c r="P1022" s="830">
        <f t="shared" si="97"/>
        <v>250</v>
      </c>
      <c r="Q1022" s="844">
        <f t="shared" si="97"/>
        <v>19</v>
      </c>
      <c r="R1022" s="763">
        <f t="shared" si="95"/>
        <v>7.6</v>
      </c>
    </row>
    <row r="1023" spans="2:18" ht="15">
      <c r="B1023" s="177">
        <f t="shared" si="98"/>
        <v>593</v>
      </c>
      <c r="C1023" s="137"/>
      <c r="D1023" s="261">
        <v>22</v>
      </c>
      <c r="E1023" s="181" t="s">
        <v>425</v>
      </c>
      <c r="F1023" s="158" t="s">
        <v>435</v>
      </c>
      <c r="G1023" s="239"/>
      <c r="H1023" s="390">
        <f>H1024</f>
        <v>106500</v>
      </c>
      <c r="I1023" s="390">
        <f>I1024</f>
        <v>44320</v>
      </c>
      <c r="J1023" s="620">
        <f t="shared" si="96"/>
        <v>41.6150234741784</v>
      </c>
      <c r="K1023" s="313"/>
      <c r="L1023" s="855"/>
      <c r="M1023" s="876"/>
      <c r="N1023" s="620"/>
      <c r="O1023" s="313"/>
      <c r="P1023" s="834">
        <f t="shared" si="97"/>
        <v>106500</v>
      </c>
      <c r="Q1023" s="848">
        <f t="shared" si="97"/>
        <v>44320</v>
      </c>
      <c r="R1023" s="763">
        <f t="shared" si="95"/>
        <v>41.6150234741784</v>
      </c>
    </row>
    <row r="1024" spans="2:18" ht="12.75">
      <c r="B1024" s="177">
        <f t="shared" si="98"/>
        <v>594</v>
      </c>
      <c r="C1024" s="137"/>
      <c r="D1024" s="137"/>
      <c r="E1024" s="141"/>
      <c r="F1024" s="154" t="s">
        <v>221</v>
      </c>
      <c r="G1024" s="206" t="s">
        <v>360</v>
      </c>
      <c r="H1024" s="393">
        <f>H1025</f>
        <v>106500</v>
      </c>
      <c r="I1024" s="393">
        <f>I1025</f>
        <v>44320</v>
      </c>
      <c r="J1024" s="620">
        <f t="shared" si="96"/>
        <v>41.6150234741784</v>
      </c>
      <c r="K1024" s="309"/>
      <c r="L1024" s="864"/>
      <c r="M1024" s="357"/>
      <c r="N1024" s="620"/>
      <c r="O1024" s="309"/>
      <c r="P1024" s="804">
        <f t="shared" si="97"/>
        <v>106500</v>
      </c>
      <c r="Q1024" s="812">
        <f t="shared" si="97"/>
        <v>44320</v>
      </c>
      <c r="R1024" s="763">
        <f t="shared" si="95"/>
        <v>41.6150234741784</v>
      </c>
    </row>
    <row r="1025" spans="2:18" ht="12.75">
      <c r="B1025" s="177">
        <f t="shared" si="98"/>
        <v>595</v>
      </c>
      <c r="C1025" s="137"/>
      <c r="D1025" s="137"/>
      <c r="E1025" s="141"/>
      <c r="F1025" s="138" t="s">
        <v>219</v>
      </c>
      <c r="G1025" s="199" t="s">
        <v>715</v>
      </c>
      <c r="H1025" s="357">
        <v>106500</v>
      </c>
      <c r="I1025" s="357">
        <v>44320</v>
      </c>
      <c r="J1025" s="620">
        <f t="shared" si="96"/>
        <v>41.6150234741784</v>
      </c>
      <c r="K1025" s="309"/>
      <c r="L1025" s="864"/>
      <c r="M1025" s="357"/>
      <c r="N1025" s="620"/>
      <c r="O1025" s="309"/>
      <c r="P1025" s="804">
        <f t="shared" si="97"/>
        <v>106500</v>
      </c>
      <c r="Q1025" s="812">
        <f t="shared" si="97"/>
        <v>44320</v>
      </c>
      <c r="R1025" s="763">
        <f t="shared" si="95"/>
        <v>41.6150234741784</v>
      </c>
    </row>
    <row r="1026" spans="2:18" ht="12.75">
      <c r="B1026" s="177">
        <f t="shared" si="98"/>
        <v>596</v>
      </c>
      <c r="C1026" s="137"/>
      <c r="D1026" s="137"/>
      <c r="E1026" s="141"/>
      <c r="F1026" s="141"/>
      <c r="G1026" s="206"/>
      <c r="H1026" s="335"/>
      <c r="I1026" s="335"/>
      <c r="J1026" s="620"/>
      <c r="K1026" s="139"/>
      <c r="L1026" s="649"/>
      <c r="M1026" s="335"/>
      <c r="N1026" s="620"/>
      <c r="O1026" s="139"/>
      <c r="P1026" s="804"/>
      <c r="Q1026" s="812"/>
      <c r="R1026" s="763"/>
    </row>
    <row r="1027" spans="2:18" ht="12.75">
      <c r="B1027" s="177">
        <f t="shared" si="98"/>
        <v>597</v>
      </c>
      <c r="C1027" s="137"/>
      <c r="D1027" s="137"/>
      <c r="E1027" s="141"/>
      <c r="F1027" s="278"/>
      <c r="G1027" s="279" t="s">
        <v>396</v>
      </c>
      <c r="H1027" s="394">
        <v>20727</v>
      </c>
      <c r="I1027" s="394">
        <v>10362</v>
      </c>
      <c r="J1027" s="620">
        <f t="shared" si="96"/>
        <v>49.99276306267188</v>
      </c>
      <c r="K1027" s="139"/>
      <c r="L1027" s="870"/>
      <c r="M1027" s="885"/>
      <c r="N1027" s="620"/>
      <c r="O1027" s="139"/>
      <c r="P1027" s="836">
        <f aca="true" t="shared" si="99" ref="P1027:Q1030">H1027+L1027</f>
        <v>20727</v>
      </c>
      <c r="Q1027" s="850">
        <f t="shared" si="99"/>
        <v>10362</v>
      </c>
      <c r="R1027" s="763">
        <f t="shared" si="95"/>
        <v>49.99276306267188</v>
      </c>
    </row>
    <row r="1028" spans="2:18" ht="12.75">
      <c r="B1028" s="177">
        <f t="shared" si="98"/>
        <v>598</v>
      </c>
      <c r="C1028" s="137"/>
      <c r="D1028" s="137"/>
      <c r="E1028" s="141"/>
      <c r="F1028" s="278"/>
      <c r="G1028" s="279" t="s">
        <v>397</v>
      </c>
      <c r="H1028" s="394">
        <v>16254</v>
      </c>
      <c r="I1028" s="394">
        <v>8130</v>
      </c>
      <c r="J1028" s="620">
        <f t="shared" si="96"/>
        <v>50.01845699520118</v>
      </c>
      <c r="K1028" s="139"/>
      <c r="L1028" s="870"/>
      <c r="M1028" s="885"/>
      <c r="N1028" s="620"/>
      <c r="O1028" s="139"/>
      <c r="P1028" s="836">
        <f t="shared" si="99"/>
        <v>16254</v>
      </c>
      <c r="Q1028" s="850">
        <f t="shared" si="99"/>
        <v>8130</v>
      </c>
      <c r="R1028" s="763">
        <f t="shared" si="95"/>
        <v>50.01845699520118</v>
      </c>
    </row>
    <row r="1029" spans="2:18" ht="12.75">
      <c r="B1029" s="177">
        <f t="shared" si="98"/>
        <v>599</v>
      </c>
      <c r="C1029" s="137"/>
      <c r="D1029" s="137"/>
      <c r="E1029" s="141"/>
      <c r="F1029" s="278"/>
      <c r="G1029" s="279" t="s">
        <v>548</v>
      </c>
      <c r="H1029" s="394">
        <v>3164</v>
      </c>
      <c r="I1029" s="394">
        <v>1584</v>
      </c>
      <c r="J1029" s="620">
        <f t="shared" si="96"/>
        <v>50.06321112515803</v>
      </c>
      <c r="K1029" s="139"/>
      <c r="L1029" s="870"/>
      <c r="M1029" s="885"/>
      <c r="N1029" s="620"/>
      <c r="O1029" s="139"/>
      <c r="P1029" s="836">
        <f t="shared" si="99"/>
        <v>3164</v>
      </c>
      <c r="Q1029" s="850">
        <f t="shared" si="99"/>
        <v>1584</v>
      </c>
      <c r="R1029" s="763">
        <f t="shared" si="95"/>
        <v>50.06321112515803</v>
      </c>
    </row>
    <row r="1030" spans="2:18" ht="12.75">
      <c r="B1030" s="177">
        <f t="shared" si="98"/>
        <v>600</v>
      </c>
      <c r="C1030" s="137"/>
      <c r="D1030" s="137"/>
      <c r="E1030" s="141"/>
      <c r="F1030" s="278"/>
      <c r="G1030" s="279" t="s">
        <v>549</v>
      </c>
      <c r="H1030" s="394">
        <v>6109</v>
      </c>
      <c r="I1030" s="394">
        <v>3054</v>
      </c>
      <c r="J1030" s="620">
        <f t="shared" si="96"/>
        <v>49.99181535439515</v>
      </c>
      <c r="K1030" s="139"/>
      <c r="L1030" s="870"/>
      <c r="M1030" s="885"/>
      <c r="N1030" s="620"/>
      <c r="O1030" s="139"/>
      <c r="P1030" s="836">
        <f t="shared" si="99"/>
        <v>6109</v>
      </c>
      <c r="Q1030" s="850">
        <f t="shared" si="99"/>
        <v>3054</v>
      </c>
      <c r="R1030" s="763">
        <f t="shared" si="95"/>
        <v>49.99181535439515</v>
      </c>
    </row>
    <row r="1031" spans="2:18" ht="12.75">
      <c r="B1031" s="177">
        <f t="shared" si="98"/>
        <v>601</v>
      </c>
      <c r="C1031" s="137"/>
      <c r="D1031" s="137"/>
      <c r="E1031" s="141"/>
      <c r="F1031" s="141"/>
      <c r="G1031" s="206"/>
      <c r="H1031" s="335"/>
      <c r="I1031" s="335"/>
      <c r="J1031" s="620"/>
      <c r="K1031" s="139"/>
      <c r="L1031" s="649"/>
      <c r="M1031" s="335"/>
      <c r="N1031" s="620"/>
      <c r="O1031" s="139"/>
      <c r="P1031" s="804"/>
      <c r="Q1031" s="812"/>
      <c r="R1031" s="763"/>
    </row>
    <row r="1032" spans="2:18" ht="15.75">
      <c r="B1032" s="177">
        <f t="shared" si="98"/>
        <v>602</v>
      </c>
      <c r="C1032" s="24">
        <v>5</v>
      </c>
      <c r="D1032" s="134" t="s">
        <v>226</v>
      </c>
      <c r="E1032" s="25"/>
      <c r="F1032" s="25"/>
      <c r="G1032" s="198"/>
      <c r="H1032" s="371">
        <f>H1033+H1045+H1049+H1050</f>
        <v>239343</v>
      </c>
      <c r="I1032" s="371">
        <f>I1033+I1045+I1049+I1050</f>
        <v>115943</v>
      </c>
      <c r="J1032" s="620">
        <f t="shared" si="96"/>
        <v>48.442193838967505</v>
      </c>
      <c r="K1032" s="316"/>
      <c r="L1032" s="774">
        <v>0</v>
      </c>
      <c r="M1032" s="337">
        <v>0</v>
      </c>
      <c r="N1032" s="620"/>
      <c r="O1032" s="316"/>
      <c r="P1032" s="800">
        <f aca="true" t="shared" si="100" ref="P1032:Q1059">H1032+L1032</f>
        <v>239343</v>
      </c>
      <c r="Q1032" s="808">
        <f t="shared" si="100"/>
        <v>115943</v>
      </c>
      <c r="R1032" s="763">
        <f t="shared" si="95"/>
        <v>48.442193838967505</v>
      </c>
    </row>
    <row r="1033" spans="2:18" ht="15">
      <c r="B1033" s="177">
        <f t="shared" si="98"/>
        <v>603</v>
      </c>
      <c r="C1033" s="153"/>
      <c r="D1033" s="182"/>
      <c r="E1033" s="236" t="s">
        <v>258</v>
      </c>
      <c r="F1033" s="236" t="s">
        <v>259</v>
      </c>
      <c r="G1033" s="237"/>
      <c r="H1033" s="395">
        <f>H1034+H1035+H1036+H1044</f>
        <v>191670</v>
      </c>
      <c r="I1033" s="395">
        <f>I1034+I1035+I1036+I1044</f>
        <v>93050</v>
      </c>
      <c r="J1033" s="620">
        <f t="shared" si="96"/>
        <v>48.546981791621015</v>
      </c>
      <c r="K1033" s="304"/>
      <c r="L1033" s="853"/>
      <c r="M1033" s="874"/>
      <c r="N1033" s="620"/>
      <c r="O1033" s="304"/>
      <c r="P1033" s="825">
        <f t="shared" si="100"/>
        <v>191670</v>
      </c>
      <c r="Q1033" s="839">
        <f t="shared" si="100"/>
        <v>93050</v>
      </c>
      <c r="R1033" s="763">
        <f t="shared" si="95"/>
        <v>48.546981791621015</v>
      </c>
    </row>
    <row r="1034" spans="2:18" ht="12.75">
      <c r="B1034" s="177">
        <f t="shared" si="98"/>
        <v>604</v>
      </c>
      <c r="C1034" s="153"/>
      <c r="D1034" s="154"/>
      <c r="E1034" s="154"/>
      <c r="F1034" s="154" t="s">
        <v>214</v>
      </c>
      <c r="G1034" s="206" t="s">
        <v>543</v>
      </c>
      <c r="H1034" s="393">
        <f>102100-890+8520</f>
        <v>109730</v>
      </c>
      <c r="I1034" s="393">
        <v>50910</v>
      </c>
      <c r="J1034" s="620">
        <f t="shared" si="96"/>
        <v>46.39569853276224</v>
      </c>
      <c r="K1034" s="307"/>
      <c r="L1034" s="860"/>
      <c r="M1034" s="361"/>
      <c r="N1034" s="620"/>
      <c r="O1034" s="307"/>
      <c r="P1034" s="801">
        <f t="shared" si="100"/>
        <v>109730</v>
      </c>
      <c r="Q1034" s="809">
        <f t="shared" si="100"/>
        <v>50910</v>
      </c>
      <c r="R1034" s="763">
        <f t="shared" si="95"/>
        <v>46.39569853276224</v>
      </c>
    </row>
    <row r="1035" spans="2:18" ht="12.75">
      <c r="B1035" s="177">
        <f t="shared" si="98"/>
        <v>605</v>
      </c>
      <c r="C1035" s="153"/>
      <c r="D1035" s="154"/>
      <c r="E1035" s="154"/>
      <c r="F1035" s="154" t="s">
        <v>215</v>
      </c>
      <c r="G1035" s="206" t="s">
        <v>264</v>
      </c>
      <c r="H1035" s="393">
        <f>38730-310+2980</f>
        <v>41400</v>
      </c>
      <c r="I1035" s="393">
        <v>18136</v>
      </c>
      <c r="J1035" s="620">
        <f t="shared" si="96"/>
        <v>43.806763285024154</v>
      </c>
      <c r="K1035" s="307"/>
      <c r="L1035" s="860"/>
      <c r="M1035" s="361"/>
      <c r="N1035" s="620"/>
      <c r="O1035" s="307"/>
      <c r="P1035" s="801">
        <f t="shared" si="100"/>
        <v>41400</v>
      </c>
      <c r="Q1035" s="809">
        <f t="shared" si="100"/>
        <v>18136</v>
      </c>
      <c r="R1035" s="763">
        <f t="shared" si="95"/>
        <v>43.806763285024154</v>
      </c>
    </row>
    <row r="1036" spans="2:18" ht="12.75">
      <c r="B1036" s="177">
        <f t="shared" si="98"/>
        <v>606</v>
      </c>
      <c r="C1036" s="153"/>
      <c r="D1036" s="154"/>
      <c r="E1036" s="154"/>
      <c r="F1036" s="154" t="s">
        <v>221</v>
      </c>
      <c r="G1036" s="206" t="s">
        <v>360</v>
      </c>
      <c r="H1036" s="393">
        <f>H1037+H1038+H1039+H1040+H1041+H1042+H1043</f>
        <v>38640</v>
      </c>
      <c r="I1036" s="393">
        <f>I1037+I1038+I1039+I1040+I1041+I1042+I1043</f>
        <v>24004</v>
      </c>
      <c r="J1036" s="620">
        <f t="shared" si="96"/>
        <v>62.12215320910973</v>
      </c>
      <c r="K1036" s="307"/>
      <c r="L1036" s="860"/>
      <c r="M1036" s="361"/>
      <c r="N1036" s="620"/>
      <c r="O1036" s="307"/>
      <c r="P1036" s="801">
        <f t="shared" si="100"/>
        <v>38640</v>
      </c>
      <c r="Q1036" s="809">
        <f t="shared" si="100"/>
        <v>24004</v>
      </c>
      <c r="R1036" s="763">
        <f t="shared" si="95"/>
        <v>62.12215320910973</v>
      </c>
    </row>
    <row r="1037" spans="2:18" ht="12.75">
      <c r="B1037" s="177">
        <f t="shared" si="98"/>
        <v>607</v>
      </c>
      <c r="C1037" s="153"/>
      <c r="D1037" s="154"/>
      <c r="E1037" s="154"/>
      <c r="F1037" s="138" t="s">
        <v>216</v>
      </c>
      <c r="G1037" s="199" t="s">
        <v>260</v>
      </c>
      <c r="H1037" s="357">
        <v>200</v>
      </c>
      <c r="I1037" s="357">
        <v>60</v>
      </c>
      <c r="J1037" s="620">
        <f t="shared" si="96"/>
        <v>30</v>
      </c>
      <c r="K1037" s="307"/>
      <c r="L1037" s="860"/>
      <c r="M1037" s="361"/>
      <c r="N1037" s="620"/>
      <c r="O1037" s="307"/>
      <c r="P1037" s="801">
        <f t="shared" si="100"/>
        <v>200</v>
      </c>
      <c r="Q1037" s="809">
        <f t="shared" si="100"/>
        <v>60</v>
      </c>
      <c r="R1037" s="763">
        <f t="shared" si="95"/>
        <v>30</v>
      </c>
    </row>
    <row r="1038" spans="2:18" ht="12.75">
      <c r="B1038" s="177">
        <f t="shared" si="98"/>
        <v>608</v>
      </c>
      <c r="C1038" s="153"/>
      <c r="D1038" s="154"/>
      <c r="E1038" s="154"/>
      <c r="F1038" s="138" t="s">
        <v>202</v>
      </c>
      <c r="G1038" s="199" t="s">
        <v>250</v>
      </c>
      <c r="H1038" s="357">
        <v>2700</v>
      </c>
      <c r="I1038" s="357">
        <v>1279</v>
      </c>
      <c r="J1038" s="620">
        <f t="shared" si="96"/>
        <v>47.37037037037037</v>
      </c>
      <c r="K1038" s="317"/>
      <c r="L1038" s="860"/>
      <c r="M1038" s="361"/>
      <c r="N1038" s="620"/>
      <c r="O1038" s="317"/>
      <c r="P1038" s="801">
        <f t="shared" si="100"/>
        <v>2700</v>
      </c>
      <c r="Q1038" s="809">
        <f t="shared" si="100"/>
        <v>1279</v>
      </c>
      <c r="R1038" s="763">
        <f t="shared" si="95"/>
        <v>47.37037037037037</v>
      </c>
    </row>
    <row r="1039" spans="2:18" ht="12.75">
      <c r="B1039" s="177">
        <f t="shared" si="98"/>
        <v>609</v>
      </c>
      <c r="C1039" s="153"/>
      <c r="D1039" s="154"/>
      <c r="E1039" s="154"/>
      <c r="F1039" s="138" t="s">
        <v>203</v>
      </c>
      <c r="G1039" s="199" t="s">
        <v>261</v>
      </c>
      <c r="H1039" s="396">
        <v>6100</v>
      </c>
      <c r="I1039" s="396">
        <v>5262</v>
      </c>
      <c r="J1039" s="620">
        <f t="shared" si="96"/>
        <v>86.26229508196721</v>
      </c>
      <c r="K1039" s="312"/>
      <c r="L1039" s="861"/>
      <c r="M1039" s="393"/>
      <c r="N1039" s="620"/>
      <c r="O1039" s="312"/>
      <c r="P1039" s="830">
        <f t="shared" si="100"/>
        <v>6100</v>
      </c>
      <c r="Q1039" s="844">
        <f t="shared" si="100"/>
        <v>5262</v>
      </c>
      <c r="R1039" s="763">
        <f t="shared" si="95"/>
        <v>86.26229508196721</v>
      </c>
    </row>
    <row r="1040" spans="2:18" ht="12.75">
      <c r="B1040" s="177">
        <f t="shared" si="98"/>
        <v>610</v>
      </c>
      <c r="C1040" s="137"/>
      <c r="D1040" s="138"/>
      <c r="E1040" s="138"/>
      <c r="F1040" s="138" t="s">
        <v>204</v>
      </c>
      <c r="G1040" s="199" t="s">
        <v>265</v>
      </c>
      <c r="H1040" s="357">
        <v>6390</v>
      </c>
      <c r="I1040" s="357">
        <v>3619</v>
      </c>
      <c r="J1040" s="620">
        <f t="shared" si="96"/>
        <v>56.63536776212833</v>
      </c>
      <c r="K1040" s="309"/>
      <c r="L1040" s="865"/>
      <c r="M1040" s="881"/>
      <c r="N1040" s="620"/>
      <c r="O1040" s="309"/>
      <c r="P1040" s="827">
        <f t="shared" si="100"/>
        <v>6390</v>
      </c>
      <c r="Q1040" s="841">
        <f t="shared" si="100"/>
        <v>3619</v>
      </c>
      <c r="R1040" s="763">
        <f t="shared" si="95"/>
        <v>56.63536776212833</v>
      </c>
    </row>
    <row r="1041" spans="2:18" ht="12.75">
      <c r="B1041" s="177">
        <f t="shared" si="98"/>
        <v>611</v>
      </c>
      <c r="C1041" s="137"/>
      <c r="D1041" s="138"/>
      <c r="E1041" s="138"/>
      <c r="F1041" s="138" t="s">
        <v>217</v>
      </c>
      <c r="G1041" s="199" t="s">
        <v>555</v>
      </c>
      <c r="H1041" s="357">
        <v>1000</v>
      </c>
      <c r="I1041" s="357">
        <v>287</v>
      </c>
      <c r="J1041" s="620">
        <f t="shared" si="96"/>
        <v>28.7</v>
      </c>
      <c r="K1041" s="309"/>
      <c r="L1041" s="863"/>
      <c r="M1041" s="402"/>
      <c r="N1041" s="620"/>
      <c r="O1041" s="309"/>
      <c r="P1041" s="802">
        <f t="shared" si="100"/>
        <v>1000</v>
      </c>
      <c r="Q1041" s="810">
        <f t="shared" si="100"/>
        <v>287</v>
      </c>
      <c r="R1041" s="763">
        <f t="shared" si="95"/>
        <v>28.7</v>
      </c>
    </row>
    <row r="1042" spans="2:18" ht="12.75">
      <c r="B1042" s="177">
        <f t="shared" si="98"/>
        <v>612</v>
      </c>
      <c r="C1042" s="137"/>
      <c r="D1042" s="138"/>
      <c r="E1042" s="138"/>
      <c r="F1042" s="138" t="s">
        <v>218</v>
      </c>
      <c r="G1042" s="199" t="s">
        <v>341</v>
      </c>
      <c r="H1042" s="357">
        <v>600</v>
      </c>
      <c r="I1042" s="357">
        <v>542</v>
      </c>
      <c r="J1042" s="620">
        <f t="shared" si="96"/>
        <v>90.33333333333333</v>
      </c>
      <c r="K1042" s="309"/>
      <c r="L1042" s="863"/>
      <c r="M1042" s="402"/>
      <c r="N1042" s="620"/>
      <c r="O1042" s="309"/>
      <c r="P1042" s="802">
        <f t="shared" si="100"/>
        <v>600</v>
      </c>
      <c r="Q1042" s="810">
        <f t="shared" si="100"/>
        <v>542</v>
      </c>
      <c r="R1042" s="763">
        <f t="shared" si="95"/>
        <v>90.33333333333333</v>
      </c>
    </row>
    <row r="1043" spans="2:18" ht="12.75">
      <c r="B1043" s="177">
        <f t="shared" si="98"/>
        <v>613</v>
      </c>
      <c r="C1043" s="137"/>
      <c r="D1043" s="138"/>
      <c r="E1043" s="138"/>
      <c r="F1043" s="138" t="s">
        <v>219</v>
      </c>
      <c r="G1043" s="199" t="s">
        <v>252</v>
      </c>
      <c r="H1043" s="357">
        <f>23650-2000</f>
        <v>21650</v>
      </c>
      <c r="I1043" s="357">
        <v>12955</v>
      </c>
      <c r="J1043" s="620">
        <f t="shared" si="96"/>
        <v>59.83833718244803</v>
      </c>
      <c r="K1043" s="309"/>
      <c r="L1043" s="863"/>
      <c r="M1043" s="402"/>
      <c r="N1043" s="620"/>
      <c r="O1043" s="309"/>
      <c r="P1043" s="802">
        <f t="shared" si="100"/>
        <v>21650</v>
      </c>
      <c r="Q1043" s="810">
        <f t="shared" si="100"/>
        <v>12955</v>
      </c>
      <c r="R1043" s="763">
        <f t="shared" si="95"/>
        <v>59.83833718244803</v>
      </c>
    </row>
    <row r="1044" spans="2:18" ht="12.75">
      <c r="B1044" s="177">
        <f t="shared" si="98"/>
        <v>614</v>
      </c>
      <c r="C1044" s="153"/>
      <c r="D1044" s="154"/>
      <c r="E1044" s="174"/>
      <c r="F1044" s="277" t="s">
        <v>220</v>
      </c>
      <c r="G1044" s="206" t="s">
        <v>577</v>
      </c>
      <c r="H1044" s="393">
        <v>1900</v>
      </c>
      <c r="I1044" s="393">
        <v>0</v>
      </c>
      <c r="J1044" s="620">
        <f t="shared" si="96"/>
        <v>0</v>
      </c>
      <c r="K1044" s="307"/>
      <c r="L1044" s="860"/>
      <c r="M1044" s="361"/>
      <c r="N1044" s="620"/>
      <c r="O1044" s="307"/>
      <c r="P1044" s="801">
        <f t="shared" si="100"/>
        <v>1900</v>
      </c>
      <c r="Q1044" s="809">
        <f t="shared" si="100"/>
        <v>0</v>
      </c>
      <c r="R1044" s="763">
        <f t="shared" si="95"/>
        <v>0</v>
      </c>
    </row>
    <row r="1045" spans="2:18" ht="15">
      <c r="B1045" s="177">
        <f t="shared" si="98"/>
        <v>615</v>
      </c>
      <c r="C1045" s="153"/>
      <c r="D1045" s="182"/>
      <c r="E1045" s="158" t="s">
        <v>449</v>
      </c>
      <c r="F1045" s="158" t="s">
        <v>342</v>
      </c>
      <c r="G1045" s="239"/>
      <c r="H1045" s="390">
        <f>SUM(H1046:H1048)</f>
        <v>3000</v>
      </c>
      <c r="I1045" s="390">
        <f>SUM(I1046:I1048)</f>
        <v>2248</v>
      </c>
      <c r="J1045" s="620">
        <f t="shared" si="96"/>
        <v>74.93333333333332</v>
      </c>
      <c r="K1045" s="306"/>
      <c r="L1045" s="854"/>
      <c r="M1045" s="875"/>
      <c r="N1045" s="620"/>
      <c r="O1045" s="306"/>
      <c r="P1045" s="826">
        <f t="shared" si="100"/>
        <v>3000</v>
      </c>
      <c r="Q1045" s="840">
        <f t="shared" si="100"/>
        <v>2248</v>
      </c>
      <c r="R1045" s="763">
        <f t="shared" si="95"/>
        <v>74.93333333333332</v>
      </c>
    </row>
    <row r="1046" spans="2:18" ht="12.75">
      <c r="B1046" s="177">
        <f t="shared" si="98"/>
        <v>616</v>
      </c>
      <c r="C1046" s="137"/>
      <c r="D1046" s="11"/>
      <c r="E1046" s="138"/>
      <c r="F1046" s="138" t="s">
        <v>203</v>
      </c>
      <c r="G1046" s="199" t="s">
        <v>556</v>
      </c>
      <c r="H1046" s="335">
        <v>400</v>
      </c>
      <c r="I1046" s="335">
        <v>208</v>
      </c>
      <c r="J1046" s="620">
        <f t="shared" si="96"/>
        <v>52</v>
      </c>
      <c r="K1046" s="139"/>
      <c r="L1046" s="647"/>
      <c r="M1046" s="339"/>
      <c r="N1046" s="620"/>
      <c r="O1046" s="139"/>
      <c r="P1046" s="802">
        <f t="shared" si="100"/>
        <v>400</v>
      </c>
      <c r="Q1046" s="810">
        <f t="shared" si="100"/>
        <v>208</v>
      </c>
      <c r="R1046" s="763">
        <f t="shared" si="95"/>
        <v>52</v>
      </c>
    </row>
    <row r="1047" spans="2:18" ht="12.75">
      <c r="B1047" s="177">
        <f t="shared" si="98"/>
        <v>617</v>
      </c>
      <c r="C1047" s="137"/>
      <c r="D1047" s="11"/>
      <c r="E1047" s="138"/>
      <c r="F1047" s="138" t="s">
        <v>203</v>
      </c>
      <c r="G1047" s="199" t="s">
        <v>557</v>
      </c>
      <c r="H1047" s="335">
        <v>2400</v>
      </c>
      <c r="I1047" s="335">
        <v>1935</v>
      </c>
      <c r="J1047" s="620">
        <f t="shared" si="96"/>
        <v>80.625</v>
      </c>
      <c r="K1047" s="139"/>
      <c r="L1047" s="647"/>
      <c r="M1047" s="339"/>
      <c r="N1047" s="620"/>
      <c r="O1047" s="139"/>
      <c r="P1047" s="802">
        <f t="shared" si="100"/>
        <v>2400</v>
      </c>
      <c r="Q1047" s="810">
        <f t="shared" si="100"/>
        <v>1935</v>
      </c>
      <c r="R1047" s="763">
        <f aca="true" t="shared" si="101" ref="R1047:R1060">Q1047/P1047*100</f>
        <v>80.625</v>
      </c>
    </row>
    <row r="1048" spans="2:18" ht="12.75">
      <c r="B1048" s="177">
        <f t="shared" si="98"/>
        <v>618</v>
      </c>
      <c r="C1048" s="137"/>
      <c r="D1048" s="11"/>
      <c r="E1048" s="138"/>
      <c r="F1048" s="138" t="s">
        <v>203</v>
      </c>
      <c r="G1048" s="199" t="s">
        <v>558</v>
      </c>
      <c r="H1048" s="335">
        <v>200</v>
      </c>
      <c r="I1048" s="335">
        <v>105</v>
      </c>
      <c r="J1048" s="620">
        <f t="shared" si="96"/>
        <v>52.5</v>
      </c>
      <c r="K1048" s="139"/>
      <c r="L1048" s="647"/>
      <c r="M1048" s="339"/>
      <c r="N1048" s="620"/>
      <c r="O1048" s="139"/>
      <c r="P1048" s="802">
        <f t="shared" si="100"/>
        <v>200</v>
      </c>
      <c r="Q1048" s="810">
        <f t="shared" si="100"/>
        <v>105</v>
      </c>
      <c r="R1048" s="763">
        <f t="shared" si="101"/>
        <v>52.5</v>
      </c>
    </row>
    <row r="1049" spans="2:18" ht="15">
      <c r="B1049" s="177">
        <f t="shared" si="98"/>
        <v>619</v>
      </c>
      <c r="C1049" s="137"/>
      <c r="D1049" s="11"/>
      <c r="E1049" s="181" t="s">
        <v>448</v>
      </c>
      <c r="F1049" s="158" t="s">
        <v>343</v>
      </c>
      <c r="G1049" s="239"/>
      <c r="H1049" s="390">
        <v>6000</v>
      </c>
      <c r="I1049" s="390">
        <v>4564</v>
      </c>
      <c r="J1049" s="620">
        <f aca="true" t="shared" si="102" ref="J1049:J1060">I1049/H1049*100</f>
        <v>76.06666666666668</v>
      </c>
      <c r="K1049" s="313"/>
      <c r="L1049" s="856"/>
      <c r="M1049" s="877"/>
      <c r="N1049" s="620"/>
      <c r="O1049" s="313"/>
      <c r="P1049" s="826">
        <f t="shared" si="100"/>
        <v>6000</v>
      </c>
      <c r="Q1049" s="840">
        <f t="shared" si="100"/>
        <v>4564</v>
      </c>
      <c r="R1049" s="763">
        <f t="shared" si="101"/>
        <v>76.06666666666668</v>
      </c>
    </row>
    <row r="1050" spans="2:18" ht="15">
      <c r="B1050" s="177">
        <f t="shared" si="98"/>
        <v>620</v>
      </c>
      <c r="C1050" s="137"/>
      <c r="D1050" s="182"/>
      <c r="E1050" s="158" t="s">
        <v>449</v>
      </c>
      <c r="F1050" s="158" t="s">
        <v>87</v>
      </c>
      <c r="G1050" s="239"/>
      <c r="H1050" s="390">
        <f>H1051+H1053+H1052</f>
        <v>38673</v>
      </c>
      <c r="I1050" s="390">
        <f>I1051+I1053+I1052</f>
        <v>16081</v>
      </c>
      <c r="J1050" s="620">
        <f t="shared" si="102"/>
        <v>41.58198226152613</v>
      </c>
      <c r="K1050" s="313"/>
      <c r="L1050" s="856"/>
      <c r="M1050" s="877"/>
      <c r="N1050" s="620"/>
      <c r="O1050" s="313"/>
      <c r="P1050" s="826">
        <f t="shared" si="100"/>
        <v>38673</v>
      </c>
      <c r="Q1050" s="840">
        <f t="shared" si="100"/>
        <v>16081</v>
      </c>
      <c r="R1050" s="763">
        <f t="shared" si="101"/>
        <v>41.58198226152613</v>
      </c>
    </row>
    <row r="1051" spans="2:18" ht="12.75">
      <c r="B1051" s="177">
        <f t="shared" si="98"/>
        <v>621</v>
      </c>
      <c r="C1051" s="137"/>
      <c r="D1051" s="182"/>
      <c r="E1051" s="154"/>
      <c r="F1051" s="154" t="s">
        <v>214</v>
      </c>
      <c r="G1051" s="206" t="s">
        <v>543</v>
      </c>
      <c r="H1051" s="346">
        <v>23270</v>
      </c>
      <c r="I1051" s="346">
        <v>9410</v>
      </c>
      <c r="J1051" s="620">
        <f t="shared" si="102"/>
        <v>40.43833261710357</v>
      </c>
      <c r="K1051" s="139"/>
      <c r="L1051" s="647"/>
      <c r="M1051" s="339"/>
      <c r="N1051" s="620"/>
      <c r="O1051" s="139"/>
      <c r="P1051" s="801">
        <f t="shared" si="100"/>
        <v>23270</v>
      </c>
      <c r="Q1051" s="809">
        <f t="shared" si="100"/>
        <v>9410</v>
      </c>
      <c r="R1051" s="763">
        <f t="shared" si="101"/>
        <v>40.43833261710357</v>
      </c>
    </row>
    <row r="1052" spans="2:18" ht="12.75">
      <c r="B1052" s="177">
        <f t="shared" si="98"/>
        <v>622</v>
      </c>
      <c r="C1052" s="137"/>
      <c r="D1052" s="182"/>
      <c r="E1052" s="154"/>
      <c r="F1052" s="154" t="s">
        <v>215</v>
      </c>
      <c r="G1052" s="206" t="s">
        <v>264</v>
      </c>
      <c r="H1052" s="346">
        <v>8135</v>
      </c>
      <c r="I1052" s="346">
        <v>3523</v>
      </c>
      <c r="J1052" s="620">
        <f t="shared" si="102"/>
        <v>43.30669944683467</v>
      </c>
      <c r="K1052" s="139"/>
      <c r="L1052" s="647"/>
      <c r="M1052" s="339"/>
      <c r="N1052" s="620"/>
      <c r="O1052" s="139"/>
      <c r="P1052" s="801">
        <f t="shared" si="100"/>
        <v>8135</v>
      </c>
      <c r="Q1052" s="809">
        <f t="shared" si="100"/>
        <v>3523</v>
      </c>
      <c r="R1052" s="763">
        <f t="shared" si="101"/>
        <v>43.30669944683467</v>
      </c>
    </row>
    <row r="1053" spans="2:18" ht="12.75">
      <c r="B1053" s="177">
        <f t="shared" si="98"/>
        <v>623</v>
      </c>
      <c r="C1053" s="137"/>
      <c r="D1053" s="154"/>
      <c r="E1053" s="154"/>
      <c r="F1053" s="154" t="s">
        <v>221</v>
      </c>
      <c r="G1053" s="206" t="s">
        <v>360</v>
      </c>
      <c r="H1053" s="346">
        <f>SUM(H1054:H1060)</f>
        <v>7268</v>
      </c>
      <c r="I1053" s="346">
        <f>SUM(I1054:I1060)</f>
        <v>3148</v>
      </c>
      <c r="J1053" s="620">
        <f t="shared" si="102"/>
        <v>43.313153549807375</v>
      </c>
      <c r="K1053" s="139"/>
      <c r="L1053" s="647"/>
      <c r="M1053" s="339"/>
      <c r="N1053" s="620"/>
      <c r="O1053" s="139"/>
      <c r="P1053" s="801">
        <f t="shared" si="100"/>
        <v>7268</v>
      </c>
      <c r="Q1053" s="809">
        <f t="shared" si="100"/>
        <v>3148</v>
      </c>
      <c r="R1053" s="763">
        <f t="shared" si="101"/>
        <v>43.313153549807375</v>
      </c>
    </row>
    <row r="1054" spans="2:18" ht="12.75">
      <c r="B1054" s="177">
        <f t="shared" si="98"/>
        <v>624</v>
      </c>
      <c r="C1054" s="137"/>
      <c r="D1054" s="154"/>
      <c r="E1054" s="154"/>
      <c r="F1054" s="138" t="s">
        <v>216</v>
      </c>
      <c r="G1054" s="199" t="s">
        <v>559</v>
      </c>
      <c r="H1054" s="335">
        <v>200</v>
      </c>
      <c r="I1054" s="335">
        <v>0</v>
      </c>
      <c r="J1054" s="620">
        <f t="shared" si="102"/>
        <v>0</v>
      </c>
      <c r="K1054" s="139"/>
      <c r="L1054" s="647"/>
      <c r="M1054" s="339"/>
      <c r="N1054" s="620"/>
      <c r="O1054" s="139"/>
      <c r="P1054" s="802">
        <f t="shared" si="100"/>
        <v>200</v>
      </c>
      <c r="Q1054" s="810">
        <f t="shared" si="100"/>
        <v>0</v>
      </c>
      <c r="R1054" s="763">
        <f t="shared" si="101"/>
        <v>0</v>
      </c>
    </row>
    <row r="1055" spans="2:18" ht="12.75">
      <c r="B1055" s="177">
        <f t="shared" si="98"/>
        <v>625</v>
      </c>
      <c r="C1055" s="137"/>
      <c r="D1055" s="154"/>
      <c r="E1055" s="154"/>
      <c r="F1055" s="138" t="s">
        <v>202</v>
      </c>
      <c r="G1055" s="199" t="s">
        <v>250</v>
      </c>
      <c r="H1055" s="335">
        <v>595</v>
      </c>
      <c r="I1055" s="335">
        <v>192</v>
      </c>
      <c r="J1055" s="620">
        <f t="shared" si="102"/>
        <v>32.26890756302521</v>
      </c>
      <c r="K1055" s="80"/>
      <c r="L1055" s="647"/>
      <c r="M1055" s="339"/>
      <c r="N1055" s="620"/>
      <c r="O1055" s="80"/>
      <c r="P1055" s="802">
        <f t="shared" si="100"/>
        <v>595</v>
      </c>
      <c r="Q1055" s="810">
        <f t="shared" si="100"/>
        <v>192</v>
      </c>
      <c r="R1055" s="763">
        <f t="shared" si="101"/>
        <v>32.26890756302521</v>
      </c>
    </row>
    <row r="1056" spans="2:18" ht="12.75">
      <c r="B1056" s="177">
        <f t="shared" si="98"/>
        <v>626</v>
      </c>
      <c r="C1056" s="137"/>
      <c r="D1056" s="154"/>
      <c r="E1056" s="154"/>
      <c r="F1056" s="138" t="s">
        <v>203</v>
      </c>
      <c r="G1056" s="199" t="s">
        <v>261</v>
      </c>
      <c r="H1056" s="335">
        <f>620+710</f>
        <v>1330</v>
      </c>
      <c r="I1056" s="335">
        <v>320</v>
      </c>
      <c r="J1056" s="620">
        <f t="shared" si="102"/>
        <v>24.06015037593985</v>
      </c>
      <c r="K1056" s="80"/>
      <c r="L1056" s="647"/>
      <c r="M1056" s="339"/>
      <c r="N1056" s="620"/>
      <c r="O1056" s="80"/>
      <c r="P1056" s="802">
        <f t="shared" si="100"/>
        <v>1330</v>
      </c>
      <c r="Q1056" s="810">
        <f t="shared" si="100"/>
        <v>320</v>
      </c>
      <c r="R1056" s="763">
        <f t="shared" si="101"/>
        <v>24.06015037593985</v>
      </c>
    </row>
    <row r="1057" spans="2:18" ht="12.75">
      <c r="B1057" s="177">
        <f t="shared" si="98"/>
        <v>627</v>
      </c>
      <c r="C1057" s="137"/>
      <c r="D1057" s="154"/>
      <c r="E1057" s="138"/>
      <c r="F1057" s="138" t="s">
        <v>204</v>
      </c>
      <c r="G1057" s="199" t="s">
        <v>265</v>
      </c>
      <c r="H1057" s="335">
        <f>910-910</f>
        <v>0</v>
      </c>
      <c r="I1057" s="335">
        <v>0</v>
      </c>
      <c r="J1057" s="620"/>
      <c r="K1057" s="80"/>
      <c r="L1057" s="647"/>
      <c r="M1057" s="339"/>
      <c r="N1057" s="620"/>
      <c r="O1057" s="80"/>
      <c r="P1057" s="802">
        <f t="shared" si="100"/>
        <v>0</v>
      </c>
      <c r="Q1057" s="810">
        <f t="shared" si="100"/>
        <v>0</v>
      </c>
      <c r="R1057" s="763"/>
    </row>
    <row r="1058" spans="2:18" ht="12.75">
      <c r="B1058" s="177">
        <f t="shared" si="98"/>
        <v>628</v>
      </c>
      <c r="C1058" s="137"/>
      <c r="D1058" s="154"/>
      <c r="E1058" s="138"/>
      <c r="F1058" s="138" t="s">
        <v>218</v>
      </c>
      <c r="G1058" s="199" t="s">
        <v>267</v>
      </c>
      <c r="H1058" s="335">
        <v>3000</v>
      </c>
      <c r="I1058" s="335">
        <v>1432</v>
      </c>
      <c r="J1058" s="620">
        <f t="shared" si="102"/>
        <v>47.733333333333334</v>
      </c>
      <c r="K1058" s="80"/>
      <c r="L1058" s="647"/>
      <c r="M1058" s="339"/>
      <c r="N1058" s="620"/>
      <c r="O1058" s="80"/>
      <c r="P1058" s="802">
        <f t="shared" si="100"/>
        <v>3000</v>
      </c>
      <c r="Q1058" s="810">
        <f t="shared" si="100"/>
        <v>1432</v>
      </c>
      <c r="R1058" s="763">
        <f t="shared" si="101"/>
        <v>47.733333333333334</v>
      </c>
    </row>
    <row r="1059" spans="2:18" ht="12.75">
      <c r="B1059" s="585">
        <f t="shared" si="98"/>
        <v>629</v>
      </c>
      <c r="C1059" s="586"/>
      <c r="D1059" s="587"/>
      <c r="E1059" s="588"/>
      <c r="F1059" s="588" t="s">
        <v>219</v>
      </c>
      <c r="G1059" s="589" t="s">
        <v>252</v>
      </c>
      <c r="H1059" s="339">
        <v>1500</v>
      </c>
      <c r="I1059" s="339">
        <v>561</v>
      </c>
      <c r="J1059" s="620">
        <f t="shared" si="102"/>
        <v>37.4</v>
      </c>
      <c r="K1059" s="80"/>
      <c r="L1059" s="647"/>
      <c r="M1059" s="339"/>
      <c r="N1059" s="620"/>
      <c r="O1059" s="80"/>
      <c r="P1059" s="802">
        <f t="shared" si="100"/>
        <v>1500</v>
      </c>
      <c r="Q1059" s="810">
        <f t="shared" si="100"/>
        <v>561</v>
      </c>
      <c r="R1059" s="763">
        <f t="shared" si="101"/>
        <v>37.4</v>
      </c>
    </row>
    <row r="1060" spans="2:18" ht="13.5" thickBot="1">
      <c r="B1060" s="318">
        <f t="shared" si="98"/>
        <v>630</v>
      </c>
      <c r="C1060" s="216"/>
      <c r="D1060" s="455"/>
      <c r="E1060" s="456"/>
      <c r="F1060" s="456" t="s">
        <v>203</v>
      </c>
      <c r="G1060" s="457" t="s">
        <v>786</v>
      </c>
      <c r="H1060" s="344">
        <v>643</v>
      </c>
      <c r="I1060" s="344">
        <v>643</v>
      </c>
      <c r="J1060" s="621">
        <f t="shared" si="102"/>
        <v>100</v>
      </c>
      <c r="K1060" s="80"/>
      <c r="L1060" s="775"/>
      <c r="M1060" s="344"/>
      <c r="N1060" s="621"/>
      <c r="O1060" s="576"/>
      <c r="P1060" s="806">
        <f>H1060+L1060</f>
        <v>643</v>
      </c>
      <c r="Q1060" s="814">
        <f>I1060+M1060</f>
        <v>643</v>
      </c>
      <c r="R1060" s="764">
        <f t="shared" si="101"/>
        <v>100</v>
      </c>
    </row>
    <row r="1063" spans="2:16" ht="33.75" customHeight="1" thickBot="1">
      <c r="B1063" s="248" t="s">
        <v>659</v>
      </c>
      <c r="C1063" s="248"/>
      <c r="D1063" s="248"/>
      <c r="E1063" s="248"/>
      <c r="F1063" s="248"/>
      <c r="G1063" s="248"/>
      <c r="H1063" s="248"/>
      <c r="I1063" s="248"/>
      <c r="J1063" s="248"/>
      <c r="K1063" s="248"/>
      <c r="L1063" s="248"/>
      <c r="M1063" s="248"/>
      <c r="N1063" s="248"/>
      <c r="O1063" s="248"/>
      <c r="P1063" s="248"/>
    </row>
    <row r="1064" spans="2:18" ht="15.75" customHeight="1" thickBot="1">
      <c r="B1064" s="1074" t="s">
        <v>778</v>
      </c>
      <c r="C1064" s="1075"/>
      <c r="D1064" s="1075"/>
      <c r="E1064" s="1075"/>
      <c r="F1064" s="1075"/>
      <c r="G1064" s="1075"/>
      <c r="H1064" s="1075"/>
      <c r="I1064" s="1075"/>
      <c r="J1064" s="1075"/>
      <c r="K1064" s="1075"/>
      <c r="L1064" s="1075"/>
      <c r="M1064" s="599"/>
      <c r="N1064" s="628"/>
      <c r="O1064" s="127"/>
      <c r="P1064" s="1091" t="s">
        <v>811</v>
      </c>
      <c r="Q1064" s="1101" t="s">
        <v>836</v>
      </c>
      <c r="R1064" s="761"/>
    </row>
    <row r="1065" spans="2:18" ht="24" customHeight="1" thickTop="1">
      <c r="B1065" s="23"/>
      <c r="C1065" s="1083" t="s">
        <v>512</v>
      </c>
      <c r="D1065" s="1083" t="s">
        <v>511</v>
      </c>
      <c r="E1065" s="1083" t="s">
        <v>509</v>
      </c>
      <c r="F1065" s="1083" t="s">
        <v>510</v>
      </c>
      <c r="G1065" s="319" t="s">
        <v>3</v>
      </c>
      <c r="H1065" s="1085" t="s">
        <v>806</v>
      </c>
      <c r="I1065" s="1087" t="s">
        <v>836</v>
      </c>
      <c r="J1065" s="1072" t="s">
        <v>835</v>
      </c>
      <c r="K1065" s="80"/>
      <c r="L1065" s="1068" t="s">
        <v>810</v>
      </c>
      <c r="M1065" s="1094" t="s">
        <v>836</v>
      </c>
      <c r="N1065" s="1072" t="s">
        <v>835</v>
      </c>
      <c r="O1065" s="80"/>
      <c r="P1065" s="1092"/>
      <c r="Q1065" s="1102"/>
      <c r="R1065" s="1047" t="s">
        <v>835</v>
      </c>
    </row>
    <row r="1066" spans="2:18" ht="29.25" customHeight="1" thickBot="1">
      <c r="B1066" s="26"/>
      <c r="C1066" s="1084"/>
      <c r="D1066" s="1084"/>
      <c r="E1066" s="1084"/>
      <c r="F1066" s="1084"/>
      <c r="G1066" s="196"/>
      <c r="H1066" s="1086"/>
      <c r="I1066" s="1086"/>
      <c r="J1066" s="1073"/>
      <c r="K1066" s="80"/>
      <c r="L1066" s="1069"/>
      <c r="M1066" s="1095"/>
      <c r="N1066" s="1073"/>
      <c r="O1066" s="80"/>
      <c r="P1066" s="1093"/>
      <c r="Q1066" s="1103"/>
      <c r="R1066" s="1048"/>
    </row>
    <row r="1067" spans="2:18" ht="30" customHeight="1" thickBot="1" thickTop="1">
      <c r="B1067" s="592">
        <v>1</v>
      </c>
      <c r="C1067" s="132" t="s">
        <v>660</v>
      </c>
      <c r="D1067" s="112"/>
      <c r="E1067" s="112"/>
      <c r="F1067" s="112"/>
      <c r="G1067" s="197"/>
      <c r="H1067" s="405">
        <f>H1068+H1071+H1080+H1123</f>
        <v>1205145</v>
      </c>
      <c r="I1067" s="405">
        <f>I1068+I1071+I1080+I1123</f>
        <v>577980</v>
      </c>
      <c r="J1067" s="598">
        <f aca="true" t="shared" si="103" ref="J1067:J1088">I1067/H1067*100</f>
        <v>47.959374183189574</v>
      </c>
      <c r="K1067" s="114"/>
      <c r="L1067" s="640">
        <f>L1068+L1071+L1080+L1123</f>
        <v>349075</v>
      </c>
      <c r="M1067" s="365">
        <f>M1068+M1071+M1080+M1123</f>
        <v>158582</v>
      </c>
      <c r="N1067" s="598">
        <f>M1067/L1067*100</f>
        <v>45.429205758074914</v>
      </c>
      <c r="O1067" s="114"/>
      <c r="P1067" s="776">
        <f aca="true" t="shared" si="104" ref="P1067:P1088">H1067+L1067</f>
        <v>1554220</v>
      </c>
      <c r="Q1067" s="780">
        <f aca="true" t="shared" si="105" ref="Q1067:Q1088">I1067+M1067</f>
        <v>736562</v>
      </c>
      <c r="R1067" s="762">
        <f aca="true" t="shared" si="106" ref="R1067:R1074">Q1067/P1067*100</f>
        <v>47.39110293266076</v>
      </c>
    </row>
    <row r="1068" spans="2:18" ht="16.5" thickTop="1">
      <c r="B1068" s="592">
        <f aca="true" t="shared" si="107" ref="B1068:B1099">B1067+1</f>
        <v>2</v>
      </c>
      <c r="C1068" s="24">
        <v>1</v>
      </c>
      <c r="D1068" s="134" t="s">
        <v>111</v>
      </c>
      <c r="E1068" s="25"/>
      <c r="F1068" s="25"/>
      <c r="G1068" s="198"/>
      <c r="H1068" s="372">
        <f>H1069+H1070</f>
        <v>400</v>
      </c>
      <c r="I1068" s="372">
        <f>I1069+I1070</f>
        <v>0</v>
      </c>
      <c r="J1068" s="619">
        <f t="shared" si="103"/>
        <v>0</v>
      </c>
      <c r="K1068" s="90"/>
      <c r="L1068" s="923">
        <v>0</v>
      </c>
      <c r="M1068" s="359">
        <v>0</v>
      </c>
      <c r="N1068" s="619"/>
      <c r="O1068" s="90"/>
      <c r="P1068" s="754">
        <f t="shared" si="104"/>
        <v>400</v>
      </c>
      <c r="Q1068" s="766">
        <f t="shared" si="105"/>
        <v>0</v>
      </c>
      <c r="R1068" s="763">
        <f t="shared" si="106"/>
        <v>0</v>
      </c>
    </row>
    <row r="1069" spans="2:18" ht="24.75">
      <c r="B1069" s="592">
        <f t="shared" si="107"/>
        <v>3</v>
      </c>
      <c r="C1069" s="137"/>
      <c r="D1069" s="137"/>
      <c r="E1069" s="138" t="s">
        <v>257</v>
      </c>
      <c r="F1069" s="424">
        <v>620</v>
      </c>
      <c r="G1069" s="580" t="s">
        <v>761</v>
      </c>
      <c r="H1069" s="335">
        <v>99</v>
      </c>
      <c r="I1069" s="335">
        <v>0</v>
      </c>
      <c r="J1069" s="620">
        <f t="shared" si="103"/>
        <v>0</v>
      </c>
      <c r="K1069" s="90"/>
      <c r="L1069" s="924"/>
      <c r="M1069" s="581"/>
      <c r="N1069" s="620"/>
      <c r="O1069" s="582"/>
      <c r="P1069" s="918">
        <f t="shared" si="104"/>
        <v>99</v>
      </c>
      <c r="Q1069" s="921">
        <f t="shared" si="105"/>
        <v>0</v>
      </c>
      <c r="R1069" s="763">
        <f t="shared" si="106"/>
        <v>0</v>
      </c>
    </row>
    <row r="1070" spans="2:18" ht="24.75">
      <c r="B1070" s="592">
        <f t="shared" si="107"/>
        <v>4</v>
      </c>
      <c r="C1070" s="137"/>
      <c r="D1070" s="137"/>
      <c r="E1070" s="138" t="s">
        <v>257</v>
      </c>
      <c r="F1070" s="424">
        <v>637</v>
      </c>
      <c r="G1070" s="580" t="s">
        <v>761</v>
      </c>
      <c r="H1070" s="335">
        <v>301</v>
      </c>
      <c r="I1070" s="335">
        <v>0</v>
      </c>
      <c r="J1070" s="620">
        <f t="shared" si="103"/>
        <v>0</v>
      </c>
      <c r="K1070" s="90"/>
      <c r="L1070" s="924"/>
      <c r="M1070" s="581"/>
      <c r="N1070" s="620"/>
      <c r="O1070" s="582"/>
      <c r="P1070" s="918">
        <f t="shared" si="104"/>
        <v>301</v>
      </c>
      <c r="Q1070" s="921">
        <f t="shared" si="105"/>
        <v>0</v>
      </c>
      <c r="R1070" s="763">
        <f t="shared" si="106"/>
        <v>0</v>
      </c>
    </row>
    <row r="1071" spans="2:18" ht="15.75">
      <c r="B1071" s="592">
        <f t="shared" si="107"/>
        <v>5</v>
      </c>
      <c r="C1071" s="21">
        <v>2</v>
      </c>
      <c r="D1071" s="133" t="s">
        <v>804</v>
      </c>
      <c r="E1071" s="22"/>
      <c r="F1071" s="22"/>
      <c r="G1071" s="200"/>
      <c r="H1071" s="372">
        <f>SUM(H1072:H1079)</f>
        <v>84700</v>
      </c>
      <c r="I1071" s="372">
        <f>SUM(I1072:I1079)</f>
        <v>48487</v>
      </c>
      <c r="J1071" s="620">
        <f t="shared" si="103"/>
        <v>57.24557260920897</v>
      </c>
      <c r="K1071" s="113"/>
      <c r="L1071" s="203">
        <v>0</v>
      </c>
      <c r="M1071" s="337">
        <v>0</v>
      </c>
      <c r="N1071" s="620"/>
      <c r="O1071" s="113"/>
      <c r="P1071" s="754">
        <f t="shared" si="104"/>
        <v>84700</v>
      </c>
      <c r="Q1071" s="766">
        <f t="shared" si="105"/>
        <v>48487</v>
      </c>
      <c r="R1071" s="763">
        <f t="shared" si="106"/>
        <v>57.24557260920897</v>
      </c>
    </row>
    <row r="1072" spans="2:18" ht="12.75">
      <c r="B1072" s="592">
        <f t="shared" si="107"/>
        <v>6</v>
      </c>
      <c r="C1072" s="137"/>
      <c r="D1072" s="137"/>
      <c r="E1072" s="138" t="s">
        <v>257</v>
      </c>
      <c r="F1072" s="424">
        <v>640</v>
      </c>
      <c r="G1072" s="218" t="s">
        <v>112</v>
      </c>
      <c r="H1072" s="335">
        <v>25000</v>
      </c>
      <c r="I1072" s="335">
        <v>0</v>
      </c>
      <c r="J1072" s="620">
        <f t="shared" si="103"/>
        <v>0</v>
      </c>
      <c r="K1072" s="139"/>
      <c r="L1072" s="150"/>
      <c r="M1072" s="335"/>
      <c r="N1072" s="620"/>
      <c r="O1072" s="139"/>
      <c r="P1072" s="653">
        <f t="shared" si="104"/>
        <v>25000</v>
      </c>
      <c r="Q1072" s="420">
        <f t="shared" si="105"/>
        <v>0</v>
      </c>
      <c r="R1072" s="763">
        <f t="shared" si="106"/>
        <v>0</v>
      </c>
    </row>
    <row r="1073" spans="2:18" ht="12.75">
      <c r="B1073" s="592">
        <f t="shared" si="107"/>
        <v>7</v>
      </c>
      <c r="C1073" s="137"/>
      <c r="D1073" s="137"/>
      <c r="E1073" s="138" t="s">
        <v>257</v>
      </c>
      <c r="F1073" s="424">
        <v>640</v>
      </c>
      <c r="G1073" s="218" t="s">
        <v>658</v>
      </c>
      <c r="H1073" s="335">
        <f>5000-400+400</f>
        <v>5000</v>
      </c>
      <c r="I1073" s="335">
        <v>487</v>
      </c>
      <c r="J1073" s="620">
        <f t="shared" si="103"/>
        <v>9.74</v>
      </c>
      <c r="K1073" s="139"/>
      <c r="L1073" s="150"/>
      <c r="M1073" s="335"/>
      <c r="N1073" s="620"/>
      <c r="O1073" s="139"/>
      <c r="P1073" s="653">
        <f t="shared" si="104"/>
        <v>5000</v>
      </c>
      <c r="Q1073" s="420">
        <f t="shared" si="105"/>
        <v>487</v>
      </c>
      <c r="R1073" s="763">
        <f t="shared" si="106"/>
        <v>9.74</v>
      </c>
    </row>
    <row r="1074" spans="2:18" ht="22.5">
      <c r="B1074" s="592">
        <f t="shared" si="107"/>
        <v>8</v>
      </c>
      <c r="C1074" s="422"/>
      <c r="D1074" s="422"/>
      <c r="E1074" s="419" t="s">
        <v>257</v>
      </c>
      <c r="F1074" s="424">
        <v>640</v>
      </c>
      <c r="G1074" s="423" t="s">
        <v>617</v>
      </c>
      <c r="H1074" s="420">
        <v>2500</v>
      </c>
      <c r="I1074" s="420">
        <v>0</v>
      </c>
      <c r="J1074" s="634">
        <f t="shared" si="103"/>
        <v>0</v>
      </c>
      <c r="K1074" s="421"/>
      <c r="L1074" s="925"/>
      <c r="M1074" s="420"/>
      <c r="N1074" s="634"/>
      <c r="O1074" s="421"/>
      <c r="P1074" s="653">
        <f t="shared" si="104"/>
        <v>2500</v>
      </c>
      <c r="Q1074" s="420">
        <f t="shared" si="105"/>
        <v>0</v>
      </c>
      <c r="R1074" s="820">
        <f t="shared" si="106"/>
        <v>0</v>
      </c>
    </row>
    <row r="1075" spans="2:18" ht="22.5">
      <c r="B1075" s="592">
        <f t="shared" si="107"/>
        <v>9</v>
      </c>
      <c r="C1075" s="430"/>
      <c r="D1075" s="430"/>
      <c r="E1075" s="419" t="s">
        <v>257</v>
      </c>
      <c r="F1075" s="424">
        <v>640</v>
      </c>
      <c r="G1075" s="423" t="s">
        <v>616</v>
      </c>
      <c r="H1075" s="420">
        <v>1500</v>
      </c>
      <c r="I1075" s="420">
        <v>0</v>
      </c>
      <c r="J1075" s="634">
        <f t="shared" si="103"/>
        <v>0</v>
      </c>
      <c r="K1075" s="421"/>
      <c r="L1075" s="925"/>
      <c r="M1075" s="420"/>
      <c r="N1075" s="634"/>
      <c r="O1075" s="421"/>
      <c r="P1075" s="653">
        <f t="shared" si="104"/>
        <v>1500</v>
      </c>
      <c r="Q1075" s="420">
        <f t="shared" si="105"/>
        <v>0</v>
      </c>
      <c r="R1075" s="820">
        <v>0</v>
      </c>
    </row>
    <row r="1076" spans="2:18" ht="22.5">
      <c r="B1076" s="592">
        <f t="shared" si="107"/>
        <v>10</v>
      </c>
      <c r="C1076" s="430"/>
      <c r="D1076" s="442"/>
      <c r="E1076" s="419" t="s">
        <v>257</v>
      </c>
      <c r="F1076" s="424">
        <v>640</v>
      </c>
      <c r="G1076" s="423" t="s">
        <v>621</v>
      </c>
      <c r="H1076" s="443">
        <v>3000</v>
      </c>
      <c r="I1076" s="443">
        <v>3000</v>
      </c>
      <c r="J1076" s="634">
        <f t="shared" si="103"/>
        <v>100</v>
      </c>
      <c r="K1076" s="421"/>
      <c r="L1076" s="926"/>
      <c r="M1076" s="443"/>
      <c r="N1076" s="634"/>
      <c r="O1076" s="421"/>
      <c r="P1076" s="653">
        <f t="shared" si="104"/>
        <v>3000</v>
      </c>
      <c r="Q1076" s="420">
        <f t="shared" si="105"/>
        <v>3000</v>
      </c>
      <c r="R1076" s="820">
        <f aca="true" t="shared" si="108" ref="R1076:R1100">Q1076/P1076*100</f>
        <v>100</v>
      </c>
    </row>
    <row r="1077" spans="2:18" ht="22.5">
      <c r="B1077" s="592">
        <f t="shared" si="107"/>
        <v>11</v>
      </c>
      <c r="C1077" s="430"/>
      <c r="D1077" s="430"/>
      <c r="E1077" s="424" t="s">
        <v>268</v>
      </c>
      <c r="F1077" s="424">
        <v>640</v>
      </c>
      <c r="G1077" s="431" t="s">
        <v>636</v>
      </c>
      <c r="H1077" s="420">
        <v>1500</v>
      </c>
      <c r="I1077" s="420">
        <v>0</v>
      </c>
      <c r="J1077" s="634">
        <f t="shared" si="103"/>
        <v>0</v>
      </c>
      <c r="K1077" s="421"/>
      <c r="L1077" s="534"/>
      <c r="M1077" s="435"/>
      <c r="N1077" s="634"/>
      <c r="O1077" s="421"/>
      <c r="P1077" s="653">
        <f t="shared" si="104"/>
        <v>1500</v>
      </c>
      <c r="Q1077" s="420">
        <f t="shared" si="105"/>
        <v>0</v>
      </c>
      <c r="R1077" s="820">
        <f t="shared" si="108"/>
        <v>0</v>
      </c>
    </row>
    <row r="1078" spans="2:18" ht="22.5">
      <c r="B1078" s="592">
        <f t="shared" si="107"/>
        <v>12</v>
      </c>
      <c r="C1078" s="430"/>
      <c r="D1078" s="442"/>
      <c r="E1078" s="424" t="s">
        <v>268</v>
      </c>
      <c r="F1078" s="424">
        <v>640</v>
      </c>
      <c r="G1078" s="431" t="s">
        <v>796</v>
      </c>
      <c r="H1078" s="420">
        <v>45000</v>
      </c>
      <c r="I1078" s="420">
        <v>45000</v>
      </c>
      <c r="J1078" s="634">
        <f t="shared" si="103"/>
        <v>100</v>
      </c>
      <c r="K1078" s="421"/>
      <c r="L1078" s="534"/>
      <c r="M1078" s="435"/>
      <c r="N1078" s="634"/>
      <c r="O1078" s="421"/>
      <c r="P1078" s="651">
        <f t="shared" si="104"/>
        <v>45000</v>
      </c>
      <c r="Q1078" s="443">
        <f t="shared" si="105"/>
        <v>45000</v>
      </c>
      <c r="R1078" s="820">
        <f t="shared" si="108"/>
        <v>100</v>
      </c>
    </row>
    <row r="1079" spans="2:18" ht="12.75">
      <c r="B1079" s="144">
        <f t="shared" si="107"/>
        <v>13</v>
      </c>
      <c r="C1079" s="430"/>
      <c r="D1079" s="442"/>
      <c r="E1079" s="424" t="s">
        <v>268</v>
      </c>
      <c r="F1079" s="424">
        <v>640</v>
      </c>
      <c r="G1079" s="431" t="s">
        <v>797</v>
      </c>
      <c r="H1079" s="420">
        <v>1200</v>
      </c>
      <c r="I1079" s="420">
        <v>0</v>
      </c>
      <c r="J1079" s="620">
        <f t="shared" si="103"/>
        <v>0</v>
      </c>
      <c r="K1079" s="421"/>
      <c r="L1079" s="534"/>
      <c r="M1079" s="435"/>
      <c r="N1079" s="620"/>
      <c r="O1079" s="421"/>
      <c r="P1079" s="651">
        <f t="shared" si="104"/>
        <v>1200</v>
      </c>
      <c r="Q1079" s="443">
        <f t="shared" si="105"/>
        <v>0</v>
      </c>
      <c r="R1079" s="763">
        <f t="shared" si="108"/>
        <v>0</v>
      </c>
    </row>
    <row r="1080" spans="2:18" ht="15.75">
      <c r="B1080" s="144">
        <f t="shared" si="107"/>
        <v>14</v>
      </c>
      <c r="C1080" s="24">
        <v>3</v>
      </c>
      <c r="D1080" s="134" t="s">
        <v>143</v>
      </c>
      <c r="E1080" s="25"/>
      <c r="F1080" s="25"/>
      <c r="G1080" s="198"/>
      <c r="H1080" s="369">
        <f>H1081+H1084+H1090+H1104+H1121</f>
        <v>1064395</v>
      </c>
      <c r="I1080" s="369">
        <f>I1081+I1084+I1090+I1104+I1121</f>
        <v>522206</v>
      </c>
      <c r="J1080" s="620">
        <f t="shared" si="103"/>
        <v>49.06129773251472</v>
      </c>
      <c r="K1080" s="90"/>
      <c r="L1080" s="205">
        <f>L1081+L1084+L1090+L1104</f>
        <v>343258</v>
      </c>
      <c r="M1080" s="340">
        <f>M1081+M1084+M1090+M1104</f>
        <v>155674</v>
      </c>
      <c r="N1080" s="620">
        <f>M1080/L1080*100</f>
        <v>45.3518927453985</v>
      </c>
      <c r="O1080" s="90"/>
      <c r="P1080" s="754">
        <f t="shared" si="104"/>
        <v>1407653</v>
      </c>
      <c r="Q1080" s="766">
        <f t="shared" si="105"/>
        <v>677880</v>
      </c>
      <c r="R1080" s="763">
        <f t="shared" si="108"/>
        <v>48.156754541069425</v>
      </c>
    </row>
    <row r="1081" spans="2:18" ht="12.75">
      <c r="B1081" s="144">
        <f t="shared" si="107"/>
        <v>15</v>
      </c>
      <c r="C1081" s="77"/>
      <c r="D1081" s="204" t="s">
        <v>4</v>
      </c>
      <c r="E1081" s="220" t="s">
        <v>113</v>
      </c>
      <c r="F1081" s="220"/>
      <c r="G1081" s="221"/>
      <c r="H1081" s="334">
        <f>SUM(H1082:H1083)</f>
        <v>157140</v>
      </c>
      <c r="I1081" s="334">
        <f>SUM(I1082:I1083)</f>
        <v>79005</v>
      </c>
      <c r="J1081" s="620">
        <f t="shared" si="103"/>
        <v>50.27682321496755</v>
      </c>
      <c r="K1081" s="20"/>
      <c r="L1081" s="927"/>
      <c r="M1081" s="360"/>
      <c r="N1081" s="620"/>
      <c r="O1081" s="20"/>
      <c r="P1081" s="755">
        <f t="shared" si="104"/>
        <v>157140</v>
      </c>
      <c r="Q1081" s="767">
        <f t="shared" si="105"/>
        <v>79005</v>
      </c>
      <c r="R1081" s="763">
        <f t="shared" si="108"/>
        <v>50.27682321496755</v>
      </c>
    </row>
    <row r="1082" spans="2:18" ht="12.75">
      <c r="B1082" s="144">
        <f t="shared" si="107"/>
        <v>16</v>
      </c>
      <c r="C1082" s="137"/>
      <c r="D1082" s="137"/>
      <c r="E1082" s="141" t="s">
        <v>268</v>
      </c>
      <c r="F1082" s="141">
        <v>640</v>
      </c>
      <c r="G1082" s="436" t="s">
        <v>635</v>
      </c>
      <c r="H1082" s="335">
        <f>122000+33000</f>
        <v>155000</v>
      </c>
      <c r="I1082" s="335">
        <v>77500</v>
      </c>
      <c r="J1082" s="620">
        <f t="shared" si="103"/>
        <v>50</v>
      </c>
      <c r="K1082" s="139"/>
      <c r="L1082" s="150"/>
      <c r="M1082" s="335"/>
      <c r="N1082" s="620"/>
      <c r="O1082" s="139"/>
      <c r="P1082" s="759">
        <f t="shared" si="104"/>
        <v>155000</v>
      </c>
      <c r="Q1082" s="771">
        <f t="shared" si="105"/>
        <v>77500</v>
      </c>
      <c r="R1082" s="763">
        <f t="shared" si="108"/>
        <v>50</v>
      </c>
    </row>
    <row r="1083" spans="2:18" ht="12.75">
      <c r="B1083" s="144">
        <f t="shared" si="107"/>
        <v>17</v>
      </c>
      <c r="C1083" s="137"/>
      <c r="D1083" s="137"/>
      <c r="E1083" s="141" t="s">
        <v>268</v>
      </c>
      <c r="F1083" s="141">
        <v>637</v>
      </c>
      <c r="G1083" s="218" t="s">
        <v>320</v>
      </c>
      <c r="H1083" s="335">
        <v>2140</v>
      </c>
      <c r="I1083" s="335">
        <v>1505</v>
      </c>
      <c r="J1083" s="620">
        <f t="shared" si="103"/>
        <v>70.32710280373831</v>
      </c>
      <c r="K1083" s="139"/>
      <c r="L1083" s="150"/>
      <c r="M1083" s="335"/>
      <c r="N1083" s="620"/>
      <c r="O1083" s="139"/>
      <c r="P1083" s="759">
        <f t="shared" si="104"/>
        <v>2140</v>
      </c>
      <c r="Q1083" s="771">
        <f t="shared" si="105"/>
        <v>1505</v>
      </c>
      <c r="R1083" s="763">
        <f t="shared" si="108"/>
        <v>70.32710280373831</v>
      </c>
    </row>
    <row r="1084" spans="2:18" ht="12.75">
      <c r="B1084" s="144">
        <f t="shared" si="107"/>
        <v>18</v>
      </c>
      <c r="C1084" s="77"/>
      <c r="D1084" s="204" t="s">
        <v>5</v>
      </c>
      <c r="E1084" s="220" t="s">
        <v>114</v>
      </c>
      <c r="F1084" s="220"/>
      <c r="G1084" s="221"/>
      <c r="H1084" s="334">
        <f>SUM(H1085:H1088)</f>
        <v>166050</v>
      </c>
      <c r="I1084" s="334">
        <f>SUM(I1085:I1088)</f>
        <v>92625</v>
      </c>
      <c r="J1084" s="620">
        <f t="shared" si="103"/>
        <v>55.781391147244804</v>
      </c>
      <c r="K1084" s="20"/>
      <c r="L1084" s="927">
        <f>SUM(L1085:L1089)</f>
        <v>105000</v>
      </c>
      <c r="M1084" s="360">
        <f>SUM(M1085:M1089)</f>
        <v>0</v>
      </c>
      <c r="N1084" s="620">
        <f>M1084/L1084*100</f>
        <v>0</v>
      </c>
      <c r="O1084" s="20"/>
      <c r="P1084" s="755">
        <f t="shared" si="104"/>
        <v>271050</v>
      </c>
      <c r="Q1084" s="767">
        <f t="shared" si="105"/>
        <v>92625</v>
      </c>
      <c r="R1084" s="763">
        <f t="shared" si="108"/>
        <v>34.172661870503596</v>
      </c>
    </row>
    <row r="1085" spans="2:18" ht="22.5">
      <c r="B1085" s="144">
        <f t="shared" si="107"/>
        <v>19</v>
      </c>
      <c r="C1085" s="430"/>
      <c r="D1085" s="430"/>
      <c r="E1085" s="424" t="s">
        <v>268</v>
      </c>
      <c r="F1085" s="424">
        <v>640</v>
      </c>
      <c r="G1085" s="431" t="s">
        <v>634</v>
      </c>
      <c r="H1085" s="420">
        <f>160000-8500+8500</f>
        <v>160000</v>
      </c>
      <c r="I1085" s="420">
        <v>90000</v>
      </c>
      <c r="J1085" s="620">
        <f t="shared" si="103"/>
        <v>56.25</v>
      </c>
      <c r="K1085" s="421"/>
      <c r="L1085" s="925"/>
      <c r="M1085" s="420"/>
      <c r="N1085" s="620"/>
      <c r="O1085" s="421"/>
      <c r="P1085" s="919">
        <f t="shared" si="104"/>
        <v>160000</v>
      </c>
      <c r="Q1085" s="917">
        <f t="shared" si="105"/>
        <v>90000</v>
      </c>
      <c r="R1085" s="763">
        <f t="shared" si="108"/>
        <v>56.25</v>
      </c>
    </row>
    <row r="1086" spans="2:18" ht="22.5">
      <c r="B1086" s="144">
        <f t="shared" si="107"/>
        <v>20</v>
      </c>
      <c r="C1086" s="430"/>
      <c r="D1086" s="430"/>
      <c r="E1086" s="424" t="s">
        <v>268</v>
      </c>
      <c r="F1086" s="424">
        <v>640</v>
      </c>
      <c r="G1086" s="431" t="s">
        <v>631</v>
      </c>
      <c r="H1086" s="420">
        <f>1000+500+1000</f>
        <v>2500</v>
      </c>
      <c r="I1086" s="420">
        <v>1000</v>
      </c>
      <c r="J1086" s="620">
        <f t="shared" si="103"/>
        <v>40</v>
      </c>
      <c r="K1086" s="421"/>
      <c r="L1086" s="925"/>
      <c r="M1086" s="420"/>
      <c r="N1086" s="620"/>
      <c r="O1086" s="421"/>
      <c r="P1086" s="919">
        <f t="shared" si="104"/>
        <v>2500</v>
      </c>
      <c r="Q1086" s="917">
        <f t="shared" si="105"/>
        <v>1000</v>
      </c>
      <c r="R1086" s="763">
        <f t="shared" si="108"/>
        <v>40</v>
      </c>
    </row>
    <row r="1087" spans="2:18" ht="24">
      <c r="B1087" s="144">
        <f t="shared" si="107"/>
        <v>21</v>
      </c>
      <c r="C1087" s="430"/>
      <c r="D1087" s="430"/>
      <c r="E1087" s="424" t="s">
        <v>268</v>
      </c>
      <c r="F1087" s="433">
        <v>637</v>
      </c>
      <c r="G1087" s="532" t="s">
        <v>586</v>
      </c>
      <c r="H1087" s="420">
        <f>2850-1300</f>
        <v>1550</v>
      </c>
      <c r="I1087" s="420">
        <v>1125</v>
      </c>
      <c r="J1087" s="620">
        <f t="shared" si="103"/>
        <v>72.58064516129032</v>
      </c>
      <c r="K1087" s="421"/>
      <c r="L1087" s="925"/>
      <c r="M1087" s="420"/>
      <c r="N1087" s="620"/>
      <c r="O1087" s="421"/>
      <c r="P1087" s="919">
        <f t="shared" si="104"/>
        <v>1550</v>
      </c>
      <c r="Q1087" s="917">
        <f t="shared" si="105"/>
        <v>1125</v>
      </c>
      <c r="R1087" s="763">
        <f t="shared" si="108"/>
        <v>72.58064516129032</v>
      </c>
    </row>
    <row r="1088" spans="2:18" ht="22.5">
      <c r="B1088" s="144">
        <f t="shared" si="107"/>
        <v>22</v>
      </c>
      <c r="C1088" s="430"/>
      <c r="D1088" s="430"/>
      <c r="E1088" s="424" t="s">
        <v>268</v>
      </c>
      <c r="F1088" s="424">
        <v>640</v>
      </c>
      <c r="G1088" s="431" t="s">
        <v>633</v>
      </c>
      <c r="H1088" s="435">
        <f>1000+1000</f>
        <v>2000</v>
      </c>
      <c r="I1088" s="435">
        <v>500</v>
      </c>
      <c r="J1088" s="620">
        <f t="shared" si="103"/>
        <v>25</v>
      </c>
      <c r="K1088" s="421"/>
      <c r="L1088" s="534"/>
      <c r="M1088" s="435"/>
      <c r="N1088" s="620"/>
      <c r="O1088" s="421"/>
      <c r="P1088" s="893">
        <f t="shared" si="104"/>
        <v>2000</v>
      </c>
      <c r="Q1088" s="898">
        <f t="shared" si="105"/>
        <v>500</v>
      </c>
      <c r="R1088" s="763">
        <f t="shared" si="108"/>
        <v>25</v>
      </c>
    </row>
    <row r="1089" spans="2:18" ht="12.75">
      <c r="B1089" s="144">
        <f t="shared" si="107"/>
        <v>23</v>
      </c>
      <c r="C1089" s="430"/>
      <c r="D1089" s="430"/>
      <c r="E1089" s="458" t="s">
        <v>268</v>
      </c>
      <c r="F1089" s="433">
        <v>717</v>
      </c>
      <c r="G1089" s="431" t="s">
        <v>791</v>
      </c>
      <c r="H1089" s="435"/>
      <c r="I1089" s="435"/>
      <c r="J1089" s="620"/>
      <c r="K1089" s="421"/>
      <c r="L1089" s="534">
        <v>105000</v>
      </c>
      <c r="M1089" s="435">
        <v>0</v>
      </c>
      <c r="N1089" s="620">
        <f>M1089/L1089*100</f>
        <v>0</v>
      </c>
      <c r="O1089" s="421"/>
      <c r="P1089" s="893">
        <f>L1089</f>
        <v>105000</v>
      </c>
      <c r="Q1089" s="898">
        <f>M1089</f>
        <v>0</v>
      </c>
      <c r="R1089" s="763">
        <f t="shared" si="108"/>
        <v>0</v>
      </c>
    </row>
    <row r="1090" spans="2:18" ht="12.75">
      <c r="B1090" s="144">
        <f t="shared" si="107"/>
        <v>24</v>
      </c>
      <c r="C1090" s="77"/>
      <c r="D1090" s="204" t="s">
        <v>6</v>
      </c>
      <c r="E1090" s="220" t="s">
        <v>74</v>
      </c>
      <c r="F1090" s="220"/>
      <c r="G1090" s="221"/>
      <c r="H1090" s="334">
        <f>H1091+H1102</f>
        <v>377165</v>
      </c>
      <c r="I1090" s="334">
        <f>I1091+I1102</f>
        <v>184742</v>
      </c>
      <c r="J1090" s="620">
        <f aca="true" t="shared" si="109" ref="J1090:J1100">I1090/H1090*100</f>
        <v>48.98174538994869</v>
      </c>
      <c r="K1090" s="20"/>
      <c r="L1090" s="927">
        <f>L1103</f>
        <v>80000</v>
      </c>
      <c r="M1090" s="360">
        <f>M1103</f>
        <v>80000</v>
      </c>
      <c r="N1090" s="620">
        <f>M1090/L1090*100</f>
        <v>100</v>
      </c>
      <c r="O1090" s="20"/>
      <c r="P1090" s="755">
        <f aca="true" t="shared" si="110" ref="P1090:P1100">H1090+L1090</f>
        <v>457165</v>
      </c>
      <c r="Q1090" s="767">
        <f aca="true" t="shared" si="111" ref="Q1090:Q1100">I1090+M1090</f>
        <v>264742</v>
      </c>
      <c r="R1090" s="763">
        <f t="shared" si="108"/>
        <v>57.90950750823007</v>
      </c>
    </row>
    <row r="1091" spans="2:18" ht="12.75">
      <c r="B1091" s="144">
        <f t="shared" si="107"/>
        <v>25</v>
      </c>
      <c r="C1091" s="137"/>
      <c r="D1091" s="188"/>
      <c r="E1091" s="141" t="s">
        <v>268</v>
      </c>
      <c r="F1091" s="233" t="s">
        <v>578</v>
      </c>
      <c r="G1091" s="234"/>
      <c r="H1091" s="351">
        <f>H1092+H1093+H1094+H1100</f>
        <v>372465</v>
      </c>
      <c r="I1091" s="351">
        <f>I1092+I1093+I1094+I1100</f>
        <v>181520</v>
      </c>
      <c r="J1091" s="620">
        <f t="shared" si="109"/>
        <v>48.734780449169726</v>
      </c>
      <c r="K1091" s="139"/>
      <c r="L1091" s="358"/>
      <c r="M1091" s="361"/>
      <c r="N1091" s="620"/>
      <c r="O1091" s="139"/>
      <c r="P1091" s="894">
        <f t="shared" si="110"/>
        <v>372465</v>
      </c>
      <c r="Q1091" s="899">
        <f t="shared" si="111"/>
        <v>181520</v>
      </c>
      <c r="R1091" s="763">
        <f t="shared" si="108"/>
        <v>48.734780449169726</v>
      </c>
    </row>
    <row r="1092" spans="2:18" ht="12.75">
      <c r="B1092" s="144">
        <f t="shared" si="107"/>
        <v>26</v>
      </c>
      <c r="C1092" s="137"/>
      <c r="D1092" s="137"/>
      <c r="E1092" s="141"/>
      <c r="F1092" s="160">
        <v>610</v>
      </c>
      <c r="G1092" s="206" t="s">
        <v>262</v>
      </c>
      <c r="H1092" s="346">
        <v>90100</v>
      </c>
      <c r="I1092" s="346">
        <v>41692</v>
      </c>
      <c r="J1092" s="620">
        <f t="shared" si="109"/>
        <v>46.27302996670366</v>
      </c>
      <c r="K1092" s="139"/>
      <c r="L1092" s="150"/>
      <c r="M1092" s="335"/>
      <c r="N1092" s="620"/>
      <c r="O1092" s="139"/>
      <c r="P1092" s="920">
        <f t="shared" si="110"/>
        <v>90100</v>
      </c>
      <c r="Q1092" s="922">
        <f t="shared" si="111"/>
        <v>41692</v>
      </c>
      <c r="R1092" s="763">
        <f t="shared" si="108"/>
        <v>46.27302996670366</v>
      </c>
    </row>
    <row r="1093" spans="2:18" ht="12.75">
      <c r="B1093" s="144">
        <f t="shared" si="107"/>
        <v>27</v>
      </c>
      <c r="C1093" s="137"/>
      <c r="D1093" s="137"/>
      <c r="E1093" s="141"/>
      <c r="F1093" s="160">
        <v>620</v>
      </c>
      <c r="G1093" s="206" t="s">
        <v>264</v>
      </c>
      <c r="H1093" s="346">
        <v>31665</v>
      </c>
      <c r="I1093" s="346">
        <v>14240</v>
      </c>
      <c r="J1093" s="620">
        <f t="shared" si="109"/>
        <v>44.97078793620717</v>
      </c>
      <c r="K1093" s="139"/>
      <c r="L1093" s="150"/>
      <c r="M1093" s="335"/>
      <c r="N1093" s="620"/>
      <c r="O1093" s="139"/>
      <c r="P1093" s="920">
        <f t="shared" si="110"/>
        <v>31665</v>
      </c>
      <c r="Q1093" s="922">
        <f t="shared" si="111"/>
        <v>14240</v>
      </c>
      <c r="R1093" s="763">
        <f t="shared" si="108"/>
        <v>44.97078793620717</v>
      </c>
    </row>
    <row r="1094" spans="2:18" ht="12.75">
      <c r="B1094" s="144">
        <f t="shared" si="107"/>
        <v>28</v>
      </c>
      <c r="C1094" s="137"/>
      <c r="D1094" s="137"/>
      <c r="E1094" s="141"/>
      <c r="F1094" s="160">
        <v>630</v>
      </c>
      <c r="G1094" s="206" t="s">
        <v>480</v>
      </c>
      <c r="H1094" s="346">
        <f>SUM(H1095:H1099)</f>
        <v>250600</v>
      </c>
      <c r="I1094" s="346">
        <f>SUM(I1095:I1099)</f>
        <v>125492</v>
      </c>
      <c r="J1094" s="620">
        <f t="shared" si="109"/>
        <v>50.07661612130886</v>
      </c>
      <c r="K1094" s="139"/>
      <c r="L1094" s="150"/>
      <c r="M1094" s="335"/>
      <c r="N1094" s="620"/>
      <c r="O1094" s="139"/>
      <c r="P1094" s="920">
        <f t="shared" si="110"/>
        <v>250600</v>
      </c>
      <c r="Q1094" s="922">
        <f t="shared" si="111"/>
        <v>125492</v>
      </c>
      <c r="R1094" s="763">
        <f t="shared" si="108"/>
        <v>50.07661612130886</v>
      </c>
    </row>
    <row r="1095" spans="2:18" ht="12.75">
      <c r="B1095" s="144">
        <f t="shared" si="107"/>
        <v>29</v>
      </c>
      <c r="C1095" s="137"/>
      <c r="D1095" s="137"/>
      <c r="E1095" s="141"/>
      <c r="F1095" s="166">
        <v>632</v>
      </c>
      <c r="G1095" s="199" t="s">
        <v>716</v>
      </c>
      <c r="H1095" s="335">
        <f>205200-5000</f>
        <v>200200</v>
      </c>
      <c r="I1095" s="335">
        <v>96896</v>
      </c>
      <c r="J1095" s="620">
        <f t="shared" si="109"/>
        <v>48.3996003996004</v>
      </c>
      <c r="K1095" s="139"/>
      <c r="L1095" s="150"/>
      <c r="M1095" s="335"/>
      <c r="N1095" s="620"/>
      <c r="O1095" s="139"/>
      <c r="P1095" s="759">
        <f t="shared" si="110"/>
        <v>200200</v>
      </c>
      <c r="Q1095" s="771">
        <f t="shared" si="111"/>
        <v>96896</v>
      </c>
      <c r="R1095" s="763">
        <f t="shared" si="108"/>
        <v>48.3996003996004</v>
      </c>
    </row>
    <row r="1096" spans="2:18" ht="12.75">
      <c r="B1096" s="144">
        <f t="shared" si="107"/>
        <v>30</v>
      </c>
      <c r="C1096" s="137"/>
      <c r="D1096" s="137"/>
      <c r="E1096" s="141"/>
      <c r="F1096" s="166">
        <v>633</v>
      </c>
      <c r="G1096" s="199" t="s">
        <v>251</v>
      </c>
      <c r="H1096" s="335">
        <v>10250</v>
      </c>
      <c r="I1096" s="335">
        <v>7278</v>
      </c>
      <c r="J1096" s="620">
        <f t="shared" si="109"/>
        <v>71.00487804878048</v>
      </c>
      <c r="K1096" s="139"/>
      <c r="L1096" s="150"/>
      <c r="M1096" s="335"/>
      <c r="N1096" s="620"/>
      <c r="O1096" s="139"/>
      <c r="P1096" s="759">
        <f t="shared" si="110"/>
        <v>10250</v>
      </c>
      <c r="Q1096" s="771">
        <f t="shared" si="111"/>
        <v>7278</v>
      </c>
      <c r="R1096" s="763">
        <f t="shared" si="108"/>
        <v>71.00487804878048</v>
      </c>
    </row>
    <row r="1097" spans="2:18" ht="12.75">
      <c r="B1097" s="144">
        <f t="shared" si="107"/>
        <v>31</v>
      </c>
      <c r="C1097" s="137"/>
      <c r="D1097" s="137"/>
      <c r="E1097" s="141"/>
      <c r="F1097" s="166">
        <v>635</v>
      </c>
      <c r="G1097" s="199" t="s">
        <v>266</v>
      </c>
      <c r="H1097" s="335">
        <v>10000</v>
      </c>
      <c r="I1097" s="335">
        <v>5251</v>
      </c>
      <c r="J1097" s="620">
        <f t="shared" si="109"/>
        <v>52.51</v>
      </c>
      <c r="K1097" s="139"/>
      <c r="L1097" s="150"/>
      <c r="M1097" s="335"/>
      <c r="N1097" s="620"/>
      <c r="O1097" s="139"/>
      <c r="P1097" s="759">
        <f t="shared" si="110"/>
        <v>10000</v>
      </c>
      <c r="Q1097" s="771">
        <f t="shared" si="111"/>
        <v>5251</v>
      </c>
      <c r="R1097" s="763">
        <f t="shared" si="108"/>
        <v>52.51</v>
      </c>
    </row>
    <row r="1098" spans="2:18" ht="12.75">
      <c r="B1098" s="144">
        <f t="shared" si="107"/>
        <v>32</v>
      </c>
      <c r="C1098" s="137"/>
      <c r="D1098" s="137"/>
      <c r="E1098" s="141"/>
      <c r="F1098" s="166">
        <v>636</v>
      </c>
      <c r="G1098" s="199" t="s">
        <v>366</v>
      </c>
      <c r="H1098" s="335">
        <v>150</v>
      </c>
      <c r="I1098" s="335">
        <v>0</v>
      </c>
      <c r="J1098" s="620">
        <f t="shared" si="109"/>
        <v>0</v>
      </c>
      <c r="K1098" s="139"/>
      <c r="L1098" s="150"/>
      <c r="M1098" s="335"/>
      <c r="N1098" s="620"/>
      <c r="O1098" s="139"/>
      <c r="P1098" s="759">
        <f t="shared" si="110"/>
        <v>150</v>
      </c>
      <c r="Q1098" s="771">
        <f t="shared" si="111"/>
        <v>0</v>
      </c>
      <c r="R1098" s="763">
        <f t="shared" si="108"/>
        <v>0</v>
      </c>
    </row>
    <row r="1099" spans="2:18" ht="12.75">
      <c r="B1099" s="144">
        <f t="shared" si="107"/>
        <v>33</v>
      </c>
      <c r="C1099" s="137"/>
      <c r="D1099" s="137"/>
      <c r="E1099" s="141"/>
      <c r="F1099" s="166">
        <v>637</v>
      </c>
      <c r="G1099" s="199" t="s">
        <v>252</v>
      </c>
      <c r="H1099" s="335">
        <v>30000</v>
      </c>
      <c r="I1099" s="335">
        <v>16067</v>
      </c>
      <c r="J1099" s="620">
        <f t="shared" si="109"/>
        <v>53.556666666666665</v>
      </c>
      <c r="K1099" s="139"/>
      <c r="L1099" s="150"/>
      <c r="M1099" s="335"/>
      <c r="N1099" s="620"/>
      <c r="O1099" s="139"/>
      <c r="P1099" s="759">
        <f t="shared" si="110"/>
        <v>30000</v>
      </c>
      <c r="Q1099" s="771">
        <f t="shared" si="111"/>
        <v>16067</v>
      </c>
      <c r="R1099" s="763">
        <f t="shared" si="108"/>
        <v>53.556666666666665</v>
      </c>
    </row>
    <row r="1100" spans="2:18" ht="12.75">
      <c r="B1100" s="144">
        <f aca="true" t="shared" si="112" ref="B1100:B1134">B1099+1</f>
        <v>34</v>
      </c>
      <c r="C1100" s="137"/>
      <c r="D1100" s="137"/>
      <c r="E1100" s="170"/>
      <c r="F1100" s="160">
        <v>640</v>
      </c>
      <c r="G1100" s="206" t="s">
        <v>445</v>
      </c>
      <c r="H1100" s="354">
        <v>100</v>
      </c>
      <c r="I1100" s="354">
        <v>96</v>
      </c>
      <c r="J1100" s="620">
        <f t="shared" si="109"/>
        <v>96</v>
      </c>
      <c r="K1100" s="139"/>
      <c r="L1100" s="152"/>
      <c r="M1100" s="339"/>
      <c r="N1100" s="620"/>
      <c r="O1100" s="139"/>
      <c r="P1100" s="756">
        <f t="shared" si="110"/>
        <v>100</v>
      </c>
      <c r="Q1100" s="768">
        <f t="shared" si="111"/>
        <v>96</v>
      </c>
      <c r="R1100" s="763">
        <f t="shared" si="108"/>
        <v>96</v>
      </c>
    </row>
    <row r="1101" spans="2:18" ht="12.75">
      <c r="B1101" s="144">
        <f t="shared" si="112"/>
        <v>35</v>
      </c>
      <c r="C1101" s="137"/>
      <c r="D1101" s="137"/>
      <c r="E1101" s="170"/>
      <c r="F1101" s="160"/>
      <c r="G1101" s="206"/>
      <c r="H1101" s="354"/>
      <c r="I1101" s="354"/>
      <c r="J1101" s="620"/>
      <c r="K1101" s="139"/>
      <c r="L1101" s="152"/>
      <c r="M1101" s="339"/>
      <c r="N1101" s="620"/>
      <c r="O1101" s="139"/>
      <c r="P1101" s="756"/>
      <c r="Q1101" s="768"/>
      <c r="R1101" s="763"/>
    </row>
    <row r="1102" spans="2:18" ht="12.75">
      <c r="B1102" s="144">
        <f t="shared" si="112"/>
        <v>36</v>
      </c>
      <c r="C1102" s="137"/>
      <c r="D1102" s="137"/>
      <c r="E1102" s="141" t="s">
        <v>268</v>
      </c>
      <c r="F1102" s="167">
        <v>637</v>
      </c>
      <c r="G1102" s="218" t="s">
        <v>320</v>
      </c>
      <c r="H1102" s="339">
        <v>4700</v>
      </c>
      <c r="I1102" s="339">
        <v>3222</v>
      </c>
      <c r="J1102" s="620">
        <f>I1102/H1102*100</f>
        <v>68.5531914893617</v>
      </c>
      <c r="K1102" s="139"/>
      <c r="L1102" s="152"/>
      <c r="M1102" s="339"/>
      <c r="N1102" s="620"/>
      <c r="O1102" s="139"/>
      <c r="P1102" s="756">
        <f>H1102+L1102</f>
        <v>4700</v>
      </c>
      <c r="Q1102" s="768">
        <f>I1102+M1102</f>
        <v>3222</v>
      </c>
      <c r="R1102" s="763">
        <f aca="true" t="shared" si="113" ref="R1102:R1114">Q1102/P1102*100</f>
        <v>68.5531914893617</v>
      </c>
    </row>
    <row r="1103" spans="2:18" ht="12.75">
      <c r="B1103" s="144">
        <f t="shared" si="112"/>
        <v>37</v>
      </c>
      <c r="C1103" s="137"/>
      <c r="D1103" s="137"/>
      <c r="E1103" s="170" t="s">
        <v>268</v>
      </c>
      <c r="F1103" s="166">
        <v>719</v>
      </c>
      <c r="G1103" s="199" t="s">
        <v>786</v>
      </c>
      <c r="H1103" s="335"/>
      <c r="I1103" s="335"/>
      <c r="J1103" s="620"/>
      <c r="K1103" s="139"/>
      <c r="L1103" s="152">
        <v>80000</v>
      </c>
      <c r="M1103" s="339">
        <v>80000</v>
      </c>
      <c r="N1103" s="620">
        <f>M1103/L1103*100</f>
        <v>100</v>
      </c>
      <c r="O1103" s="139"/>
      <c r="P1103" s="759">
        <f>L1103</f>
        <v>80000</v>
      </c>
      <c r="Q1103" s="771">
        <f>M1103</f>
        <v>80000</v>
      </c>
      <c r="R1103" s="763">
        <f t="shared" si="113"/>
        <v>100</v>
      </c>
    </row>
    <row r="1104" spans="2:18" ht="12.75">
      <c r="B1104" s="144">
        <f t="shared" si="112"/>
        <v>38</v>
      </c>
      <c r="C1104" s="77"/>
      <c r="D1104" s="204" t="s">
        <v>7</v>
      </c>
      <c r="E1104" s="219" t="s">
        <v>268</v>
      </c>
      <c r="F1104" s="220" t="s">
        <v>115</v>
      </c>
      <c r="G1104" s="221"/>
      <c r="H1104" s="334">
        <f>H1105+H1106</f>
        <v>364040</v>
      </c>
      <c r="I1104" s="334">
        <f>I1105+I1106</f>
        <v>165834</v>
      </c>
      <c r="J1104" s="620">
        <f aca="true" t="shared" si="114" ref="J1104:J1114">I1104/H1104*100</f>
        <v>45.553785298318864</v>
      </c>
      <c r="K1104" s="20"/>
      <c r="L1104" s="928">
        <f>SUM(L1105:L1119)</f>
        <v>158258</v>
      </c>
      <c r="M1104" s="362">
        <f>SUM(M1105:M1119)</f>
        <v>75674</v>
      </c>
      <c r="N1104" s="620">
        <f>M1104/L1104*100</f>
        <v>47.81685601991684</v>
      </c>
      <c r="O1104" s="20"/>
      <c r="P1104" s="755">
        <f aca="true" t="shared" si="115" ref="P1104:P1114">H1104+L1104</f>
        <v>522298</v>
      </c>
      <c r="Q1104" s="767">
        <f aca="true" t="shared" si="116" ref="Q1104:Q1114">I1104+M1104</f>
        <v>241508</v>
      </c>
      <c r="R1104" s="763">
        <f t="shared" si="113"/>
        <v>46.239503118909134</v>
      </c>
    </row>
    <row r="1105" spans="2:18" ht="12.75">
      <c r="B1105" s="144">
        <f t="shared" si="112"/>
        <v>39</v>
      </c>
      <c r="C1105" s="137"/>
      <c r="D1105" s="137"/>
      <c r="E1105" s="141" t="s">
        <v>268</v>
      </c>
      <c r="F1105" s="141">
        <v>637</v>
      </c>
      <c r="G1105" s="218" t="s">
        <v>441</v>
      </c>
      <c r="H1105" s="335">
        <f>2260-760</f>
        <v>1500</v>
      </c>
      <c r="I1105" s="335">
        <v>1116</v>
      </c>
      <c r="J1105" s="620">
        <f t="shared" si="114"/>
        <v>74.4</v>
      </c>
      <c r="K1105" s="139"/>
      <c r="L1105" s="150"/>
      <c r="M1105" s="335"/>
      <c r="N1105" s="620"/>
      <c r="O1105" s="139"/>
      <c r="P1105" s="759">
        <f t="shared" si="115"/>
        <v>1500</v>
      </c>
      <c r="Q1105" s="771">
        <f t="shared" si="116"/>
        <v>1116</v>
      </c>
      <c r="R1105" s="763">
        <f t="shared" si="113"/>
        <v>74.4</v>
      </c>
    </row>
    <row r="1106" spans="2:18" ht="12.75">
      <c r="B1106" s="144">
        <f t="shared" si="112"/>
        <v>40</v>
      </c>
      <c r="C1106" s="137"/>
      <c r="D1106" s="137"/>
      <c r="E1106" s="141" t="s">
        <v>268</v>
      </c>
      <c r="F1106" s="229" t="s">
        <v>579</v>
      </c>
      <c r="G1106" s="229"/>
      <c r="H1106" s="351">
        <f>H1107+H1108+H1109+H1114</f>
        <v>362540</v>
      </c>
      <c r="I1106" s="351">
        <f>I1107+I1108+I1109+I1114</f>
        <v>164718</v>
      </c>
      <c r="J1106" s="620">
        <f t="shared" si="114"/>
        <v>45.43443482098527</v>
      </c>
      <c r="K1106" s="156"/>
      <c r="L1106" s="155"/>
      <c r="M1106" s="346"/>
      <c r="N1106" s="620"/>
      <c r="O1106" s="156"/>
      <c r="P1106" s="894">
        <f t="shared" si="115"/>
        <v>362540</v>
      </c>
      <c r="Q1106" s="899">
        <f t="shared" si="116"/>
        <v>164718</v>
      </c>
      <c r="R1106" s="763">
        <f t="shared" si="113"/>
        <v>45.43443482098527</v>
      </c>
    </row>
    <row r="1107" spans="2:18" ht="12.75">
      <c r="B1107" s="144">
        <f t="shared" si="112"/>
        <v>41</v>
      </c>
      <c r="C1107" s="137"/>
      <c r="D1107" s="137"/>
      <c r="E1107" s="163"/>
      <c r="F1107" s="160">
        <v>610</v>
      </c>
      <c r="G1107" s="206" t="s">
        <v>580</v>
      </c>
      <c r="H1107" s="346">
        <v>112000</v>
      </c>
      <c r="I1107" s="346">
        <v>53348</v>
      </c>
      <c r="J1107" s="620">
        <f t="shared" si="114"/>
        <v>47.63214285714285</v>
      </c>
      <c r="K1107" s="156"/>
      <c r="L1107" s="155"/>
      <c r="M1107" s="346"/>
      <c r="N1107" s="620"/>
      <c r="O1107" s="156"/>
      <c r="P1107" s="786">
        <f t="shared" si="115"/>
        <v>112000</v>
      </c>
      <c r="Q1107" s="793">
        <f t="shared" si="116"/>
        <v>53348</v>
      </c>
      <c r="R1107" s="763">
        <f t="shared" si="113"/>
        <v>47.63214285714285</v>
      </c>
    </row>
    <row r="1108" spans="2:18" ht="12.75">
      <c r="B1108" s="144">
        <f t="shared" si="112"/>
        <v>42</v>
      </c>
      <c r="C1108" s="137"/>
      <c r="D1108" s="137"/>
      <c r="E1108" s="163"/>
      <c r="F1108" s="160">
        <v>620</v>
      </c>
      <c r="G1108" s="206" t="s">
        <v>505</v>
      </c>
      <c r="H1108" s="346">
        <v>39440</v>
      </c>
      <c r="I1108" s="346">
        <v>18656</v>
      </c>
      <c r="J1108" s="620">
        <f t="shared" si="114"/>
        <v>47.302231237322516</v>
      </c>
      <c r="K1108" s="156"/>
      <c r="L1108" s="155"/>
      <c r="M1108" s="346"/>
      <c r="N1108" s="620"/>
      <c r="O1108" s="156"/>
      <c r="P1108" s="786">
        <f t="shared" si="115"/>
        <v>39440</v>
      </c>
      <c r="Q1108" s="793">
        <f t="shared" si="116"/>
        <v>18656</v>
      </c>
      <c r="R1108" s="763">
        <f t="shared" si="113"/>
        <v>47.302231237322516</v>
      </c>
    </row>
    <row r="1109" spans="2:18" ht="12.75">
      <c r="B1109" s="144">
        <f t="shared" si="112"/>
        <v>43</v>
      </c>
      <c r="C1109" s="137"/>
      <c r="D1109" s="137"/>
      <c r="E1109" s="141"/>
      <c r="F1109" s="160">
        <v>630</v>
      </c>
      <c r="G1109" s="206" t="s">
        <v>239</v>
      </c>
      <c r="H1109" s="346">
        <f>SUM(H1110:H1113)</f>
        <v>211000</v>
      </c>
      <c r="I1109" s="346">
        <f>SUM(I1110:I1113)</f>
        <v>92669</v>
      </c>
      <c r="J1109" s="620">
        <f t="shared" si="114"/>
        <v>43.91895734597156</v>
      </c>
      <c r="K1109" s="139"/>
      <c r="L1109" s="150"/>
      <c r="M1109" s="335"/>
      <c r="N1109" s="620"/>
      <c r="O1109" s="139"/>
      <c r="P1109" s="786">
        <f t="shared" si="115"/>
        <v>211000</v>
      </c>
      <c r="Q1109" s="793">
        <f t="shared" si="116"/>
        <v>92669</v>
      </c>
      <c r="R1109" s="763">
        <f t="shared" si="113"/>
        <v>43.91895734597156</v>
      </c>
    </row>
    <row r="1110" spans="2:18" ht="12.75">
      <c r="B1110" s="144">
        <f t="shared" si="112"/>
        <v>44</v>
      </c>
      <c r="C1110" s="137"/>
      <c r="D1110" s="137"/>
      <c r="E1110" s="141"/>
      <c r="F1110" s="166">
        <v>632</v>
      </c>
      <c r="G1110" s="199" t="s">
        <v>250</v>
      </c>
      <c r="H1110" s="335">
        <f>175400-500-15000</f>
        <v>159900</v>
      </c>
      <c r="I1110" s="335">
        <v>78110</v>
      </c>
      <c r="J1110" s="620">
        <f t="shared" si="114"/>
        <v>48.84928080050031</v>
      </c>
      <c r="K1110" s="139"/>
      <c r="L1110" s="150"/>
      <c r="M1110" s="335"/>
      <c r="N1110" s="620"/>
      <c r="O1110" s="139"/>
      <c r="P1110" s="759">
        <f t="shared" si="115"/>
        <v>159900</v>
      </c>
      <c r="Q1110" s="771">
        <f t="shared" si="116"/>
        <v>78110</v>
      </c>
      <c r="R1110" s="763">
        <f t="shared" si="113"/>
        <v>48.84928080050031</v>
      </c>
    </row>
    <row r="1111" spans="2:18" ht="12.75">
      <c r="B1111" s="144">
        <f t="shared" si="112"/>
        <v>45</v>
      </c>
      <c r="C1111" s="137"/>
      <c r="D1111" s="137"/>
      <c r="E1111" s="141"/>
      <c r="F1111" s="166">
        <v>633</v>
      </c>
      <c r="G1111" s="199" t="s">
        <v>251</v>
      </c>
      <c r="H1111" s="335">
        <v>19500</v>
      </c>
      <c r="I1111" s="335">
        <v>5214</v>
      </c>
      <c r="J1111" s="620">
        <f t="shared" si="114"/>
        <v>26.73846153846154</v>
      </c>
      <c r="K1111" s="139"/>
      <c r="L1111" s="150"/>
      <c r="M1111" s="335"/>
      <c r="N1111" s="620"/>
      <c r="O1111" s="139"/>
      <c r="P1111" s="759">
        <f t="shared" si="115"/>
        <v>19500</v>
      </c>
      <c r="Q1111" s="771">
        <f t="shared" si="116"/>
        <v>5214</v>
      </c>
      <c r="R1111" s="763">
        <f t="shared" si="113"/>
        <v>26.73846153846154</v>
      </c>
    </row>
    <row r="1112" spans="2:18" ht="12.75">
      <c r="B1112" s="144">
        <f t="shared" si="112"/>
        <v>46</v>
      </c>
      <c r="C1112" s="137"/>
      <c r="D1112" s="137"/>
      <c r="E1112" s="141"/>
      <c r="F1112" s="166">
        <v>635</v>
      </c>
      <c r="G1112" s="199" t="s">
        <v>266</v>
      </c>
      <c r="H1112" s="335">
        <f>15000-400</f>
        <v>14600</v>
      </c>
      <c r="I1112" s="335">
        <v>870</v>
      </c>
      <c r="J1112" s="620">
        <f t="shared" si="114"/>
        <v>5.9589041095890405</v>
      </c>
      <c r="K1112" s="139"/>
      <c r="L1112" s="150"/>
      <c r="M1112" s="335"/>
      <c r="N1112" s="620"/>
      <c r="O1112" s="139"/>
      <c r="P1112" s="759">
        <f t="shared" si="115"/>
        <v>14600</v>
      </c>
      <c r="Q1112" s="771">
        <f t="shared" si="116"/>
        <v>870</v>
      </c>
      <c r="R1112" s="763">
        <f t="shared" si="113"/>
        <v>5.9589041095890405</v>
      </c>
    </row>
    <row r="1113" spans="2:18" ht="12.75">
      <c r="B1113" s="144">
        <f t="shared" si="112"/>
        <v>47</v>
      </c>
      <c r="C1113" s="137"/>
      <c r="D1113" s="137"/>
      <c r="E1113" s="141"/>
      <c r="F1113" s="166">
        <v>637</v>
      </c>
      <c r="G1113" s="199" t="s">
        <v>252</v>
      </c>
      <c r="H1113" s="335">
        <v>17000</v>
      </c>
      <c r="I1113" s="335">
        <v>8475</v>
      </c>
      <c r="J1113" s="620">
        <f t="shared" si="114"/>
        <v>49.85294117647059</v>
      </c>
      <c r="K1113" s="139"/>
      <c r="L1113" s="150"/>
      <c r="M1113" s="335"/>
      <c r="N1113" s="620"/>
      <c r="O1113" s="139"/>
      <c r="P1113" s="759">
        <f t="shared" si="115"/>
        <v>17000</v>
      </c>
      <c r="Q1113" s="771">
        <f t="shared" si="116"/>
        <v>8475</v>
      </c>
      <c r="R1113" s="763">
        <f t="shared" si="113"/>
        <v>49.85294117647059</v>
      </c>
    </row>
    <row r="1114" spans="2:18" ht="12.75">
      <c r="B1114" s="144">
        <f t="shared" si="112"/>
        <v>48</v>
      </c>
      <c r="C1114" s="137"/>
      <c r="D1114" s="137"/>
      <c r="E1114" s="141"/>
      <c r="F1114" s="160">
        <v>640</v>
      </c>
      <c r="G1114" s="206" t="s">
        <v>445</v>
      </c>
      <c r="H1114" s="346">
        <v>100</v>
      </c>
      <c r="I1114" s="346">
        <v>45</v>
      </c>
      <c r="J1114" s="620">
        <f t="shared" si="114"/>
        <v>45</v>
      </c>
      <c r="K1114" s="139"/>
      <c r="L1114" s="150"/>
      <c r="M1114" s="335"/>
      <c r="N1114" s="620"/>
      <c r="O1114" s="139"/>
      <c r="P1114" s="759">
        <f t="shared" si="115"/>
        <v>100</v>
      </c>
      <c r="Q1114" s="771">
        <f t="shared" si="116"/>
        <v>45</v>
      </c>
      <c r="R1114" s="763">
        <f t="shared" si="113"/>
        <v>45</v>
      </c>
    </row>
    <row r="1115" spans="2:18" ht="12.75">
      <c r="B1115" s="144">
        <f t="shared" si="112"/>
        <v>49</v>
      </c>
      <c r="C1115" s="137"/>
      <c r="D1115" s="137"/>
      <c r="E1115" s="170"/>
      <c r="F1115" s="166"/>
      <c r="G1115" s="199"/>
      <c r="H1115" s="335"/>
      <c r="I1115" s="335"/>
      <c r="J1115" s="620"/>
      <c r="K1115" s="139"/>
      <c r="L1115" s="152"/>
      <c r="M1115" s="339"/>
      <c r="N1115" s="620"/>
      <c r="O1115" s="139"/>
      <c r="P1115" s="759"/>
      <c r="Q1115" s="771"/>
      <c r="R1115" s="763"/>
    </row>
    <row r="1116" spans="2:18" ht="12.75">
      <c r="B1116" s="144">
        <f t="shared" si="112"/>
        <v>50</v>
      </c>
      <c r="C1116" s="137"/>
      <c r="D1116" s="137"/>
      <c r="E1116" s="170"/>
      <c r="F1116" s="141">
        <v>717</v>
      </c>
      <c r="G1116" s="218" t="s">
        <v>455</v>
      </c>
      <c r="H1116" s="335"/>
      <c r="I1116" s="335"/>
      <c r="J1116" s="620"/>
      <c r="K1116" s="139"/>
      <c r="L1116" s="152">
        <f>10000-2000+2000</f>
        <v>10000</v>
      </c>
      <c r="M1116" s="339">
        <v>1545</v>
      </c>
      <c r="N1116" s="620">
        <f>M1116/L1116*100</f>
        <v>15.45</v>
      </c>
      <c r="O1116" s="139"/>
      <c r="P1116" s="759">
        <f aca="true" t="shared" si="117" ref="P1116:Q1119">H1116+L1116</f>
        <v>10000</v>
      </c>
      <c r="Q1116" s="771">
        <f t="shared" si="117"/>
        <v>1545</v>
      </c>
      <c r="R1116" s="763">
        <f>Q1116/P1116*100</f>
        <v>15.45</v>
      </c>
    </row>
    <row r="1117" spans="2:18" ht="12.75">
      <c r="B1117" s="144">
        <f t="shared" si="112"/>
        <v>51</v>
      </c>
      <c r="C1117" s="137"/>
      <c r="D1117" s="137"/>
      <c r="E1117" s="141"/>
      <c r="F1117" s="166">
        <v>717</v>
      </c>
      <c r="G1117" s="218" t="s">
        <v>459</v>
      </c>
      <c r="H1117" s="335"/>
      <c r="I1117" s="335"/>
      <c r="J1117" s="620"/>
      <c r="K1117" s="139"/>
      <c r="L1117" s="150">
        <v>125989</v>
      </c>
      <c r="M1117" s="335">
        <v>62995</v>
      </c>
      <c r="N1117" s="620">
        <f>M1117/L1117*100</f>
        <v>50.00039686004334</v>
      </c>
      <c r="O1117" s="139"/>
      <c r="P1117" s="759">
        <f t="shared" si="117"/>
        <v>125989</v>
      </c>
      <c r="Q1117" s="771">
        <f t="shared" si="117"/>
        <v>62995</v>
      </c>
      <c r="R1117" s="763">
        <f>Q1117/P1117*100</f>
        <v>50.00039686004334</v>
      </c>
    </row>
    <row r="1118" spans="2:18" ht="12.75">
      <c r="B1118" s="144">
        <f t="shared" si="112"/>
        <v>52</v>
      </c>
      <c r="C1118" s="137"/>
      <c r="D1118" s="137"/>
      <c r="E1118" s="170"/>
      <c r="F1118" s="166">
        <v>716</v>
      </c>
      <c r="G1118" s="218" t="s">
        <v>458</v>
      </c>
      <c r="H1118" s="335"/>
      <c r="I1118" s="335"/>
      <c r="J1118" s="620"/>
      <c r="K1118" s="139"/>
      <c r="L1118" s="150">
        <v>7725</v>
      </c>
      <c r="M1118" s="335">
        <v>3862</v>
      </c>
      <c r="N1118" s="620">
        <f>M1118/L1118*100</f>
        <v>49.993527508090615</v>
      </c>
      <c r="O1118" s="139"/>
      <c r="P1118" s="759">
        <f t="shared" si="117"/>
        <v>7725</v>
      </c>
      <c r="Q1118" s="771">
        <f t="shared" si="117"/>
        <v>3862</v>
      </c>
      <c r="R1118" s="763">
        <f>Q1118/P1118*100</f>
        <v>49.993527508090615</v>
      </c>
    </row>
    <row r="1119" spans="2:18" ht="12.75">
      <c r="B1119" s="144">
        <f t="shared" si="112"/>
        <v>53</v>
      </c>
      <c r="C1119" s="137"/>
      <c r="D1119" s="137"/>
      <c r="E1119" s="170"/>
      <c r="F1119" s="166">
        <v>717</v>
      </c>
      <c r="G1119" s="218" t="s">
        <v>458</v>
      </c>
      <c r="H1119" s="335"/>
      <c r="I1119" s="335"/>
      <c r="J1119" s="620"/>
      <c r="K1119" s="139"/>
      <c r="L1119" s="150">
        <v>14544</v>
      </c>
      <c r="M1119" s="335">
        <v>7272</v>
      </c>
      <c r="N1119" s="620">
        <f>M1119/L1119*100</f>
        <v>50</v>
      </c>
      <c r="O1119" s="139"/>
      <c r="P1119" s="759">
        <f t="shared" si="117"/>
        <v>14544</v>
      </c>
      <c r="Q1119" s="771">
        <f t="shared" si="117"/>
        <v>7272</v>
      </c>
      <c r="R1119" s="763">
        <f>Q1119/P1119*100</f>
        <v>50</v>
      </c>
    </row>
    <row r="1120" spans="2:18" ht="12.75">
      <c r="B1120" s="144">
        <f t="shared" si="112"/>
        <v>54</v>
      </c>
      <c r="C1120" s="137"/>
      <c r="D1120" s="137"/>
      <c r="E1120" s="170"/>
      <c r="F1120" s="166"/>
      <c r="G1120" s="218"/>
      <c r="H1120" s="339"/>
      <c r="I1120" s="339"/>
      <c r="J1120" s="620"/>
      <c r="K1120" s="139"/>
      <c r="L1120" s="150"/>
      <c r="M1120" s="335"/>
      <c r="N1120" s="620"/>
      <c r="O1120" s="139"/>
      <c r="P1120" s="756"/>
      <c r="Q1120" s="768"/>
      <c r="R1120" s="763"/>
    </row>
    <row r="1121" spans="2:18" ht="12.75">
      <c r="B1121" s="144">
        <f t="shared" si="112"/>
        <v>55</v>
      </c>
      <c r="C1121" s="137"/>
      <c r="D1121" s="204" t="s">
        <v>8</v>
      </c>
      <c r="E1121" s="219" t="s">
        <v>268</v>
      </c>
      <c r="F1121" s="220" t="s">
        <v>321</v>
      </c>
      <c r="G1121" s="221"/>
      <c r="H1121" s="360"/>
      <c r="I1121" s="360"/>
      <c r="J1121" s="620"/>
      <c r="K1121" s="20"/>
      <c r="L1121" s="929"/>
      <c r="M1121" s="363"/>
      <c r="N1121" s="620"/>
      <c r="O1121" s="20"/>
      <c r="P1121" s="755">
        <f>H1121+L1121</f>
        <v>0</v>
      </c>
      <c r="Q1121" s="767">
        <f>I1121+M1121</f>
        <v>0</v>
      </c>
      <c r="R1121" s="763"/>
    </row>
    <row r="1122" spans="2:18" ht="12.75">
      <c r="B1122" s="144">
        <f t="shared" si="112"/>
        <v>56</v>
      </c>
      <c r="C1122" s="137"/>
      <c r="D1122" s="137"/>
      <c r="E1122" s="170"/>
      <c r="F1122" s="166"/>
      <c r="G1122" s="218"/>
      <c r="H1122" s="339"/>
      <c r="I1122" s="339"/>
      <c r="J1122" s="620"/>
      <c r="K1122" s="139"/>
      <c r="L1122" s="150"/>
      <c r="M1122" s="335"/>
      <c r="N1122" s="620"/>
      <c r="O1122" s="139"/>
      <c r="P1122" s="756"/>
      <c r="Q1122" s="768"/>
      <c r="R1122" s="763"/>
    </row>
    <row r="1123" spans="2:18" ht="15.75">
      <c r="B1123" s="144">
        <f t="shared" si="112"/>
        <v>57</v>
      </c>
      <c r="C1123" s="24">
        <v>4</v>
      </c>
      <c r="D1123" s="134" t="s">
        <v>501</v>
      </c>
      <c r="E1123" s="25"/>
      <c r="F1123" s="25"/>
      <c r="G1123" s="198"/>
      <c r="H1123" s="372">
        <f>H1124</f>
        <v>55650</v>
      </c>
      <c r="I1123" s="372">
        <f>I1124</f>
        <v>7287</v>
      </c>
      <c r="J1123" s="620"/>
      <c r="K1123" s="90"/>
      <c r="L1123" s="203">
        <f>L1134</f>
        <v>5817</v>
      </c>
      <c r="M1123" s="337">
        <f>M1134</f>
        <v>2908</v>
      </c>
      <c r="N1123" s="620">
        <f>M1123/L1123*100</f>
        <v>49.991404504039885</v>
      </c>
      <c r="O1123" s="90"/>
      <c r="P1123" s="757">
        <f aca="true" t="shared" si="118" ref="P1123:P1132">H1123+L1123</f>
        <v>61467</v>
      </c>
      <c r="Q1123" s="769">
        <f aca="true" t="shared" si="119" ref="Q1123:Q1132">I1123+M1123</f>
        <v>10195</v>
      </c>
      <c r="R1123" s="763">
        <f aca="true" t="shared" si="120" ref="R1123:R1132">Q1123/P1123*100</f>
        <v>16.58613565002359</v>
      </c>
    </row>
    <row r="1124" spans="2:18" ht="12.75">
      <c r="B1124" s="144">
        <f t="shared" si="112"/>
        <v>58</v>
      </c>
      <c r="C1124" s="142"/>
      <c r="D1124" s="142"/>
      <c r="E1124" s="166" t="s">
        <v>268</v>
      </c>
      <c r="F1124" s="229" t="s">
        <v>506</v>
      </c>
      <c r="G1124" s="229"/>
      <c r="H1124" s="351">
        <f>H1125+H1126+H1127</f>
        <v>55650</v>
      </c>
      <c r="I1124" s="351">
        <f>I1125+I1126+I1127</f>
        <v>7287</v>
      </c>
      <c r="J1124" s="620">
        <f aca="true" t="shared" si="121" ref="J1124:J1132">I1124/H1124*100</f>
        <v>13.09433962264151</v>
      </c>
      <c r="K1124" s="139"/>
      <c r="L1124" s="150"/>
      <c r="M1124" s="335"/>
      <c r="N1124" s="620"/>
      <c r="O1124" s="139"/>
      <c r="P1124" s="894">
        <f t="shared" si="118"/>
        <v>55650</v>
      </c>
      <c r="Q1124" s="899">
        <f t="shared" si="119"/>
        <v>7287</v>
      </c>
      <c r="R1124" s="763">
        <f t="shared" si="120"/>
        <v>13.09433962264151</v>
      </c>
    </row>
    <row r="1125" spans="2:18" ht="12.75">
      <c r="B1125" s="144">
        <f t="shared" si="112"/>
        <v>59</v>
      </c>
      <c r="C1125" s="153"/>
      <c r="D1125" s="153"/>
      <c r="E1125" s="160"/>
      <c r="F1125" s="160">
        <v>610</v>
      </c>
      <c r="G1125" s="206" t="s">
        <v>262</v>
      </c>
      <c r="H1125" s="346">
        <v>7000</v>
      </c>
      <c r="I1125" s="346">
        <v>3524</v>
      </c>
      <c r="J1125" s="620">
        <f t="shared" si="121"/>
        <v>50.34285714285714</v>
      </c>
      <c r="K1125" s="156"/>
      <c r="L1125" s="155"/>
      <c r="M1125" s="346"/>
      <c r="N1125" s="620"/>
      <c r="O1125" s="156"/>
      <c r="P1125" s="786">
        <f t="shared" si="118"/>
        <v>7000</v>
      </c>
      <c r="Q1125" s="793">
        <f t="shared" si="119"/>
        <v>3524</v>
      </c>
      <c r="R1125" s="763">
        <f t="shared" si="120"/>
        <v>50.34285714285714</v>
      </c>
    </row>
    <row r="1126" spans="2:18" ht="12.75">
      <c r="B1126" s="144">
        <f t="shared" si="112"/>
        <v>60</v>
      </c>
      <c r="C1126" s="137"/>
      <c r="D1126" s="137"/>
      <c r="E1126" s="141"/>
      <c r="F1126" s="160">
        <v>620</v>
      </c>
      <c r="G1126" s="206" t="s">
        <v>264</v>
      </c>
      <c r="H1126" s="346">
        <v>2800</v>
      </c>
      <c r="I1126" s="346">
        <v>1447</v>
      </c>
      <c r="J1126" s="620">
        <f t="shared" si="121"/>
        <v>51.67857142857143</v>
      </c>
      <c r="K1126" s="139"/>
      <c r="L1126" s="150"/>
      <c r="M1126" s="335"/>
      <c r="N1126" s="620"/>
      <c r="O1126" s="139"/>
      <c r="P1126" s="786">
        <f t="shared" si="118"/>
        <v>2800</v>
      </c>
      <c r="Q1126" s="793">
        <f t="shared" si="119"/>
        <v>1447</v>
      </c>
      <c r="R1126" s="763">
        <f t="shared" si="120"/>
        <v>51.67857142857143</v>
      </c>
    </row>
    <row r="1127" spans="2:18" ht="12.75">
      <c r="B1127" s="144">
        <f t="shared" si="112"/>
        <v>61</v>
      </c>
      <c r="C1127" s="137"/>
      <c r="D1127" s="137"/>
      <c r="E1127" s="141"/>
      <c r="F1127" s="160">
        <v>630</v>
      </c>
      <c r="G1127" s="206" t="s">
        <v>254</v>
      </c>
      <c r="H1127" s="346">
        <f>SUM(H1128:H1132)</f>
        <v>45850</v>
      </c>
      <c r="I1127" s="346">
        <f>SUM(I1128:I1132)</f>
        <v>2316</v>
      </c>
      <c r="J1127" s="620">
        <f t="shared" si="121"/>
        <v>5.051254089422028</v>
      </c>
      <c r="K1127" s="139"/>
      <c r="L1127" s="150"/>
      <c r="M1127" s="335"/>
      <c r="N1127" s="620"/>
      <c r="O1127" s="139"/>
      <c r="P1127" s="786">
        <f t="shared" si="118"/>
        <v>45850</v>
      </c>
      <c r="Q1127" s="793">
        <f t="shared" si="119"/>
        <v>2316</v>
      </c>
      <c r="R1127" s="763">
        <f t="shared" si="120"/>
        <v>5.051254089422028</v>
      </c>
    </row>
    <row r="1128" spans="2:18" ht="12.75">
      <c r="B1128" s="144">
        <f t="shared" si="112"/>
        <v>62</v>
      </c>
      <c r="C1128" s="137"/>
      <c r="D1128" s="137"/>
      <c r="E1128" s="141"/>
      <c r="F1128" s="141">
        <v>633</v>
      </c>
      <c r="G1128" s="199" t="s">
        <v>251</v>
      </c>
      <c r="H1128" s="335">
        <f>8000+33000</f>
        <v>41000</v>
      </c>
      <c r="I1128" s="335">
        <v>1281</v>
      </c>
      <c r="J1128" s="620">
        <f t="shared" si="121"/>
        <v>3.124390243902439</v>
      </c>
      <c r="K1128" s="139"/>
      <c r="L1128" s="150"/>
      <c r="M1128" s="335"/>
      <c r="N1128" s="620"/>
      <c r="O1128" s="139"/>
      <c r="P1128" s="759">
        <f t="shared" si="118"/>
        <v>41000</v>
      </c>
      <c r="Q1128" s="771">
        <f t="shared" si="119"/>
        <v>1281</v>
      </c>
      <c r="R1128" s="763">
        <f t="shared" si="120"/>
        <v>3.124390243902439</v>
      </c>
    </row>
    <row r="1129" spans="2:18" ht="12.75">
      <c r="B1129" s="144">
        <f t="shared" si="112"/>
        <v>63</v>
      </c>
      <c r="C1129" s="137"/>
      <c r="D1129" s="137"/>
      <c r="E1129" s="141"/>
      <c r="F1129" s="141">
        <v>634</v>
      </c>
      <c r="G1129" s="199" t="s">
        <v>265</v>
      </c>
      <c r="H1129" s="335">
        <v>800</v>
      </c>
      <c r="I1129" s="335">
        <v>290</v>
      </c>
      <c r="J1129" s="620">
        <f t="shared" si="121"/>
        <v>36.25</v>
      </c>
      <c r="K1129" s="139"/>
      <c r="L1129" s="150"/>
      <c r="M1129" s="335"/>
      <c r="N1129" s="620"/>
      <c r="O1129" s="139"/>
      <c r="P1129" s="759">
        <f t="shared" si="118"/>
        <v>800</v>
      </c>
      <c r="Q1129" s="771">
        <f t="shared" si="119"/>
        <v>290</v>
      </c>
      <c r="R1129" s="763">
        <f t="shared" si="120"/>
        <v>36.25</v>
      </c>
    </row>
    <row r="1130" spans="2:18" ht="12.75">
      <c r="B1130" s="144">
        <f t="shared" si="112"/>
        <v>64</v>
      </c>
      <c r="C1130" s="137"/>
      <c r="D1130" s="137"/>
      <c r="E1130" s="141"/>
      <c r="F1130" s="141">
        <v>635</v>
      </c>
      <c r="G1130" s="199" t="s">
        <v>266</v>
      </c>
      <c r="H1130" s="335">
        <v>1000</v>
      </c>
      <c r="I1130" s="335">
        <v>0</v>
      </c>
      <c r="J1130" s="620">
        <f t="shared" si="121"/>
        <v>0</v>
      </c>
      <c r="K1130" s="139"/>
      <c r="L1130" s="150"/>
      <c r="M1130" s="335"/>
      <c r="N1130" s="620"/>
      <c r="O1130" s="139"/>
      <c r="P1130" s="759">
        <f t="shared" si="118"/>
        <v>1000</v>
      </c>
      <c r="Q1130" s="771">
        <f t="shared" si="119"/>
        <v>0</v>
      </c>
      <c r="R1130" s="763">
        <f t="shared" si="120"/>
        <v>0</v>
      </c>
    </row>
    <row r="1131" spans="2:18" ht="12.75">
      <c r="B1131" s="144">
        <f t="shared" si="112"/>
        <v>65</v>
      </c>
      <c r="C1131" s="137"/>
      <c r="D1131" s="137"/>
      <c r="E1131" s="141"/>
      <c r="F1131" s="141">
        <v>636</v>
      </c>
      <c r="G1131" s="199" t="s">
        <v>366</v>
      </c>
      <c r="H1131" s="335">
        <v>50</v>
      </c>
      <c r="I1131" s="335">
        <v>0</v>
      </c>
      <c r="J1131" s="620">
        <f t="shared" si="121"/>
        <v>0</v>
      </c>
      <c r="K1131" s="139"/>
      <c r="L1131" s="150"/>
      <c r="M1131" s="335"/>
      <c r="N1131" s="620"/>
      <c r="O1131" s="139"/>
      <c r="P1131" s="759">
        <f t="shared" si="118"/>
        <v>50</v>
      </c>
      <c r="Q1131" s="771">
        <f t="shared" si="119"/>
        <v>0</v>
      </c>
      <c r="R1131" s="763">
        <f t="shared" si="120"/>
        <v>0</v>
      </c>
    </row>
    <row r="1132" spans="2:18" ht="12.75">
      <c r="B1132" s="144">
        <f t="shared" si="112"/>
        <v>66</v>
      </c>
      <c r="C1132" s="137"/>
      <c r="D1132" s="137"/>
      <c r="E1132" s="141"/>
      <c r="F1132" s="141">
        <v>637</v>
      </c>
      <c r="G1132" s="199" t="s">
        <v>252</v>
      </c>
      <c r="H1132" s="335">
        <v>3000</v>
      </c>
      <c r="I1132" s="335">
        <v>745</v>
      </c>
      <c r="J1132" s="620">
        <f t="shared" si="121"/>
        <v>24.833333333333332</v>
      </c>
      <c r="K1132" s="139"/>
      <c r="L1132" s="150"/>
      <c r="M1132" s="335"/>
      <c r="N1132" s="620"/>
      <c r="O1132" s="139"/>
      <c r="P1132" s="759">
        <f t="shared" si="118"/>
        <v>3000</v>
      </c>
      <c r="Q1132" s="771">
        <f t="shared" si="119"/>
        <v>745</v>
      </c>
      <c r="R1132" s="763">
        <f t="shared" si="120"/>
        <v>24.833333333333332</v>
      </c>
    </row>
    <row r="1133" spans="2:18" ht="12.75">
      <c r="B1133" s="144">
        <f t="shared" si="112"/>
        <v>67</v>
      </c>
      <c r="C1133" s="137"/>
      <c r="D1133" s="137"/>
      <c r="E1133" s="166"/>
      <c r="F1133" s="141"/>
      <c r="G1133" s="206"/>
      <c r="H1133" s="335"/>
      <c r="I1133" s="335"/>
      <c r="J1133" s="620"/>
      <c r="K1133" s="139"/>
      <c r="L1133" s="150"/>
      <c r="M1133" s="335"/>
      <c r="N1133" s="620"/>
      <c r="O1133" s="139"/>
      <c r="P1133" s="759"/>
      <c r="Q1133" s="771"/>
      <c r="R1133" s="763"/>
    </row>
    <row r="1134" spans="2:18" ht="13.5" thickBot="1">
      <c r="B1134" s="145">
        <f t="shared" si="112"/>
        <v>68</v>
      </c>
      <c r="C1134" s="147"/>
      <c r="D1134" s="147"/>
      <c r="E1134" s="222" t="s">
        <v>268</v>
      </c>
      <c r="F1134" s="148">
        <v>717</v>
      </c>
      <c r="G1134" s="241" t="s">
        <v>618</v>
      </c>
      <c r="H1134" s="344"/>
      <c r="I1134" s="344"/>
      <c r="J1134" s="621"/>
      <c r="K1134" s="149"/>
      <c r="L1134" s="151">
        <v>5817</v>
      </c>
      <c r="M1134" s="344">
        <v>2908</v>
      </c>
      <c r="N1134" s="621">
        <f>M1134/L1134*100</f>
        <v>49.991404504039885</v>
      </c>
      <c r="O1134" s="149"/>
      <c r="P1134" s="777">
        <f>H1134+L1134</f>
        <v>5817</v>
      </c>
      <c r="Q1134" s="781">
        <f>I1134+M1134</f>
        <v>2908</v>
      </c>
      <c r="R1134" s="764">
        <f>Q1134/P1134*100</f>
        <v>49.991404504039885</v>
      </c>
    </row>
    <row r="1141" spans="2:16" ht="27.75" thickBot="1">
      <c r="B1141" s="248" t="s">
        <v>165</v>
      </c>
      <c r="C1141" s="248"/>
      <c r="D1141" s="248"/>
      <c r="E1141" s="248"/>
      <c r="F1141" s="248"/>
      <c r="G1141" s="248"/>
      <c r="H1141" s="248"/>
      <c r="I1141" s="248"/>
      <c r="J1141" s="248"/>
      <c r="K1141" s="248"/>
      <c r="L1141" s="248"/>
      <c r="M1141" s="248"/>
      <c r="N1141" s="248"/>
      <c r="O1141" s="248"/>
      <c r="P1141" s="248"/>
    </row>
    <row r="1142" spans="2:18" ht="18.75" customHeight="1" thickBot="1">
      <c r="B1142" s="1074" t="s">
        <v>785</v>
      </c>
      <c r="C1142" s="1075"/>
      <c r="D1142" s="1075"/>
      <c r="E1142" s="1075"/>
      <c r="F1142" s="1075"/>
      <c r="G1142" s="1075"/>
      <c r="H1142" s="1075"/>
      <c r="I1142" s="1075"/>
      <c r="J1142" s="1075"/>
      <c r="K1142" s="1075"/>
      <c r="L1142" s="1076"/>
      <c r="M1142" s="1075"/>
      <c r="N1142" s="1110"/>
      <c r="O1142" s="127"/>
      <c r="P1142" s="1091" t="s">
        <v>811</v>
      </c>
      <c r="Q1142" s="1101" t="s">
        <v>836</v>
      </c>
      <c r="R1142" s="761"/>
    </row>
    <row r="1143" spans="2:18" ht="25.5" customHeight="1" thickTop="1">
      <c r="B1143" s="23"/>
      <c r="C1143" s="1083" t="s">
        <v>512</v>
      </c>
      <c r="D1143" s="1083" t="s">
        <v>511</v>
      </c>
      <c r="E1143" s="1083" t="s">
        <v>509</v>
      </c>
      <c r="F1143" s="1083" t="s">
        <v>510</v>
      </c>
      <c r="G1143" s="319" t="s">
        <v>3</v>
      </c>
      <c r="H1143" s="1085" t="s">
        <v>806</v>
      </c>
      <c r="I1143" s="1087" t="s">
        <v>836</v>
      </c>
      <c r="J1143" s="1072" t="s">
        <v>835</v>
      </c>
      <c r="K1143" s="80"/>
      <c r="L1143" s="1068" t="s">
        <v>810</v>
      </c>
      <c r="M1143" s="1094" t="s">
        <v>836</v>
      </c>
      <c r="N1143" s="1072" t="s">
        <v>835</v>
      </c>
      <c r="O1143" s="80"/>
      <c r="P1143" s="1092"/>
      <c r="Q1143" s="1102"/>
      <c r="R1143" s="1047" t="s">
        <v>835</v>
      </c>
    </row>
    <row r="1144" spans="2:18" ht="24.75" customHeight="1" thickBot="1">
      <c r="B1144" s="26"/>
      <c r="C1144" s="1084"/>
      <c r="D1144" s="1084"/>
      <c r="E1144" s="1084"/>
      <c r="F1144" s="1084"/>
      <c r="G1144" s="196"/>
      <c r="H1144" s="1086"/>
      <c r="I1144" s="1086"/>
      <c r="J1144" s="1073"/>
      <c r="K1144" s="80"/>
      <c r="L1144" s="1069"/>
      <c r="M1144" s="1095"/>
      <c r="N1144" s="1073"/>
      <c r="O1144" s="80"/>
      <c r="P1144" s="1093"/>
      <c r="Q1144" s="1103"/>
      <c r="R1144" s="1048"/>
    </row>
    <row r="1145" spans="2:18" ht="25.5" customHeight="1" thickBot="1" thickTop="1">
      <c r="B1145" s="144">
        <v>1</v>
      </c>
      <c r="C1145" s="132" t="s">
        <v>227</v>
      </c>
      <c r="D1145" s="112"/>
      <c r="E1145" s="112"/>
      <c r="F1145" s="112"/>
      <c r="G1145" s="197"/>
      <c r="H1145" s="907">
        <f>H1146+H1163+H1184+H1204</f>
        <v>330400</v>
      </c>
      <c r="I1145" s="373">
        <f>I1146+I1163+I1184+I1204</f>
        <v>114891</v>
      </c>
      <c r="J1145" s="595">
        <f aca="true" t="shared" si="122" ref="J1145:J1181">I1145/H1145*100</f>
        <v>34.773305084745765</v>
      </c>
      <c r="K1145" s="114"/>
      <c r="L1145" s="643">
        <f>L1146+L1184+L1163+L1204</f>
        <v>53088</v>
      </c>
      <c r="M1145" s="365">
        <f>M1146+M1184+M1163+M1204</f>
        <v>14383</v>
      </c>
      <c r="N1145" s="595">
        <f>M1145/L1145*100</f>
        <v>27.092751657625076</v>
      </c>
      <c r="O1145" s="114"/>
      <c r="P1145" s="776">
        <f aca="true" t="shared" si="123" ref="P1145:P1189">H1145+L1145</f>
        <v>383488</v>
      </c>
      <c r="Q1145" s="780">
        <f aca="true" t="shared" si="124" ref="Q1145:Q1189">I1145+M1145</f>
        <v>129274</v>
      </c>
      <c r="R1145" s="789">
        <f aca="true" t="shared" si="125" ref="R1145:R1189">Q1145/P1145*100</f>
        <v>33.710050901201605</v>
      </c>
    </row>
    <row r="1146" spans="2:18" ht="16.5" thickTop="1">
      <c r="B1146" s="144">
        <f aca="true" t="shared" si="126" ref="B1146:B1177">B1145+1</f>
        <v>2</v>
      </c>
      <c r="C1146" s="24">
        <v>1</v>
      </c>
      <c r="D1146" s="134" t="s">
        <v>331</v>
      </c>
      <c r="E1146" s="25"/>
      <c r="F1146" s="25"/>
      <c r="G1146" s="198"/>
      <c r="H1146" s="908">
        <f>H1147+H1148</f>
        <v>89500</v>
      </c>
      <c r="I1146" s="368">
        <f>I1147+I1148</f>
        <v>32600</v>
      </c>
      <c r="J1146" s="762">
        <f t="shared" si="122"/>
        <v>36.424581005586596</v>
      </c>
      <c r="K1146" s="90"/>
      <c r="L1146" s="644">
        <f>L1147+L1148</f>
        <v>0</v>
      </c>
      <c r="M1146" s="353">
        <f>M1147+M1148</f>
        <v>0</v>
      </c>
      <c r="N1146" s="762"/>
      <c r="O1146" s="90"/>
      <c r="P1146" s="754">
        <f t="shared" si="123"/>
        <v>89500</v>
      </c>
      <c r="Q1146" s="766">
        <f t="shared" si="124"/>
        <v>32600</v>
      </c>
      <c r="R1146" s="790">
        <f t="shared" si="125"/>
        <v>36.424581005586596</v>
      </c>
    </row>
    <row r="1147" spans="2:18" ht="12.75">
      <c r="B1147" s="144">
        <f t="shared" si="126"/>
        <v>3</v>
      </c>
      <c r="C1147" s="137"/>
      <c r="D1147" s="138"/>
      <c r="E1147" s="138" t="s">
        <v>271</v>
      </c>
      <c r="F1147" s="138" t="s">
        <v>220</v>
      </c>
      <c r="G1147" s="199" t="s">
        <v>298</v>
      </c>
      <c r="H1147" s="909">
        <f>25000+1750</f>
        <v>26750</v>
      </c>
      <c r="I1147" s="339">
        <v>600</v>
      </c>
      <c r="J1147" s="763">
        <f t="shared" si="122"/>
        <v>2.2429906542056073</v>
      </c>
      <c r="K1147" s="139"/>
      <c r="L1147" s="647"/>
      <c r="M1147" s="339"/>
      <c r="N1147" s="763"/>
      <c r="O1147" s="139"/>
      <c r="P1147" s="756">
        <f t="shared" si="123"/>
        <v>26750</v>
      </c>
      <c r="Q1147" s="768">
        <f t="shared" si="124"/>
        <v>600</v>
      </c>
      <c r="R1147" s="763">
        <f t="shared" si="125"/>
        <v>2.2429906542056073</v>
      </c>
    </row>
    <row r="1148" spans="2:18" ht="12.75">
      <c r="B1148" s="144">
        <f t="shared" si="126"/>
        <v>4</v>
      </c>
      <c r="C1148" s="137"/>
      <c r="D1148" s="138"/>
      <c r="E1148" s="138" t="s">
        <v>271</v>
      </c>
      <c r="F1148" s="572" t="s">
        <v>220</v>
      </c>
      <c r="G1148" s="426" t="s">
        <v>466</v>
      </c>
      <c r="H1148" s="910">
        <f>SUM(H1149:H1162)</f>
        <v>62750</v>
      </c>
      <c r="I1148" s="335">
        <f>SUM(I1149:I1162)</f>
        <v>32000</v>
      </c>
      <c r="J1148" s="763">
        <f t="shared" si="122"/>
        <v>50.99601593625498</v>
      </c>
      <c r="K1148" s="139"/>
      <c r="L1148" s="647"/>
      <c r="M1148" s="339"/>
      <c r="N1148" s="763"/>
      <c r="O1148" s="139"/>
      <c r="P1148" s="756">
        <f t="shared" si="123"/>
        <v>62750</v>
      </c>
      <c r="Q1148" s="768">
        <f t="shared" si="124"/>
        <v>32000</v>
      </c>
      <c r="R1148" s="763">
        <f t="shared" si="125"/>
        <v>50.99601593625498</v>
      </c>
    </row>
    <row r="1149" spans="2:18" ht="12.75">
      <c r="B1149" s="144">
        <f t="shared" si="126"/>
        <v>5</v>
      </c>
      <c r="C1149" s="137"/>
      <c r="D1149" s="138"/>
      <c r="E1149" s="138"/>
      <c r="F1149" s="425"/>
      <c r="G1149" s="453" t="s">
        <v>622</v>
      </c>
      <c r="H1149" s="911">
        <f>15000-4000+4000</f>
        <v>15000</v>
      </c>
      <c r="I1149" s="898">
        <v>11000</v>
      </c>
      <c r="J1149" s="763">
        <f t="shared" si="122"/>
        <v>73.33333333333333</v>
      </c>
      <c r="K1149" s="427"/>
      <c r="L1149" s="893"/>
      <c r="M1149" s="898"/>
      <c r="N1149" s="763"/>
      <c r="O1149" s="427"/>
      <c r="P1149" s="893">
        <f t="shared" si="123"/>
        <v>15000</v>
      </c>
      <c r="Q1149" s="898">
        <f t="shared" si="124"/>
        <v>11000</v>
      </c>
      <c r="R1149" s="763">
        <f t="shared" si="125"/>
        <v>73.33333333333333</v>
      </c>
    </row>
    <row r="1150" spans="2:18" ht="12.75">
      <c r="B1150" s="144">
        <f t="shared" si="126"/>
        <v>6</v>
      </c>
      <c r="C1150" s="137"/>
      <c r="D1150" s="138"/>
      <c r="E1150" s="138"/>
      <c r="F1150" s="425"/>
      <c r="G1150" s="453" t="s">
        <v>623</v>
      </c>
      <c r="H1150" s="911">
        <v>10000</v>
      </c>
      <c r="I1150" s="898">
        <v>0</v>
      </c>
      <c r="J1150" s="763">
        <f t="shared" si="122"/>
        <v>0</v>
      </c>
      <c r="K1150" s="427"/>
      <c r="L1150" s="893"/>
      <c r="M1150" s="898"/>
      <c r="N1150" s="763"/>
      <c r="O1150" s="427"/>
      <c r="P1150" s="893">
        <f t="shared" si="123"/>
        <v>10000</v>
      </c>
      <c r="Q1150" s="898">
        <f t="shared" si="124"/>
        <v>0</v>
      </c>
      <c r="R1150" s="763">
        <f t="shared" si="125"/>
        <v>0</v>
      </c>
    </row>
    <row r="1151" spans="2:18" ht="12.75">
      <c r="B1151" s="144">
        <f t="shared" si="126"/>
        <v>7</v>
      </c>
      <c r="C1151" s="137"/>
      <c r="D1151" s="138"/>
      <c r="E1151" s="138"/>
      <c r="F1151" s="425"/>
      <c r="G1151" s="453" t="s">
        <v>624</v>
      </c>
      <c r="H1151" s="911">
        <f>500+500</f>
        <v>1000</v>
      </c>
      <c r="I1151" s="898">
        <v>0</v>
      </c>
      <c r="J1151" s="763">
        <f t="shared" si="122"/>
        <v>0</v>
      </c>
      <c r="K1151" s="427"/>
      <c r="L1151" s="893"/>
      <c r="M1151" s="898"/>
      <c r="N1151" s="763"/>
      <c r="O1151" s="427"/>
      <c r="P1151" s="893">
        <f t="shared" si="123"/>
        <v>1000</v>
      </c>
      <c r="Q1151" s="898">
        <f t="shared" si="124"/>
        <v>0</v>
      </c>
      <c r="R1151" s="763">
        <f t="shared" si="125"/>
        <v>0</v>
      </c>
    </row>
    <row r="1152" spans="2:18" ht="22.5">
      <c r="B1152" s="592">
        <f t="shared" si="126"/>
        <v>8</v>
      </c>
      <c r="C1152" s="430"/>
      <c r="D1152" s="419"/>
      <c r="E1152" s="419"/>
      <c r="F1152" s="425"/>
      <c r="G1152" s="453" t="s">
        <v>629</v>
      </c>
      <c r="H1152" s="911">
        <v>1500</v>
      </c>
      <c r="I1152" s="898">
        <v>0</v>
      </c>
      <c r="J1152" s="820">
        <f t="shared" si="122"/>
        <v>0</v>
      </c>
      <c r="K1152" s="427"/>
      <c r="L1152" s="893"/>
      <c r="M1152" s="898"/>
      <c r="N1152" s="820"/>
      <c r="O1152" s="427"/>
      <c r="P1152" s="893">
        <f t="shared" si="123"/>
        <v>1500</v>
      </c>
      <c r="Q1152" s="898">
        <f t="shared" si="124"/>
        <v>0</v>
      </c>
      <c r="R1152" s="820">
        <f t="shared" si="125"/>
        <v>0</v>
      </c>
    </row>
    <row r="1153" spans="2:18" ht="22.5">
      <c r="B1153" s="592">
        <f t="shared" si="126"/>
        <v>9</v>
      </c>
      <c r="C1153" s="430"/>
      <c r="D1153" s="419"/>
      <c r="E1153" s="419"/>
      <c r="F1153" s="425"/>
      <c r="G1153" s="453" t="s">
        <v>625</v>
      </c>
      <c r="H1153" s="911">
        <v>12000</v>
      </c>
      <c r="I1153" s="898">
        <v>12000</v>
      </c>
      <c r="J1153" s="820">
        <f t="shared" si="122"/>
        <v>100</v>
      </c>
      <c r="K1153" s="427"/>
      <c r="L1153" s="893"/>
      <c r="M1153" s="898"/>
      <c r="N1153" s="820"/>
      <c r="O1153" s="427"/>
      <c r="P1153" s="893">
        <f t="shared" si="123"/>
        <v>12000</v>
      </c>
      <c r="Q1153" s="898">
        <f t="shared" si="124"/>
        <v>12000</v>
      </c>
      <c r="R1153" s="820">
        <f t="shared" si="125"/>
        <v>100</v>
      </c>
    </row>
    <row r="1154" spans="2:18" ht="22.5">
      <c r="B1154" s="592">
        <f t="shared" si="126"/>
        <v>10</v>
      </c>
      <c r="C1154" s="430"/>
      <c r="D1154" s="641"/>
      <c r="E1154" s="419"/>
      <c r="F1154" s="425"/>
      <c r="G1154" s="453" t="s">
        <v>799</v>
      </c>
      <c r="H1154" s="911">
        <v>2000</v>
      </c>
      <c r="I1154" s="898">
        <v>0</v>
      </c>
      <c r="J1154" s="820">
        <f t="shared" si="122"/>
        <v>0</v>
      </c>
      <c r="K1154" s="427"/>
      <c r="L1154" s="893"/>
      <c r="M1154" s="898"/>
      <c r="N1154" s="820"/>
      <c r="O1154" s="427"/>
      <c r="P1154" s="893">
        <f t="shared" si="123"/>
        <v>2000</v>
      </c>
      <c r="Q1154" s="898">
        <f t="shared" si="124"/>
        <v>0</v>
      </c>
      <c r="R1154" s="820">
        <f t="shared" si="125"/>
        <v>0</v>
      </c>
    </row>
    <row r="1155" spans="2:18" ht="22.5">
      <c r="B1155" s="592">
        <f t="shared" si="126"/>
        <v>11</v>
      </c>
      <c r="C1155" s="430"/>
      <c r="D1155" s="641"/>
      <c r="E1155" s="419"/>
      <c r="F1155" s="425"/>
      <c r="G1155" s="453" t="s">
        <v>709</v>
      </c>
      <c r="H1155" s="911">
        <f>2000+1500</f>
        <v>3500</v>
      </c>
      <c r="I1155" s="898">
        <v>3500</v>
      </c>
      <c r="J1155" s="820">
        <f t="shared" si="122"/>
        <v>100</v>
      </c>
      <c r="K1155" s="427"/>
      <c r="L1155" s="893"/>
      <c r="M1155" s="898"/>
      <c r="N1155" s="820"/>
      <c r="O1155" s="427"/>
      <c r="P1155" s="893">
        <f t="shared" si="123"/>
        <v>3500</v>
      </c>
      <c r="Q1155" s="898">
        <f t="shared" si="124"/>
        <v>3500</v>
      </c>
      <c r="R1155" s="820">
        <f t="shared" si="125"/>
        <v>100</v>
      </c>
    </row>
    <row r="1156" spans="2:18" ht="12.75">
      <c r="B1156" s="592">
        <f t="shared" si="126"/>
        <v>12</v>
      </c>
      <c r="C1156" s="430"/>
      <c r="D1156" s="641"/>
      <c r="E1156" s="419"/>
      <c r="F1156" s="425"/>
      <c r="G1156" s="453" t="s">
        <v>626</v>
      </c>
      <c r="H1156" s="911">
        <f>500+1500</f>
        <v>2000</v>
      </c>
      <c r="I1156" s="898">
        <v>0</v>
      </c>
      <c r="J1156" s="820">
        <f t="shared" si="122"/>
        <v>0</v>
      </c>
      <c r="K1156" s="427"/>
      <c r="L1156" s="893"/>
      <c r="M1156" s="898"/>
      <c r="N1156" s="820"/>
      <c r="O1156" s="427"/>
      <c r="P1156" s="893">
        <f t="shared" si="123"/>
        <v>2000</v>
      </c>
      <c r="Q1156" s="898">
        <f t="shared" si="124"/>
        <v>0</v>
      </c>
      <c r="R1156" s="820">
        <f t="shared" si="125"/>
        <v>0</v>
      </c>
    </row>
    <row r="1157" spans="2:18" ht="12.75">
      <c r="B1157" s="592">
        <f t="shared" si="126"/>
        <v>13</v>
      </c>
      <c r="C1157" s="430"/>
      <c r="D1157" s="641"/>
      <c r="E1157" s="419"/>
      <c r="F1157" s="425"/>
      <c r="G1157" s="453" t="s">
        <v>627</v>
      </c>
      <c r="H1157" s="911">
        <f>1000+1500</f>
        <v>2500</v>
      </c>
      <c r="I1157" s="898">
        <v>2500</v>
      </c>
      <c r="J1157" s="820">
        <f t="shared" si="122"/>
        <v>100</v>
      </c>
      <c r="K1157" s="427"/>
      <c r="L1157" s="893"/>
      <c r="M1157" s="898"/>
      <c r="N1157" s="820"/>
      <c r="O1157" s="427"/>
      <c r="P1157" s="893">
        <f t="shared" si="123"/>
        <v>2500</v>
      </c>
      <c r="Q1157" s="898">
        <f t="shared" si="124"/>
        <v>2500</v>
      </c>
      <c r="R1157" s="820">
        <f t="shared" si="125"/>
        <v>100</v>
      </c>
    </row>
    <row r="1158" spans="2:18" ht="22.5">
      <c r="B1158" s="592">
        <f t="shared" si="126"/>
        <v>14</v>
      </c>
      <c r="C1158" s="430"/>
      <c r="D1158" s="641"/>
      <c r="E1158" s="419"/>
      <c r="F1158" s="425"/>
      <c r="G1158" s="453" t="s">
        <v>628</v>
      </c>
      <c r="H1158" s="911">
        <f>1000+2000</f>
        <v>3000</v>
      </c>
      <c r="I1158" s="898">
        <v>0</v>
      </c>
      <c r="J1158" s="820">
        <f t="shared" si="122"/>
        <v>0</v>
      </c>
      <c r="K1158" s="427"/>
      <c r="L1158" s="893"/>
      <c r="M1158" s="898"/>
      <c r="N1158" s="820"/>
      <c r="O1158" s="427"/>
      <c r="P1158" s="893">
        <f t="shared" si="123"/>
        <v>3000</v>
      </c>
      <c r="Q1158" s="898">
        <f t="shared" si="124"/>
        <v>0</v>
      </c>
      <c r="R1158" s="820">
        <f t="shared" si="125"/>
        <v>0</v>
      </c>
    </row>
    <row r="1159" spans="2:18" ht="12.75">
      <c r="B1159" s="592">
        <f t="shared" si="126"/>
        <v>15</v>
      </c>
      <c r="C1159" s="430"/>
      <c r="D1159" s="641"/>
      <c r="E1159" s="419"/>
      <c r="F1159" s="425"/>
      <c r="G1159" s="453" t="s">
        <v>630</v>
      </c>
      <c r="H1159" s="912">
        <f>2500+500</f>
        <v>3000</v>
      </c>
      <c r="I1159" s="917">
        <v>0</v>
      </c>
      <c r="J1159" s="820">
        <f t="shared" si="122"/>
        <v>0</v>
      </c>
      <c r="K1159" s="421"/>
      <c r="L1159" s="653"/>
      <c r="M1159" s="420"/>
      <c r="N1159" s="820"/>
      <c r="O1159" s="421"/>
      <c r="P1159" s="893">
        <f t="shared" si="123"/>
        <v>3000</v>
      </c>
      <c r="Q1159" s="898">
        <f t="shared" si="124"/>
        <v>0</v>
      </c>
      <c r="R1159" s="820">
        <f t="shared" si="125"/>
        <v>0</v>
      </c>
    </row>
    <row r="1160" spans="2:18" ht="12.75">
      <c r="B1160" s="592">
        <f t="shared" si="126"/>
        <v>16</v>
      </c>
      <c r="C1160" s="137"/>
      <c r="D1160" s="188"/>
      <c r="E1160" s="138"/>
      <c r="F1160" s="425"/>
      <c r="G1160" s="453" t="s">
        <v>762</v>
      </c>
      <c r="H1160" s="912">
        <f>2500+500</f>
        <v>3000</v>
      </c>
      <c r="I1160" s="917">
        <v>0</v>
      </c>
      <c r="J1160" s="763">
        <f t="shared" si="122"/>
        <v>0</v>
      </c>
      <c r="K1160" s="139"/>
      <c r="L1160" s="650"/>
      <c r="M1160" s="341"/>
      <c r="N1160" s="763"/>
      <c r="O1160" s="139"/>
      <c r="P1160" s="756">
        <f t="shared" si="123"/>
        <v>3000</v>
      </c>
      <c r="Q1160" s="768">
        <f t="shared" si="124"/>
        <v>0</v>
      </c>
      <c r="R1160" s="763">
        <f t="shared" si="125"/>
        <v>0</v>
      </c>
    </row>
    <row r="1161" spans="2:18" ht="12.75">
      <c r="B1161" s="592">
        <f t="shared" si="126"/>
        <v>17</v>
      </c>
      <c r="C1161" s="137"/>
      <c r="D1161" s="188"/>
      <c r="E1161" s="138"/>
      <c r="F1161" s="425"/>
      <c r="G1161" s="453" t="s">
        <v>719</v>
      </c>
      <c r="H1161" s="912">
        <f>2500+500</f>
        <v>3000</v>
      </c>
      <c r="I1161" s="917">
        <v>3000</v>
      </c>
      <c r="J1161" s="763">
        <f t="shared" si="122"/>
        <v>100</v>
      </c>
      <c r="K1161" s="139"/>
      <c r="L1161" s="650"/>
      <c r="M1161" s="341"/>
      <c r="N1161" s="763"/>
      <c r="O1161" s="139"/>
      <c r="P1161" s="756">
        <f t="shared" si="123"/>
        <v>3000</v>
      </c>
      <c r="Q1161" s="768">
        <f t="shared" si="124"/>
        <v>3000</v>
      </c>
      <c r="R1161" s="763">
        <f t="shared" si="125"/>
        <v>100</v>
      </c>
    </row>
    <row r="1162" spans="2:18" ht="12.75">
      <c r="B1162" s="592">
        <f t="shared" si="126"/>
        <v>18</v>
      </c>
      <c r="C1162" s="137"/>
      <c r="D1162" s="184"/>
      <c r="E1162" s="281"/>
      <c r="F1162" s="591"/>
      <c r="G1162" s="453" t="s">
        <v>769</v>
      </c>
      <c r="H1162" s="912">
        <f>1000+250</f>
        <v>1250</v>
      </c>
      <c r="I1162" s="917">
        <v>0</v>
      </c>
      <c r="J1162" s="763">
        <f t="shared" si="122"/>
        <v>0</v>
      </c>
      <c r="K1162" s="139"/>
      <c r="L1162" s="650"/>
      <c r="M1162" s="341"/>
      <c r="N1162" s="763"/>
      <c r="O1162" s="139"/>
      <c r="P1162" s="756">
        <f t="shared" si="123"/>
        <v>1250</v>
      </c>
      <c r="Q1162" s="768">
        <f t="shared" si="124"/>
        <v>0</v>
      </c>
      <c r="R1162" s="763">
        <f t="shared" si="125"/>
        <v>0</v>
      </c>
    </row>
    <row r="1163" spans="2:18" ht="15.75">
      <c r="B1163" s="592">
        <f t="shared" si="126"/>
        <v>19</v>
      </c>
      <c r="C1163" s="24">
        <v>2</v>
      </c>
      <c r="D1163" s="134" t="s">
        <v>330</v>
      </c>
      <c r="E1163" s="25"/>
      <c r="F1163" s="25"/>
      <c r="G1163" s="198"/>
      <c r="H1163" s="913">
        <f>H1164+H1177</f>
        <v>60200</v>
      </c>
      <c r="I1163" s="369">
        <f>I1164+I1177</f>
        <v>7308</v>
      </c>
      <c r="J1163" s="763">
        <f t="shared" si="122"/>
        <v>12.13953488372093</v>
      </c>
      <c r="K1163" s="90"/>
      <c r="L1163" s="774">
        <f>SUM(L1182:L1183)</f>
        <v>24768</v>
      </c>
      <c r="M1163" s="337">
        <f>SUM(M1182:M1183)</f>
        <v>12383</v>
      </c>
      <c r="N1163" s="763">
        <f>M1163/L1163*100</f>
        <v>49.99596253229974</v>
      </c>
      <c r="O1163" s="90"/>
      <c r="P1163" s="757">
        <f t="shared" si="123"/>
        <v>84968</v>
      </c>
      <c r="Q1163" s="769">
        <f t="shared" si="124"/>
        <v>19691</v>
      </c>
      <c r="R1163" s="763">
        <f t="shared" si="125"/>
        <v>23.17460691083702</v>
      </c>
    </row>
    <row r="1164" spans="2:18" ht="12.75">
      <c r="B1164" s="592">
        <f t="shared" si="126"/>
        <v>20</v>
      </c>
      <c r="C1164" s="137"/>
      <c r="D1164" s="137"/>
      <c r="E1164" s="138" t="s">
        <v>271</v>
      </c>
      <c r="F1164" s="138" t="s">
        <v>219</v>
      </c>
      <c r="G1164" s="199" t="s">
        <v>325</v>
      </c>
      <c r="H1164" s="910">
        <f>SUM(H1165:H1176)</f>
        <v>57300</v>
      </c>
      <c r="I1164" s="335">
        <f>SUM(I1165:I1176)</f>
        <v>6430</v>
      </c>
      <c r="J1164" s="763">
        <f t="shared" si="122"/>
        <v>11.221640488656195</v>
      </c>
      <c r="K1164" s="139"/>
      <c r="L1164" s="649"/>
      <c r="M1164" s="335"/>
      <c r="N1164" s="763"/>
      <c r="O1164" s="139"/>
      <c r="P1164" s="759">
        <f t="shared" si="123"/>
        <v>57300</v>
      </c>
      <c r="Q1164" s="771">
        <f t="shared" si="124"/>
        <v>6430</v>
      </c>
      <c r="R1164" s="763">
        <f t="shared" si="125"/>
        <v>11.221640488656195</v>
      </c>
    </row>
    <row r="1165" spans="2:18" ht="12.75">
      <c r="B1165" s="592">
        <f t="shared" si="126"/>
        <v>21</v>
      </c>
      <c r="C1165" s="137"/>
      <c r="D1165" s="138"/>
      <c r="E1165" s="138"/>
      <c r="F1165" s="138"/>
      <c r="G1165" s="199" t="s">
        <v>326</v>
      </c>
      <c r="H1165" s="909">
        <v>7000</v>
      </c>
      <c r="I1165" s="339">
        <v>0</v>
      </c>
      <c r="J1165" s="763">
        <f t="shared" si="122"/>
        <v>0</v>
      </c>
      <c r="K1165" s="139"/>
      <c r="L1165" s="647"/>
      <c r="M1165" s="339"/>
      <c r="N1165" s="763"/>
      <c r="O1165" s="139"/>
      <c r="P1165" s="756">
        <f t="shared" si="123"/>
        <v>7000</v>
      </c>
      <c r="Q1165" s="768">
        <f t="shared" si="124"/>
        <v>0</v>
      </c>
      <c r="R1165" s="763">
        <f t="shared" si="125"/>
        <v>0</v>
      </c>
    </row>
    <row r="1166" spans="2:18" ht="12.75">
      <c r="B1166" s="592">
        <f t="shared" si="126"/>
        <v>22</v>
      </c>
      <c r="C1166" s="137"/>
      <c r="D1166" s="138"/>
      <c r="E1166" s="138"/>
      <c r="F1166" s="138"/>
      <c r="G1166" s="199" t="s">
        <v>327</v>
      </c>
      <c r="H1166" s="909">
        <f>3000+7000</f>
        <v>10000</v>
      </c>
      <c r="I1166" s="339">
        <v>0</v>
      </c>
      <c r="J1166" s="763">
        <f t="shared" si="122"/>
        <v>0</v>
      </c>
      <c r="K1166" s="139"/>
      <c r="L1166" s="647"/>
      <c r="M1166" s="339"/>
      <c r="N1166" s="763"/>
      <c r="O1166" s="139"/>
      <c r="P1166" s="756">
        <f t="shared" si="123"/>
        <v>10000</v>
      </c>
      <c r="Q1166" s="768">
        <f t="shared" si="124"/>
        <v>0</v>
      </c>
      <c r="R1166" s="763">
        <f t="shared" si="125"/>
        <v>0</v>
      </c>
    </row>
    <row r="1167" spans="2:18" ht="12.75">
      <c r="B1167" s="592">
        <f t="shared" si="126"/>
        <v>23</v>
      </c>
      <c r="C1167" s="137"/>
      <c r="D1167" s="138"/>
      <c r="E1167" s="138"/>
      <c r="F1167" s="138"/>
      <c r="G1167" s="199" t="s">
        <v>328</v>
      </c>
      <c r="H1167" s="910">
        <f>10000+1300</f>
        <v>11300</v>
      </c>
      <c r="I1167" s="335">
        <v>0</v>
      </c>
      <c r="J1167" s="763">
        <f t="shared" si="122"/>
        <v>0</v>
      </c>
      <c r="K1167" s="139"/>
      <c r="L1167" s="647"/>
      <c r="M1167" s="339"/>
      <c r="N1167" s="763"/>
      <c r="O1167" s="139"/>
      <c r="P1167" s="756">
        <f t="shared" si="123"/>
        <v>11300</v>
      </c>
      <c r="Q1167" s="768">
        <f t="shared" si="124"/>
        <v>0</v>
      </c>
      <c r="R1167" s="763">
        <f t="shared" si="125"/>
        <v>0</v>
      </c>
    </row>
    <row r="1168" spans="2:18" ht="12.75">
      <c r="B1168" s="592">
        <f t="shared" si="126"/>
        <v>24</v>
      </c>
      <c r="C1168" s="137"/>
      <c r="D1168" s="138"/>
      <c r="E1168" s="138"/>
      <c r="F1168" s="138"/>
      <c r="G1168" s="199" t="s">
        <v>654</v>
      </c>
      <c r="H1168" s="909">
        <v>1000</v>
      </c>
      <c r="I1168" s="339">
        <v>0</v>
      </c>
      <c r="J1168" s="763">
        <f t="shared" si="122"/>
        <v>0</v>
      </c>
      <c r="K1168" s="139"/>
      <c r="L1168" s="647"/>
      <c r="M1168" s="339"/>
      <c r="N1168" s="763"/>
      <c r="O1168" s="139"/>
      <c r="P1168" s="756">
        <f t="shared" si="123"/>
        <v>1000</v>
      </c>
      <c r="Q1168" s="768">
        <f t="shared" si="124"/>
        <v>0</v>
      </c>
      <c r="R1168" s="763">
        <f t="shared" si="125"/>
        <v>0</v>
      </c>
    </row>
    <row r="1169" spans="2:18" ht="12.75">
      <c r="B1169" s="592">
        <f t="shared" si="126"/>
        <v>25</v>
      </c>
      <c r="C1169" s="137"/>
      <c r="D1169" s="138"/>
      <c r="E1169" s="138"/>
      <c r="F1169" s="138"/>
      <c r="G1169" s="199" t="s">
        <v>655</v>
      </c>
      <c r="H1169" s="909">
        <v>1000</v>
      </c>
      <c r="I1169" s="339">
        <v>1000</v>
      </c>
      <c r="J1169" s="763">
        <f t="shared" si="122"/>
        <v>100</v>
      </c>
      <c r="K1169" s="139"/>
      <c r="L1169" s="647"/>
      <c r="M1169" s="339"/>
      <c r="N1169" s="763"/>
      <c r="O1169" s="139"/>
      <c r="P1169" s="756">
        <f t="shared" si="123"/>
        <v>1000</v>
      </c>
      <c r="Q1169" s="768">
        <f t="shared" si="124"/>
        <v>1000</v>
      </c>
      <c r="R1169" s="763">
        <f t="shared" si="125"/>
        <v>100</v>
      </c>
    </row>
    <row r="1170" spans="2:18" ht="12.75">
      <c r="B1170" s="592">
        <f t="shared" si="126"/>
        <v>26</v>
      </c>
      <c r="C1170" s="137"/>
      <c r="D1170" s="138"/>
      <c r="E1170" s="138"/>
      <c r="F1170" s="138"/>
      <c r="G1170" s="199" t="s">
        <v>566</v>
      </c>
      <c r="H1170" s="909">
        <v>2000</v>
      </c>
      <c r="I1170" s="339">
        <v>1800</v>
      </c>
      <c r="J1170" s="763">
        <f t="shared" si="122"/>
        <v>90</v>
      </c>
      <c r="K1170" s="139"/>
      <c r="L1170" s="647"/>
      <c r="M1170" s="339"/>
      <c r="N1170" s="763"/>
      <c r="O1170" s="139"/>
      <c r="P1170" s="756">
        <f t="shared" si="123"/>
        <v>2000</v>
      </c>
      <c r="Q1170" s="768">
        <f t="shared" si="124"/>
        <v>1800</v>
      </c>
      <c r="R1170" s="763">
        <f t="shared" si="125"/>
        <v>90</v>
      </c>
    </row>
    <row r="1171" spans="2:18" ht="12.75">
      <c r="B1171" s="592">
        <f t="shared" si="126"/>
        <v>27</v>
      </c>
      <c r="C1171" s="137"/>
      <c r="D1171" s="138"/>
      <c r="E1171" s="138"/>
      <c r="F1171" s="138"/>
      <c r="G1171" s="199" t="s">
        <v>567</v>
      </c>
      <c r="H1171" s="909">
        <f>10000+4000</f>
        <v>14000</v>
      </c>
      <c r="I1171" s="339">
        <v>2439</v>
      </c>
      <c r="J1171" s="763">
        <f t="shared" si="122"/>
        <v>17.42142857142857</v>
      </c>
      <c r="K1171" s="139"/>
      <c r="L1171" s="647"/>
      <c r="M1171" s="339"/>
      <c r="N1171" s="763"/>
      <c r="O1171" s="139"/>
      <c r="P1171" s="756">
        <f t="shared" si="123"/>
        <v>14000</v>
      </c>
      <c r="Q1171" s="768">
        <f t="shared" si="124"/>
        <v>2439</v>
      </c>
      <c r="R1171" s="763">
        <f t="shared" si="125"/>
        <v>17.42142857142857</v>
      </c>
    </row>
    <row r="1172" spans="2:18" ht="12.75">
      <c r="B1172" s="592">
        <f t="shared" si="126"/>
        <v>28</v>
      </c>
      <c r="C1172" s="137"/>
      <c r="D1172" s="138"/>
      <c r="E1172" s="138"/>
      <c r="F1172" s="138"/>
      <c r="G1172" s="199" t="s">
        <v>568</v>
      </c>
      <c r="H1172" s="909">
        <f>1000-500</f>
        <v>500</v>
      </c>
      <c r="I1172" s="339">
        <v>30</v>
      </c>
      <c r="J1172" s="763">
        <f t="shared" si="122"/>
        <v>6</v>
      </c>
      <c r="K1172" s="139"/>
      <c r="L1172" s="647"/>
      <c r="M1172" s="339"/>
      <c r="N1172" s="763"/>
      <c r="O1172" s="139"/>
      <c r="P1172" s="756">
        <f t="shared" si="123"/>
        <v>500</v>
      </c>
      <c r="Q1172" s="768">
        <f t="shared" si="124"/>
        <v>30</v>
      </c>
      <c r="R1172" s="763">
        <f t="shared" si="125"/>
        <v>6</v>
      </c>
    </row>
    <row r="1173" spans="2:18" ht="12.75">
      <c r="B1173" s="144">
        <f t="shared" si="126"/>
        <v>29</v>
      </c>
      <c r="C1173" s="137"/>
      <c r="D1173" s="138"/>
      <c r="E1173" s="138"/>
      <c r="F1173" s="138"/>
      <c r="G1173" s="199" t="s">
        <v>329</v>
      </c>
      <c r="H1173" s="909">
        <v>6000</v>
      </c>
      <c r="I1173" s="339">
        <f>1007+154</f>
        <v>1161</v>
      </c>
      <c r="J1173" s="763">
        <f t="shared" si="122"/>
        <v>19.35</v>
      </c>
      <c r="K1173" s="139"/>
      <c r="L1173" s="647"/>
      <c r="M1173" s="339"/>
      <c r="N1173" s="763"/>
      <c r="O1173" s="139"/>
      <c r="P1173" s="756">
        <f t="shared" si="123"/>
        <v>6000</v>
      </c>
      <c r="Q1173" s="768">
        <f t="shared" si="124"/>
        <v>1161</v>
      </c>
      <c r="R1173" s="763">
        <f t="shared" si="125"/>
        <v>19.35</v>
      </c>
    </row>
    <row r="1174" spans="2:18" ht="12.75">
      <c r="B1174" s="144">
        <f t="shared" si="126"/>
        <v>30</v>
      </c>
      <c r="C1174" s="137"/>
      <c r="D1174" s="138"/>
      <c r="E1174" s="138"/>
      <c r="F1174" s="138"/>
      <c r="G1174" s="199" t="s">
        <v>792</v>
      </c>
      <c r="H1174" s="909">
        <v>3000</v>
      </c>
      <c r="I1174" s="339">
        <v>0</v>
      </c>
      <c r="J1174" s="763">
        <f t="shared" si="122"/>
        <v>0</v>
      </c>
      <c r="K1174" s="139"/>
      <c r="L1174" s="647"/>
      <c r="M1174" s="339"/>
      <c r="N1174" s="763"/>
      <c r="O1174" s="139"/>
      <c r="P1174" s="756">
        <f t="shared" si="123"/>
        <v>3000</v>
      </c>
      <c r="Q1174" s="768">
        <f t="shared" si="124"/>
        <v>0</v>
      </c>
      <c r="R1174" s="763">
        <f t="shared" si="125"/>
        <v>0</v>
      </c>
    </row>
    <row r="1175" spans="2:18" ht="12.75">
      <c r="B1175" s="144">
        <f t="shared" si="126"/>
        <v>31</v>
      </c>
      <c r="C1175" s="137"/>
      <c r="D1175" s="138"/>
      <c r="E1175" s="138"/>
      <c r="F1175" s="138"/>
      <c r="G1175" s="199" t="s">
        <v>826</v>
      </c>
      <c r="H1175" s="909">
        <v>500</v>
      </c>
      <c r="I1175" s="339">
        <v>0</v>
      </c>
      <c r="J1175" s="763">
        <f t="shared" si="122"/>
        <v>0</v>
      </c>
      <c r="K1175" s="139"/>
      <c r="L1175" s="647"/>
      <c r="M1175" s="339"/>
      <c r="N1175" s="763"/>
      <c r="O1175" s="139"/>
      <c r="P1175" s="756">
        <f t="shared" si="123"/>
        <v>500</v>
      </c>
      <c r="Q1175" s="768">
        <f t="shared" si="124"/>
        <v>0</v>
      </c>
      <c r="R1175" s="763">
        <f t="shared" si="125"/>
        <v>0</v>
      </c>
    </row>
    <row r="1176" spans="2:18" ht="12.75">
      <c r="B1176" s="144">
        <f t="shared" si="126"/>
        <v>32</v>
      </c>
      <c r="C1176" s="137"/>
      <c r="D1176" s="138"/>
      <c r="E1176" s="138"/>
      <c r="F1176" s="138"/>
      <c r="G1176" s="199" t="s">
        <v>834</v>
      </c>
      <c r="H1176" s="909">
        <v>1000</v>
      </c>
      <c r="I1176" s="339">
        <v>0</v>
      </c>
      <c r="J1176" s="763">
        <f t="shared" si="122"/>
        <v>0</v>
      </c>
      <c r="K1176" s="139"/>
      <c r="L1176" s="647"/>
      <c r="M1176" s="339"/>
      <c r="N1176" s="763"/>
      <c r="O1176" s="139"/>
      <c r="P1176" s="756">
        <f t="shared" si="123"/>
        <v>1000</v>
      </c>
      <c r="Q1176" s="768">
        <f t="shared" si="124"/>
        <v>0</v>
      </c>
      <c r="R1176" s="763">
        <f t="shared" si="125"/>
        <v>0</v>
      </c>
    </row>
    <row r="1177" spans="2:18" ht="12.75">
      <c r="B1177" s="144">
        <f t="shared" si="126"/>
        <v>33</v>
      </c>
      <c r="C1177" s="137"/>
      <c r="D1177" s="138"/>
      <c r="E1177" s="138" t="s">
        <v>271</v>
      </c>
      <c r="F1177" s="138" t="s">
        <v>203</v>
      </c>
      <c r="G1177" s="199" t="s">
        <v>656</v>
      </c>
      <c r="H1177" s="910">
        <f>H1178+H1179+H1180+H1181</f>
        <v>2900</v>
      </c>
      <c r="I1177" s="335">
        <f>I1178</f>
        <v>878</v>
      </c>
      <c r="J1177" s="763">
        <f t="shared" si="122"/>
        <v>30.27586206896552</v>
      </c>
      <c r="K1177" s="139"/>
      <c r="L1177" s="647"/>
      <c r="M1177" s="339"/>
      <c r="N1177" s="763"/>
      <c r="O1177" s="139"/>
      <c r="P1177" s="756">
        <f t="shared" si="123"/>
        <v>2900</v>
      </c>
      <c r="Q1177" s="768">
        <f t="shared" si="124"/>
        <v>878</v>
      </c>
      <c r="R1177" s="763">
        <f t="shared" si="125"/>
        <v>30.27586206896552</v>
      </c>
    </row>
    <row r="1178" spans="2:18" ht="12.75">
      <c r="B1178" s="144">
        <f aca="true" t="shared" si="127" ref="B1178:B1204">B1177+1</f>
        <v>34</v>
      </c>
      <c r="C1178" s="137"/>
      <c r="D1178" s="138"/>
      <c r="E1178" s="138"/>
      <c r="F1178" s="138"/>
      <c r="G1178" s="199" t="s">
        <v>329</v>
      </c>
      <c r="H1178" s="909">
        <f>1000+1000</f>
        <v>2000</v>
      </c>
      <c r="I1178" s="339">
        <v>878</v>
      </c>
      <c r="J1178" s="763">
        <f t="shared" si="122"/>
        <v>43.9</v>
      </c>
      <c r="K1178" s="139"/>
      <c r="L1178" s="647"/>
      <c r="M1178" s="339"/>
      <c r="N1178" s="763"/>
      <c r="O1178" s="139"/>
      <c r="P1178" s="756">
        <f t="shared" si="123"/>
        <v>2000</v>
      </c>
      <c r="Q1178" s="768">
        <f t="shared" si="124"/>
        <v>878</v>
      </c>
      <c r="R1178" s="763">
        <f t="shared" si="125"/>
        <v>43.9</v>
      </c>
    </row>
    <row r="1179" spans="2:18" ht="12.75">
      <c r="B1179" s="144">
        <f t="shared" si="127"/>
        <v>35</v>
      </c>
      <c r="C1179" s="137"/>
      <c r="D1179" s="138"/>
      <c r="E1179" s="138"/>
      <c r="F1179" s="138"/>
      <c r="G1179" s="199" t="s">
        <v>827</v>
      </c>
      <c r="H1179" s="909">
        <v>500</v>
      </c>
      <c r="I1179" s="339">
        <v>0</v>
      </c>
      <c r="J1179" s="763">
        <f t="shared" si="122"/>
        <v>0</v>
      </c>
      <c r="K1179" s="139"/>
      <c r="L1179" s="647"/>
      <c r="M1179" s="339"/>
      <c r="N1179" s="763"/>
      <c r="O1179" s="139"/>
      <c r="P1179" s="756">
        <f t="shared" si="123"/>
        <v>500</v>
      </c>
      <c r="Q1179" s="768">
        <f t="shared" si="124"/>
        <v>0</v>
      </c>
      <c r="R1179" s="763">
        <f t="shared" si="125"/>
        <v>0</v>
      </c>
    </row>
    <row r="1180" spans="2:18" ht="12.75">
      <c r="B1180" s="144">
        <f t="shared" si="127"/>
        <v>36</v>
      </c>
      <c r="C1180" s="137"/>
      <c r="D1180" s="138"/>
      <c r="E1180" s="138"/>
      <c r="F1180" s="138"/>
      <c r="G1180" s="199" t="s">
        <v>829</v>
      </c>
      <c r="H1180" s="909">
        <v>200</v>
      </c>
      <c r="I1180" s="339">
        <v>0</v>
      </c>
      <c r="J1180" s="763">
        <f t="shared" si="122"/>
        <v>0</v>
      </c>
      <c r="K1180" s="139"/>
      <c r="L1180" s="647"/>
      <c r="M1180" s="339"/>
      <c r="N1180" s="763"/>
      <c r="O1180" s="139"/>
      <c r="P1180" s="756">
        <f t="shared" si="123"/>
        <v>200</v>
      </c>
      <c r="Q1180" s="768">
        <f t="shared" si="124"/>
        <v>0</v>
      </c>
      <c r="R1180" s="763">
        <f t="shared" si="125"/>
        <v>0</v>
      </c>
    </row>
    <row r="1181" spans="2:18" ht="12.75">
      <c r="B1181" s="144">
        <f t="shared" si="127"/>
        <v>37</v>
      </c>
      <c r="C1181" s="137"/>
      <c r="D1181" s="138"/>
      <c r="E1181" s="138"/>
      <c r="F1181" s="138"/>
      <c r="G1181" s="199" t="s">
        <v>832</v>
      </c>
      <c r="H1181" s="909">
        <v>200</v>
      </c>
      <c r="I1181" s="339">
        <v>0</v>
      </c>
      <c r="J1181" s="763">
        <f t="shared" si="122"/>
        <v>0</v>
      </c>
      <c r="K1181" s="139"/>
      <c r="L1181" s="647"/>
      <c r="M1181" s="339"/>
      <c r="N1181" s="763"/>
      <c r="O1181" s="139"/>
      <c r="P1181" s="756">
        <f t="shared" si="123"/>
        <v>200</v>
      </c>
      <c r="Q1181" s="768">
        <f t="shared" si="124"/>
        <v>0</v>
      </c>
      <c r="R1181" s="763">
        <f t="shared" si="125"/>
        <v>0</v>
      </c>
    </row>
    <row r="1182" spans="2:18" ht="12.75">
      <c r="B1182" s="144">
        <f t="shared" si="127"/>
        <v>38</v>
      </c>
      <c r="C1182" s="137"/>
      <c r="D1182" s="138"/>
      <c r="E1182" s="138" t="s">
        <v>271</v>
      </c>
      <c r="F1182" s="138" t="s">
        <v>340</v>
      </c>
      <c r="G1182" s="218" t="s">
        <v>460</v>
      </c>
      <c r="H1182" s="910"/>
      <c r="I1182" s="335"/>
      <c r="J1182" s="763"/>
      <c r="K1182" s="187"/>
      <c r="L1182" s="649">
        <v>10696</v>
      </c>
      <c r="M1182" s="335">
        <v>5348</v>
      </c>
      <c r="N1182" s="763">
        <f>M1182/L1182*100</f>
        <v>50</v>
      </c>
      <c r="O1182" s="187"/>
      <c r="P1182" s="759">
        <f t="shared" si="123"/>
        <v>10696</v>
      </c>
      <c r="Q1182" s="771">
        <f t="shared" si="124"/>
        <v>5348</v>
      </c>
      <c r="R1182" s="763">
        <f t="shared" si="125"/>
        <v>50</v>
      </c>
    </row>
    <row r="1183" spans="2:18" ht="12.75">
      <c r="B1183" s="144">
        <f t="shared" si="127"/>
        <v>39</v>
      </c>
      <c r="C1183" s="137"/>
      <c r="D1183" s="138"/>
      <c r="E1183" s="138" t="s">
        <v>271</v>
      </c>
      <c r="F1183" s="138" t="s">
        <v>340</v>
      </c>
      <c r="G1183" s="218" t="s">
        <v>461</v>
      </c>
      <c r="H1183" s="910"/>
      <c r="I1183" s="335"/>
      <c r="J1183" s="763"/>
      <c r="K1183" s="187"/>
      <c r="L1183" s="649">
        <v>14072</v>
      </c>
      <c r="M1183" s="335">
        <v>7035</v>
      </c>
      <c r="N1183" s="763">
        <f>M1183/L1183*100</f>
        <v>49.992893689596364</v>
      </c>
      <c r="O1183" s="187"/>
      <c r="P1183" s="759">
        <f t="shared" si="123"/>
        <v>14072</v>
      </c>
      <c r="Q1183" s="771">
        <f t="shared" si="124"/>
        <v>7035</v>
      </c>
      <c r="R1183" s="763">
        <f t="shared" si="125"/>
        <v>49.992893689596364</v>
      </c>
    </row>
    <row r="1184" spans="2:18" ht="15.75">
      <c r="B1184" s="144">
        <f t="shared" si="127"/>
        <v>40</v>
      </c>
      <c r="C1184" s="21">
        <v>3</v>
      </c>
      <c r="D1184" s="133" t="s">
        <v>110</v>
      </c>
      <c r="E1184" s="22"/>
      <c r="F1184" s="22"/>
      <c r="G1184" s="200"/>
      <c r="H1184" s="913">
        <f>H1185+H1191+H1192+H1193+H1194+H1196+H1195+H1197+H1199+H1200+H1201+H1198</f>
        <v>180700</v>
      </c>
      <c r="I1184" s="369">
        <f>I1185+I1191+I1192+I1193+I1194+I1196+I1195+I1197+I1199+I1200+I1201+I1198</f>
        <v>74983</v>
      </c>
      <c r="J1184" s="763">
        <f aca="true" t="shared" si="128" ref="J1184:J1189">I1184/H1184*100</f>
        <v>41.49584947426674</v>
      </c>
      <c r="K1184" s="113"/>
      <c r="L1184" s="774">
        <f>SUM(L1185:L1203)</f>
        <v>10000</v>
      </c>
      <c r="M1184" s="337">
        <f>SUM(M1185:M1203)</f>
        <v>2000</v>
      </c>
      <c r="N1184" s="763">
        <f>M1184/L1184*100</f>
        <v>20</v>
      </c>
      <c r="O1184" s="113"/>
      <c r="P1184" s="754">
        <f t="shared" si="123"/>
        <v>190700</v>
      </c>
      <c r="Q1184" s="766">
        <f t="shared" si="124"/>
        <v>76983</v>
      </c>
      <c r="R1184" s="763">
        <f t="shared" si="125"/>
        <v>40.36864184583115</v>
      </c>
    </row>
    <row r="1185" spans="2:18" ht="12.75">
      <c r="B1185" s="144">
        <f t="shared" si="127"/>
        <v>41</v>
      </c>
      <c r="C1185" s="137"/>
      <c r="D1185" s="137"/>
      <c r="E1185" s="166" t="s">
        <v>271</v>
      </c>
      <c r="F1185" s="229" t="s">
        <v>506</v>
      </c>
      <c r="G1185" s="229"/>
      <c r="H1185" s="914">
        <f>SUM(H1186:H1189)</f>
        <v>139700</v>
      </c>
      <c r="I1185" s="345">
        <f>SUM(I1186:I1189)</f>
        <v>59065</v>
      </c>
      <c r="J1185" s="763">
        <f t="shared" si="128"/>
        <v>42.27988546886184</v>
      </c>
      <c r="K1185" s="139"/>
      <c r="L1185" s="649"/>
      <c r="M1185" s="335"/>
      <c r="N1185" s="763"/>
      <c r="O1185" s="139"/>
      <c r="P1185" s="894">
        <f t="shared" si="123"/>
        <v>139700</v>
      </c>
      <c r="Q1185" s="899">
        <f t="shared" si="124"/>
        <v>59065</v>
      </c>
      <c r="R1185" s="763">
        <f t="shared" si="125"/>
        <v>42.27988546886184</v>
      </c>
    </row>
    <row r="1186" spans="2:18" ht="12.75">
      <c r="B1186" s="144">
        <f t="shared" si="127"/>
        <v>42</v>
      </c>
      <c r="C1186" s="137"/>
      <c r="D1186" s="137"/>
      <c r="E1186" s="166"/>
      <c r="F1186" s="141">
        <v>632</v>
      </c>
      <c r="G1186" s="199" t="s">
        <v>250</v>
      </c>
      <c r="H1186" s="910">
        <f>131900-5000</f>
        <v>126900</v>
      </c>
      <c r="I1186" s="335">
        <v>53478</v>
      </c>
      <c r="J1186" s="763">
        <f t="shared" si="128"/>
        <v>42.141843971631204</v>
      </c>
      <c r="K1186" s="139"/>
      <c r="L1186" s="649"/>
      <c r="M1186" s="335"/>
      <c r="N1186" s="763"/>
      <c r="O1186" s="139"/>
      <c r="P1186" s="759">
        <f t="shared" si="123"/>
        <v>126900</v>
      </c>
      <c r="Q1186" s="771">
        <f t="shared" si="124"/>
        <v>53478</v>
      </c>
      <c r="R1186" s="763">
        <f t="shared" si="125"/>
        <v>42.141843971631204</v>
      </c>
    </row>
    <row r="1187" spans="2:18" ht="12.75">
      <c r="B1187" s="144">
        <f t="shared" si="127"/>
        <v>43</v>
      </c>
      <c r="C1187" s="137"/>
      <c r="D1187" s="137"/>
      <c r="E1187" s="166"/>
      <c r="F1187" s="141">
        <v>633</v>
      </c>
      <c r="G1187" s="199" t="s">
        <v>251</v>
      </c>
      <c r="H1187" s="910">
        <v>2200</v>
      </c>
      <c r="I1187" s="335">
        <v>844</v>
      </c>
      <c r="J1187" s="763">
        <f t="shared" si="128"/>
        <v>38.36363636363636</v>
      </c>
      <c r="K1187" s="139"/>
      <c r="L1187" s="649"/>
      <c r="M1187" s="335"/>
      <c r="N1187" s="763"/>
      <c r="O1187" s="139"/>
      <c r="P1187" s="759">
        <f t="shared" si="123"/>
        <v>2200</v>
      </c>
      <c r="Q1187" s="771">
        <f t="shared" si="124"/>
        <v>844</v>
      </c>
      <c r="R1187" s="763">
        <f t="shared" si="125"/>
        <v>38.36363636363636</v>
      </c>
    </row>
    <row r="1188" spans="2:18" ht="12.75">
      <c r="B1188" s="144">
        <f t="shared" si="127"/>
        <v>44</v>
      </c>
      <c r="C1188" s="137"/>
      <c r="D1188" s="137"/>
      <c r="E1188" s="166"/>
      <c r="F1188" s="141">
        <v>635</v>
      </c>
      <c r="G1188" s="199" t="s">
        <v>266</v>
      </c>
      <c r="H1188" s="910">
        <v>6000</v>
      </c>
      <c r="I1188" s="335">
        <v>2570</v>
      </c>
      <c r="J1188" s="763">
        <f t="shared" si="128"/>
        <v>42.833333333333336</v>
      </c>
      <c r="K1188" s="139"/>
      <c r="L1188" s="649"/>
      <c r="M1188" s="335"/>
      <c r="N1188" s="763"/>
      <c r="O1188" s="139"/>
      <c r="P1188" s="759">
        <f t="shared" si="123"/>
        <v>6000</v>
      </c>
      <c r="Q1188" s="771">
        <f t="shared" si="124"/>
        <v>2570</v>
      </c>
      <c r="R1188" s="763">
        <f t="shared" si="125"/>
        <v>42.833333333333336</v>
      </c>
    </row>
    <row r="1189" spans="2:18" ht="12.75">
      <c r="B1189" s="144">
        <f t="shared" si="127"/>
        <v>45</v>
      </c>
      <c r="C1189" s="137"/>
      <c r="D1189" s="137"/>
      <c r="E1189" s="166"/>
      <c r="F1189" s="141">
        <v>637</v>
      </c>
      <c r="G1189" s="199" t="s">
        <v>252</v>
      </c>
      <c r="H1189" s="910">
        <v>4600</v>
      </c>
      <c r="I1189" s="335">
        <v>2173</v>
      </c>
      <c r="J1189" s="763">
        <f t="shared" si="128"/>
        <v>47.23913043478261</v>
      </c>
      <c r="K1189" s="139"/>
      <c r="L1189" s="649"/>
      <c r="M1189" s="335"/>
      <c r="N1189" s="763"/>
      <c r="O1189" s="139"/>
      <c r="P1189" s="759">
        <f t="shared" si="123"/>
        <v>4600</v>
      </c>
      <c r="Q1189" s="771">
        <f t="shared" si="124"/>
        <v>2173</v>
      </c>
      <c r="R1189" s="763">
        <f t="shared" si="125"/>
        <v>47.23913043478261</v>
      </c>
    </row>
    <row r="1190" spans="2:18" ht="12.75">
      <c r="B1190" s="144">
        <f t="shared" si="127"/>
        <v>46</v>
      </c>
      <c r="C1190" s="137"/>
      <c r="D1190" s="137"/>
      <c r="E1190" s="166"/>
      <c r="F1190" s="141"/>
      <c r="G1190" s="199"/>
      <c r="H1190" s="910"/>
      <c r="I1190" s="335"/>
      <c r="J1190" s="763"/>
      <c r="K1190" s="139"/>
      <c r="L1190" s="649"/>
      <c r="M1190" s="335"/>
      <c r="N1190" s="763"/>
      <c r="O1190" s="139"/>
      <c r="P1190" s="759"/>
      <c r="Q1190" s="771"/>
      <c r="R1190" s="763"/>
    </row>
    <row r="1191" spans="2:18" ht="12.75">
      <c r="B1191" s="144">
        <f t="shared" si="127"/>
        <v>47</v>
      </c>
      <c r="C1191" s="137"/>
      <c r="D1191" s="137"/>
      <c r="E1191" s="166" t="s">
        <v>271</v>
      </c>
      <c r="F1191" s="141">
        <v>637</v>
      </c>
      <c r="G1191" s="199" t="s">
        <v>320</v>
      </c>
      <c r="H1191" s="910">
        <f>1400+250</f>
        <v>1650</v>
      </c>
      <c r="I1191" s="335">
        <v>1211</v>
      </c>
      <c r="J1191" s="763">
        <f aca="true" t="shared" si="129" ref="J1191:J1201">I1191/H1191*100</f>
        <v>73.39393939393939</v>
      </c>
      <c r="K1191" s="139"/>
      <c r="L1191" s="649"/>
      <c r="M1191" s="335"/>
      <c r="N1191" s="763"/>
      <c r="O1191" s="139"/>
      <c r="P1191" s="759">
        <f aca="true" t="shared" si="130" ref="P1191:P1204">H1191+L1191</f>
        <v>1650</v>
      </c>
      <c r="Q1191" s="771">
        <f aca="true" t="shared" si="131" ref="Q1191:Q1204">I1191+M1191</f>
        <v>1211</v>
      </c>
      <c r="R1191" s="763">
        <f aca="true" t="shared" si="132" ref="R1191:R1204">Q1191/P1191*100</f>
        <v>73.39393939393939</v>
      </c>
    </row>
    <row r="1192" spans="2:18" ht="12.75">
      <c r="B1192" s="144">
        <f t="shared" si="127"/>
        <v>48</v>
      </c>
      <c r="C1192" s="137"/>
      <c r="D1192" s="137"/>
      <c r="E1192" s="166" t="s">
        <v>271</v>
      </c>
      <c r="F1192" s="141">
        <v>620</v>
      </c>
      <c r="G1192" s="330" t="s">
        <v>569</v>
      </c>
      <c r="H1192" s="910">
        <v>2000</v>
      </c>
      <c r="I1192" s="335">
        <v>814</v>
      </c>
      <c r="J1192" s="763">
        <f t="shared" si="129"/>
        <v>40.699999999999996</v>
      </c>
      <c r="K1192" s="139"/>
      <c r="L1192" s="649"/>
      <c r="M1192" s="335"/>
      <c r="N1192" s="763"/>
      <c r="O1192" s="139"/>
      <c r="P1192" s="759">
        <f t="shared" si="130"/>
        <v>2000</v>
      </c>
      <c r="Q1192" s="771">
        <f t="shared" si="131"/>
        <v>814</v>
      </c>
      <c r="R1192" s="763">
        <f t="shared" si="132"/>
        <v>40.699999999999996</v>
      </c>
    </row>
    <row r="1193" spans="2:18" ht="12.75">
      <c r="B1193" s="144">
        <f t="shared" si="127"/>
        <v>49</v>
      </c>
      <c r="C1193" s="137"/>
      <c r="D1193" s="137"/>
      <c r="E1193" s="138" t="s">
        <v>271</v>
      </c>
      <c r="F1193" s="329">
        <v>637</v>
      </c>
      <c r="G1193" s="330" t="s">
        <v>569</v>
      </c>
      <c r="H1193" s="910">
        <v>7700</v>
      </c>
      <c r="I1193" s="335">
        <v>3125</v>
      </c>
      <c r="J1193" s="763">
        <f t="shared" si="129"/>
        <v>40.58441558441558</v>
      </c>
      <c r="K1193" s="20"/>
      <c r="L1193" s="903"/>
      <c r="M1193" s="356"/>
      <c r="N1193" s="763"/>
      <c r="O1193" s="20"/>
      <c r="P1193" s="895">
        <f t="shared" si="130"/>
        <v>7700</v>
      </c>
      <c r="Q1193" s="900">
        <f t="shared" si="131"/>
        <v>3125</v>
      </c>
      <c r="R1193" s="763">
        <f t="shared" si="132"/>
        <v>40.58441558441558</v>
      </c>
    </row>
    <row r="1194" spans="2:18" ht="12.75">
      <c r="B1194" s="144">
        <f t="shared" si="127"/>
        <v>50</v>
      </c>
      <c r="C1194" s="137"/>
      <c r="D1194" s="137"/>
      <c r="E1194" s="138" t="s">
        <v>271</v>
      </c>
      <c r="F1194" s="329">
        <v>633</v>
      </c>
      <c r="G1194" s="330" t="s">
        <v>251</v>
      </c>
      <c r="H1194" s="910">
        <v>800</v>
      </c>
      <c r="I1194" s="335">
        <v>244</v>
      </c>
      <c r="J1194" s="763">
        <f t="shared" si="129"/>
        <v>30.5</v>
      </c>
      <c r="K1194" s="20"/>
      <c r="L1194" s="903"/>
      <c r="M1194" s="356"/>
      <c r="N1194" s="763"/>
      <c r="O1194" s="20"/>
      <c r="P1194" s="895">
        <f t="shared" si="130"/>
        <v>800</v>
      </c>
      <c r="Q1194" s="900">
        <f t="shared" si="131"/>
        <v>244</v>
      </c>
      <c r="R1194" s="763">
        <f t="shared" si="132"/>
        <v>30.5</v>
      </c>
    </row>
    <row r="1195" spans="2:18" ht="12.75">
      <c r="B1195" s="144">
        <f t="shared" si="127"/>
        <v>51</v>
      </c>
      <c r="C1195" s="137"/>
      <c r="D1195" s="137"/>
      <c r="E1195" s="138" t="s">
        <v>271</v>
      </c>
      <c r="F1195" s="329">
        <v>633</v>
      </c>
      <c r="G1195" s="330" t="s">
        <v>665</v>
      </c>
      <c r="H1195" s="910">
        <v>2000</v>
      </c>
      <c r="I1195" s="335">
        <v>1838</v>
      </c>
      <c r="J1195" s="763">
        <f t="shared" si="129"/>
        <v>91.9</v>
      </c>
      <c r="K1195" s="20"/>
      <c r="L1195" s="903"/>
      <c r="M1195" s="356"/>
      <c r="N1195" s="763"/>
      <c r="O1195" s="20"/>
      <c r="P1195" s="895">
        <f t="shared" si="130"/>
        <v>2000</v>
      </c>
      <c r="Q1195" s="900">
        <f t="shared" si="131"/>
        <v>1838</v>
      </c>
      <c r="R1195" s="763">
        <f t="shared" si="132"/>
        <v>91.9</v>
      </c>
    </row>
    <row r="1196" spans="2:18" ht="12.75">
      <c r="B1196" s="144">
        <f t="shared" si="127"/>
        <v>52</v>
      </c>
      <c r="C1196" s="137"/>
      <c r="D1196" s="137"/>
      <c r="E1196" s="166" t="s">
        <v>271</v>
      </c>
      <c r="F1196" s="329">
        <v>630</v>
      </c>
      <c r="G1196" s="330" t="s">
        <v>481</v>
      </c>
      <c r="H1196" s="910">
        <v>14200</v>
      </c>
      <c r="I1196" s="335">
        <v>6768</v>
      </c>
      <c r="J1196" s="763">
        <f t="shared" si="129"/>
        <v>47.66197183098592</v>
      </c>
      <c r="K1196" s="20"/>
      <c r="L1196" s="903"/>
      <c r="M1196" s="356"/>
      <c r="N1196" s="763"/>
      <c r="O1196" s="20"/>
      <c r="P1196" s="895">
        <f t="shared" si="130"/>
        <v>14200</v>
      </c>
      <c r="Q1196" s="900">
        <f t="shared" si="131"/>
        <v>6768</v>
      </c>
      <c r="R1196" s="763">
        <f t="shared" si="132"/>
        <v>47.66197183098592</v>
      </c>
    </row>
    <row r="1197" spans="2:18" ht="12.75">
      <c r="B1197" s="144">
        <f t="shared" si="127"/>
        <v>53</v>
      </c>
      <c r="C1197" s="137"/>
      <c r="D1197" s="169"/>
      <c r="E1197" s="166" t="s">
        <v>271</v>
      </c>
      <c r="F1197" s="329">
        <v>635</v>
      </c>
      <c r="G1197" s="330" t="s">
        <v>763</v>
      </c>
      <c r="H1197" s="915">
        <f>7400-940</f>
        <v>6460</v>
      </c>
      <c r="I1197" s="341">
        <v>0</v>
      </c>
      <c r="J1197" s="763">
        <f t="shared" si="129"/>
        <v>0</v>
      </c>
      <c r="K1197" s="20"/>
      <c r="L1197" s="904"/>
      <c r="M1197" s="454"/>
      <c r="N1197" s="763"/>
      <c r="O1197" s="20"/>
      <c r="P1197" s="896">
        <f t="shared" si="130"/>
        <v>6460</v>
      </c>
      <c r="Q1197" s="901">
        <f t="shared" si="131"/>
        <v>0</v>
      </c>
      <c r="R1197" s="763">
        <f t="shared" si="132"/>
        <v>0</v>
      </c>
    </row>
    <row r="1198" spans="2:18" ht="12.75">
      <c r="B1198" s="144">
        <f t="shared" si="127"/>
        <v>54</v>
      </c>
      <c r="C1198" s="137"/>
      <c r="D1198" s="169"/>
      <c r="E1198" s="166" t="s">
        <v>271</v>
      </c>
      <c r="F1198" s="329">
        <v>635</v>
      </c>
      <c r="G1198" s="330" t="s">
        <v>812</v>
      </c>
      <c r="H1198" s="915">
        <v>550</v>
      </c>
      <c r="I1198" s="341">
        <v>0</v>
      </c>
      <c r="J1198" s="763">
        <f t="shared" si="129"/>
        <v>0</v>
      </c>
      <c r="K1198" s="20"/>
      <c r="L1198" s="904"/>
      <c r="M1198" s="454"/>
      <c r="N1198" s="763"/>
      <c r="O1198" s="20"/>
      <c r="P1198" s="896">
        <f t="shared" si="130"/>
        <v>550</v>
      </c>
      <c r="Q1198" s="901">
        <f t="shared" si="131"/>
        <v>0</v>
      </c>
      <c r="R1198" s="763">
        <f t="shared" si="132"/>
        <v>0</v>
      </c>
    </row>
    <row r="1199" spans="2:18" ht="12.75">
      <c r="B1199" s="144">
        <f t="shared" si="127"/>
        <v>55</v>
      </c>
      <c r="C1199" s="137"/>
      <c r="D1199" s="169"/>
      <c r="E1199" s="138" t="s">
        <v>271</v>
      </c>
      <c r="F1199" s="329">
        <v>633</v>
      </c>
      <c r="G1199" s="330" t="s">
        <v>764</v>
      </c>
      <c r="H1199" s="915">
        <f>2600+940</f>
        <v>3540</v>
      </c>
      <c r="I1199" s="341">
        <v>0</v>
      </c>
      <c r="J1199" s="763">
        <f t="shared" si="129"/>
        <v>0</v>
      </c>
      <c r="K1199" s="20"/>
      <c r="L1199" s="904"/>
      <c r="M1199" s="454"/>
      <c r="N1199" s="763"/>
      <c r="O1199" s="20"/>
      <c r="P1199" s="896">
        <f t="shared" si="130"/>
        <v>3540</v>
      </c>
      <c r="Q1199" s="901">
        <f t="shared" si="131"/>
        <v>0</v>
      </c>
      <c r="R1199" s="763">
        <f t="shared" si="132"/>
        <v>0</v>
      </c>
    </row>
    <row r="1200" spans="2:18" ht="12.75">
      <c r="B1200" s="144">
        <f t="shared" si="127"/>
        <v>56</v>
      </c>
      <c r="C1200" s="137"/>
      <c r="D1200" s="169"/>
      <c r="E1200" s="138" t="s">
        <v>271</v>
      </c>
      <c r="F1200" s="329">
        <v>640</v>
      </c>
      <c r="G1200" s="330" t="s">
        <v>765</v>
      </c>
      <c r="H1200" s="915">
        <v>600</v>
      </c>
      <c r="I1200" s="341">
        <v>418</v>
      </c>
      <c r="J1200" s="763">
        <f t="shared" si="129"/>
        <v>69.66666666666667</v>
      </c>
      <c r="K1200" s="20"/>
      <c r="L1200" s="904"/>
      <c r="M1200" s="454"/>
      <c r="N1200" s="763"/>
      <c r="O1200" s="20"/>
      <c r="P1200" s="896">
        <f t="shared" si="130"/>
        <v>600</v>
      </c>
      <c r="Q1200" s="901">
        <f t="shared" si="131"/>
        <v>418</v>
      </c>
      <c r="R1200" s="763">
        <f t="shared" si="132"/>
        <v>69.66666666666667</v>
      </c>
    </row>
    <row r="1201" spans="2:18" ht="12.75">
      <c r="B1201" s="144">
        <f t="shared" si="127"/>
        <v>57</v>
      </c>
      <c r="C1201" s="137"/>
      <c r="D1201" s="169"/>
      <c r="E1201" s="138" t="s">
        <v>271</v>
      </c>
      <c r="F1201" s="329">
        <v>640</v>
      </c>
      <c r="G1201" s="330" t="s">
        <v>766</v>
      </c>
      <c r="H1201" s="915">
        <v>1500</v>
      </c>
      <c r="I1201" s="341">
        <v>1500</v>
      </c>
      <c r="J1201" s="763">
        <f t="shared" si="129"/>
        <v>100</v>
      </c>
      <c r="K1201" s="20"/>
      <c r="L1201" s="904"/>
      <c r="M1201" s="454"/>
      <c r="N1201" s="763"/>
      <c r="O1201" s="20"/>
      <c r="P1201" s="896">
        <f t="shared" si="130"/>
        <v>1500</v>
      </c>
      <c r="Q1201" s="901">
        <f t="shared" si="131"/>
        <v>1500</v>
      </c>
      <c r="R1201" s="763">
        <f t="shared" si="132"/>
        <v>100</v>
      </c>
    </row>
    <row r="1202" spans="2:18" ht="12.75">
      <c r="B1202" s="144">
        <f t="shared" si="127"/>
        <v>58</v>
      </c>
      <c r="C1202" s="137"/>
      <c r="D1202" s="169"/>
      <c r="E1202" s="166" t="s">
        <v>271</v>
      </c>
      <c r="F1202" s="329">
        <v>717</v>
      </c>
      <c r="G1202" s="330" t="s">
        <v>742</v>
      </c>
      <c r="H1202" s="915"/>
      <c r="I1202" s="341"/>
      <c r="J1202" s="763"/>
      <c r="K1202" s="20"/>
      <c r="L1202" s="904">
        <v>8000</v>
      </c>
      <c r="M1202" s="454">
        <v>0</v>
      </c>
      <c r="N1202" s="763">
        <f>M1202/L1202*100</f>
        <v>0</v>
      </c>
      <c r="O1202" s="20"/>
      <c r="P1202" s="896">
        <f t="shared" si="130"/>
        <v>8000</v>
      </c>
      <c r="Q1202" s="901">
        <f t="shared" si="131"/>
        <v>0</v>
      </c>
      <c r="R1202" s="763">
        <f t="shared" si="132"/>
        <v>0</v>
      </c>
    </row>
    <row r="1203" spans="2:18" ht="12.75">
      <c r="B1203" s="144">
        <f t="shared" si="127"/>
        <v>59</v>
      </c>
      <c r="C1203" s="185"/>
      <c r="D1203" s="251"/>
      <c r="E1203" s="166" t="s">
        <v>271</v>
      </c>
      <c r="F1203" s="329">
        <v>716</v>
      </c>
      <c r="G1203" s="330" t="s">
        <v>776</v>
      </c>
      <c r="H1203" s="915"/>
      <c r="I1203" s="341"/>
      <c r="J1203" s="763"/>
      <c r="K1203" s="20"/>
      <c r="L1203" s="904">
        <v>2000</v>
      </c>
      <c r="M1203" s="454">
        <v>2000</v>
      </c>
      <c r="N1203" s="763">
        <f>M1203/L1203*100</f>
        <v>100</v>
      </c>
      <c r="O1203" s="20"/>
      <c r="P1203" s="896">
        <f t="shared" si="130"/>
        <v>2000</v>
      </c>
      <c r="Q1203" s="901">
        <f t="shared" si="131"/>
        <v>2000</v>
      </c>
      <c r="R1203" s="763">
        <f t="shared" si="132"/>
        <v>100</v>
      </c>
    </row>
    <row r="1204" spans="2:18" ht="16.5" thickBot="1">
      <c r="B1204" s="642">
        <f t="shared" si="127"/>
        <v>60</v>
      </c>
      <c r="C1204" s="271">
        <v>4</v>
      </c>
      <c r="D1204" s="272" t="s">
        <v>228</v>
      </c>
      <c r="E1204" s="29"/>
      <c r="F1204" s="29"/>
      <c r="G1204" s="201"/>
      <c r="H1204" s="916">
        <v>0</v>
      </c>
      <c r="I1204" s="370">
        <v>0</v>
      </c>
      <c r="J1204" s="764"/>
      <c r="K1204" s="128"/>
      <c r="L1204" s="905">
        <v>18320</v>
      </c>
      <c r="M1204" s="906">
        <v>0</v>
      </c>
      <c r="N1204" s="764">
        <f>M1204/L1204*100</f>
        <v>0</v>
      </c>
      <c r="O1204" s="128"/>
      <c r="P1204" s="897">
        <f t="shared" si="130"/>
        <v>18320</v>
      </c>
      <c r="Q1204" s="902">
        <f t="shared" si="131"/>
        <v>0</v>
      </c>
      <c r="R1204" s="764">
        <f t="shared" si="132"/>
        <v>0</v>
      </c>
    </row>
    <row r="1227" spans="2:16" ht="31.5" customHeight="1" thickBot="1">
      <c r="B1227" s="248" t="s">
        <v>229</v>
      </c>
      <c r="C1227" s="248"/>
      <c r="D1227" s="248"/>
      <c r="E1227" s="248"/>
      <c r="F1227" s="248"/>
      <c r="G1227" s="248"/>
      <c r="H1227" s="248"/>
      <c r="I1227" s="248"/>
      <c r="J1227" s="248"/>
      <c r="K1227" s="248"/>
      <c r="L1227" s="248"/>
      <c r="M1227" s="248"/>
      <c r="N1227" s="248"/>
      <c r="O1227" s="248"/>
      <c r="P1227" s="248"/>
    </row>
    <row r="1228" spans="2:18" ht="21.75" customHeight="1" thickBot="1">
      <c r="B1228" s="1074" t="s">
        <v>778</v>
      </c>
      <c r="C1228" s="1075"/>
      <c r="D1228" s="1075"/>
      <c r="E1228" s="1075"/>
      <c r="F1228" s="1075"/>
      <c r="G1228" s="1075"/>
      <c r="H1228" s="1075"/>
      <c r="I1228" s="1075"/>
      <c r="J1228" s="1075"/>
      <c r="K1228" s="1075"/>
      <c r="L1228" s="1075"/>
      <c r="M1228" s="599"/>
      <c r="N1228" s="628"/>
      <c r="O1228" s="127"/>
      <c r="P1228" s="1091" t="s">
        <v>811</v>
      </c>
      <c r="Q1228" s="1101" t="s">
        <v>836</v>
      </c>
      <c r="R1228" s="761"/>
    </row>
    <row r="1229" spans="2:18" ht="24.75" customHeight="1" thickTop="1">
      <c r="B1229" s="23"/>
      <c r="C1229" s="1083" t="s">
        <v>512</v>
      </c>
      <c r="D1229" s="1083" t="s">
        <v>511</v>
      </c>
      <c r="E1229" s="1083" t="s">
        <v>509</v>
      </c>
      <c r="F1229" s="1083" t="s">
        <v>510</v>
      </c>
      <c r="G1229" s="319" t="s">
        <v>3</v>
      </c>
      <c r="H1229" s="1085" t="s">
        <v>806</v>
      </c>
      <c r="I1229" s="1087" t="s">
        <v>836</v>
      </c>
      <c r="J1229" s="1072" t="s">
        <v>835</v>
      </c>
      <c r="K1229" s="80"/>
      <c r="L1229" s="1099" t="s">
        <v>810</v>
      </c>
      <c r="M1229" s="1094" t="s">
        <v>836</v>
      </c>
      <c r="N1229" s="1072" t="s">
        <v>835</v>
      </c>
      <c r="O1229" s="80"/>
      <c r="P1229" s="1092"/>
      <c r="Q1229" s="1102"/>
      <c r="R1229" s="1047" t="s">
        <v>835</v>
      </c>
    </row>
    <row r="1230" spans="2:18" ht="31.5" customHeight="1" thickBot="1">
      <c r="B1230" s="26"/>
      <c r="C1230" s="1084"/>
      <c r="D1230" s="1084"/>
      <c r="E1230" s="1084"/>
      <c r="F1230" s="1084"/>
      <c r="G1230" s="196"/>
      <c r="H1230" s="1086"/>
      <c r="I1230" s="1086"/>
      <c r="J1230" s="1073"/>
      <c r="K1230" s="80"/>
      <c r="L1230" s="1100"/>
      <c r="M1230" s="1095"/>
      <c r="N1230" s="1073"/>
      <c r="O1230" s="80"/>
      <c r="P1230" s="1093"/>
      <c r="Q1230" s="1103"/>
      <c r="R1230" s="1048"/>
    </row>
    <row r="1231" spans="2:18" ht="19.5" thickBot="1" thickTop="1">
      <c r="B1231" s="177">
        <v>1</v>
      </c>
      <c r="C1231" s="132" t="s">
        <v>230</v>
      </c>
      <c r="D1231" s="112"/>
      <c r="E1231" s="112"/>
      <c r="F1231" s="112"/>
      <c r="G1231" s="208"/>
      <c r="H1231" s="367">
        <f>H1232+H1274+H1286+H1290+H1292+H1300</f>
        <v>4779690</v>
      </c>
      <c r="I1231" s="367">
        <f>I1232+I1274+I1286+I1290+I1292+I1300</f>
        <v>2243128</v>
      </c>
      <c r="J1231" s="598">
        <f aca="true" t="shared" si="133" ref="J1231:J1266">I1231/H1231*100</f>
        <v>46.9304076205779</v>
      </c>
      <c r="K1231" s="114"/>
      <c r="L1231" s="643">
        <f>L1232+L1274+L1286+L1290+L1292+L1300</f>
        <v>322871</v>
      </c>
      <c r="M1231" s="365">
        <f>M1232+M1274+M1286+M1290+M1292+M1300</f>
        <v>155125</v>
      </c>
      <c r="N1231" s="598">
        <f>M1231/L1231*100</f>
        <v>48.04550424163211</v>
      </c>
      <c r="O1231" s="114"/>
      <c r="P1231" s="776">
        <f aca="true" t="shared" si="134" ref="P1231:P1269">H1231+L1231</f>
        <v>5102561</v>
      </c>
      <c r="Q1231" s="780">
        <f aca="true" t="shared" si="135" ref="Q1231:Q1269">I1231+M1231</f>
        <v>2398253</v>
      </c>
      <c r="R1231" s="789">
        <f aca="true" t="shared" si="136" ref="R1231:R1269">Q1231/P1231*100</f>
        <v>47.000966769432054</v>
      </c>
    </row>
    <row r="1232" spans="2:18" ht="16.5" thickTop="1">
      <c r="B1232" s="177">
        <f aca="true" t="shared" si="137" ref="B1232:B1263">B1231+1</f>
        <v>2</v>
      </c>
      <c r="C1232" s="24">
        <v>1</v>
      </c>
      <c r="D1232" s="134" t="s">
        <v>0</v>
      </c>
      <c r="E1232" s="25"/>
      <c r="F1232" s="25"/>
      <c r="G1232" s="198"/>
      <c r="H1232" s="368">
        <f>H1233+H1252+H1262+H1268+H1244</f>
        <v>936720</v>
      </c>
      <c r="I1232" s="368">
        <f>I1233+I1252+I1262+I1268+I1244</f>
        <v>343831</v>
      </c>
      <c r="J1232" s="619">
        <f t="shared" si="133"/>
        <v>36.70584593048083</v>
      </c>
      <c r="K1232" s="90"/>
      <c r="L1232" s="644">
        <f>SUM(L1236:L1273)</f>
        <v>67771</v>
      </c>
      <c r="M1232" s="353">
        <f>SUM(M1236:M1273)</f>
        <v>18885</v>
      </c>
      <c r="N1232" s="619">
        <f>M1232/L1232*100</f>
        <v>27.865901344232785</v>
      </c>
      <c r="O1232" s="90"/>
      <c r="P1232" s="754">
        <f t="shared" si="134"/>
        <v>1004491</v>
      </c>
      <c r="Q1232" s="766">
        <f t="shared" si="135"/>
        <v>362716</v>
      </c>
      <c r="R1232" s="790">
        <f t="shared" si="136"/>
        <v>36.10943253846973</v>
      </c>
    </row>
    <row r="1233" spans="2:18" ht="12.75">
      <c r="B1233" s="177">
        <f t="shared" si="137"/>
        <v>3</v>
      </c>
      <c r="C1233" s="153"/>
      <c r="D1233" s="164"/>
      <c r="E1233" s="165" t="s">
        <v>272</v>
      </c>
      <c r="F1233" s="229" t="s">
        <v>672</v>
      </c>
      <c r="G1233" s="229"/>
      <c r="H1233" s="345">
        <f>H1234+H1235+H1236+H1243</f>
        <v>47795</v>
      </c>
      <c r="I1233" s="345">
        <f>I1234+I1235+I1236+I1243</f>
        <v>21876</v>
      </c>
      <c r="J1233" s="620">
        <f t="shared" si="133"/>
        <v>45.770478083481535</v>
      </c>
      <c r="K1233" s="156"/>
      <c r="L1233" s="645"/>
      <c r="M1233" s="354"/>
      <c r="N1233" s="620"/>
      <c r="O1233" s="156"/>
      <c r="P1233" s="801">
        <f t="shared" si="134"/>
        <v>47795</v>
      </c>
      <c r="Q1233" s="809">
        <f t="shared" si="135"/>
        <v>21876</v>
      </c>
      <c r="R1233" s="763">
        <f t="shared" si="136"/>
        <v>45.770478083481535</v>
      </c>
    </row>
    <row r="1234" spans="2:18" ht="12.75">
      <c r="B1234" s="177">
        <f t="shared" si="137"/>
        <v>4</v>
      </c>
      <c r="C1234" s="153"/>
      <c r="D1234" s="154"/>
      <c r="E1234" s="160"/>
      <c r="F1234" s="160">
        <v>610</v>
      </c>
      <c r="G1234" s="206" t="s">
        <v>262</v>
      </c>
      <c r="H1234" s="354">
        <v>23100</v>
      </c>
      <c r="I1234" s="354">
        <v>10795</v>
      </c>
      <c r="J1234" s="620">
        <f t="shared" si="133"/>
        <v>46.73160173160173</v>
      </c>
      <c r="K1234" s="156"/>
      <c r="L1234" s="646"/>
      <c r="M1234" s="354"/>
      <c r="N1234" s="620"/>
      <c r="O1234" s="156"/>
      <c r="P1234" s="801">
        <f t="shared" si="134"/>
        <v>23100</v>
      </c>
      <c r="Q1234" s="809">
        <f t="shared" si="135"/>
        <v>10795</v>
      </c>
      <c r="R1234" s="763">
        <f t="shared" si="136"/>
        <v>46.73160173160173</v>
      </c>
    </row>
    <row r="1235" spans="2:18" ht="12.75">
      <c r="B1235" s="177">
        <f t="shared" si="137"/>
        <v>5</v>
      </c>
      <c r="C1235" s="153"/>
      <c r="D1235" s="154"/>
      <c r="E1235" s="141"/>
      <c r="F1235" s="160">
        <v>620</v>
      </c>
      <c r="G1235" s="206" t="s">
        <v>264</v>
      </c>
      <c r="H1235" s="354">
        <v>8085</v>
      </c>
      <c r="I1235" s="354">
        <v>3794</v>
      </c>
      <c r="J1235" s="620">
        <f t="shared" si="133"/>
        <v>46.926406926406926</v>
      </c>
      <c r="K1235" s="156"/>
      <c r="L1235" s="645"/>
      <c r="M1235" s="354"/>
      <c r="N1235" s="620"/>
      <c r="O1235" s="156"/>
      <c r="P1235" s="801">
        <f t="shared" si="134"/>
        <v>8085</v>
      </c>
      <c r="Q1235" s="809">
        <f t="shared" si="135"/>
        <v>3794</v>
      </c>
      <c r="R1235" s="763">
        <f t="shared" si="136"/>
        <v>46.926406926406926</v>
      </c>
    </row>
    <row r="1236" spans="2:18" ht="12.75">
      <c r="B1236" s="177">
        <f t="shared" si="137"/>
        <v>6</v>
      </c>
      <c r="C1236" s="153"/>
      <c r="D1236" s="154"/>
      <c r="E1236" s="141"/>
      <c r="F1236" s="160">
        <v>630</v>
      </c>
      <c r="G1236" s="206" t="s">
        <v>254</v>
      </c>
      <c r="H1236" s="346">
        <f>SUM(H1237:H1242)</f>
        <v>16420</v>
      </c>
      <c r="I1236" s="346">
        <f>SUM(I1237:I1242)</f>
        <v>7046</v>
      </c>
      <c r="J1236" s="620">
        <f t="shared" si="133"/>
        <v>42.911084043848966</v>
      </c>
      <c r="K1236" s="156"/>
      <c r="L1236" s="645"/>
      <c r="M1236" s="354"/>
      <c r="N1236" s="620"/>
      <c r="O1236" s="156"/>
      <c r="P1236" s="801">
        <f t="shared" si="134"/>
        <v>16420</v>
      </c>
      <c r="Q1236" s="809">
        <f t="shared" si="135"/>
        <v>7046</v>
      </c>
      <c r="R1236" s="763">
        <f t="shared" si="136"/>
        <v>42.911084043848966</v>
      </c>
    </row>
    <row r="1237" spans="2:18" ht="12.75">
      <c r="B1237" s="177">
        <f t="shared" si="137"/>
        <v>7</v>
      </c>
      <c r="C1237" s="153"/>
      <c r="D1237" s="154"/>
      <c r="E1237" s="141"/>
      <c r="F1237" s="141">
        <v>631</v>
      </c>
      <c r="G1237" s="199" t="s">
        <v>559</v>
      </c>
      <c r="H1237" s="339">
        <v>50</v>
      </c>
      <c r="I1237" s="339">
        <v>0</v>
      </c>
      <c r="J1237" s="620">
        <f t="shared" si="133"/>
        <v>0</v>
      </c>
      <c r="K1237" s="156"/>
      <c r="L1237" s="645"/>
      <c r="M1237" s="354"/>
      <c r="N1237" s="620"/>
      <c r="O1237" s="156"/>
      <c r="P1237" s="802">
        <f t="shared" si="134"/>
        <v>50</v>
      </c>
      <c r="Q1237" s="810">
        <f t="shared" si="135"/>
        <v>0</v>
      </c>
      <c r="R1237" s="763">
        <f t="shared" si="136"/>
        <v>0</v>
      </c>
    </row>
    <row r="1238" spans="2:18" ht="12.75">
      <c r="B1238" s="177">
        <f t="shared" si="137"/>
        <v>8</v>
      </c>
      <c r="C1238" s="153"/>
      <c r="D1238" s="154"/>
      <c r="E1238" s="141"/>
      <c r="F1238" s="141">
        <v>632</v>
      </c>
      <c r="G1238" s="199" t="s">
        <v>250</v>
      </c>
      <c r="H1238" s="339">
        <v>2100</v>
      </c>
      <c r="I1238" s="752"/>
      <c r="J1238" s="620">
        <f t="shared" si="133"/>
        <v>0</v>
      </c>
      <c r="K1238" s="156"/>
      <c r="L1238" s="645"/>
      <c r="M1238" s="354"/>
      <c r="N1238" s="620"/>
      <c r="O1238" s="156"/>
      <c r="P1238" s="802">
        <f t="shared" si="134"/>
        <v>2100</v>
      </c>
      <c r="Q1238" s="810">
        <f t="shared" si="135"/>
        <v>0</v>
      </c>
      <c r="R1238" s="763">
        <f t="shared" si="136"/>
        <v>0</v>
      </c>
    </row>
    <row r="1239" spans="2:18" ht="12.75">
      <c r="B1239" s="177">
        <f t="shared" si="137"/>
        <v>9</v>
      </c>
      <c r="C1239" s="153"/>
      <c r="D1239" s="154"/>
      <c r="E1239" s="141"/>
      <c r="F1239" s="141">
        <v>633</v>
      </c>
      <c r="G1239" s="199" t="s">
        <v>251</v>
      </c>
      <c r="H1239" s="339">
        <v>4650</v>
      </c>
      <c r="I1239" s="339">
        <f>1426-226</f>
        <v>1200</v>
      </c>
      <c r="J1239" s="620">
        <f t="shared" si="133"/>
        <v>25.806451612903224</v>
      </c>
      <c r="K1239" s="156"/>
      <c r="L1239" s="645"/>
      <c r="M1239" s="354"/>
      <c r="N1239" s="620"/>
      <c r="O1239" s="156"/>
      <c r="P1239" s="802">
        <f t="shared" si="134"/>
        <v>4650</v>
      </c>
      <c r="Q1239" s="810">
        <f t="shared" si="135"/>
        <v>1200</v>
      </c>
      <c r="R1239" s="763">
        <f t="shared" si="136"/>
        <v>25.806451612903224</v>
      </c>
    </row>
    <row r="1240" spans="2:18" ht="12.75">
      <c r="B1240" s="177">
        <f t="shared" si="137"/>
        <v>10</v>
      </c>
      <c r="C1240" s="153"/>
      <c r="D1240" s="154"/>
      <c r="E1240" s="141"/>
      <c r="F1240" s="141">
        <v>634</v>
      </c>
      <c r="G1240" s="199" t="s">
        <v>265</v>
      </c>
      <c r="H1240" s="339">
        <v>2370</v>
      </c>
      <c r="I1240" s="339">
        <v>1227</v>
      </c>
      <c r="J1240" s="620">
        <f t="shared" si="133"/>
        <v>51.77215189873417</v>
      </c>
      <c r="K1240" s="156"/>
      <c r="L1240" s="645"/>
      <c r="M1240" s="354"/>
      <c r="N1240" s="620"/>
      <c r="O1240" s="156"/>
      <c r="P1240" s="802">
        <f t="shared" si="134"/>
        <v>2370</v>
      </c>
      <c r="Q1240" s="810">
        <f t="shared" si="135"/>
        <v>1227</v>
      </c>
      <c r="R1240" s="763">
        <f t="shared" si="136"/>
        <v>51.77215189873417</v>
      </c>
    </row>
    <row r="1241" spans="2:18" ht="12.75">
      <c r="B1241" s="177">
        <f t="shared" si="137"/>
        <v>11</v>
      </c>
      <c r="C1241" s="153"/>
      <c r="D1241" s="154"/>
      <c r="E1241" s="154"/>
      <c r="F1241" s="141">
        <v>635</v>
      </c>
      <c r="G1241" s="199" t="s">
        <v>266</v>
      </c>
      <c r="H1241" s="339">
        <v>800</v>
      </c>
      <c r="I1241" s="339">
        <v>101</v>
      </c>
      <c r="J1241" s="620">
        <f t="shared" si="133"/>
        <v>12.625</v>
      </c>
      <c r="K1241" s="156"/>
      <c r="L1241" s="645"/>
      <c r="M1241" s="354"/>
      <c r="N1241" s="620"/>
      <c r="O1241" s="156"/>
      <c r="P1241" s="802">
        <f t="shared" si="134"/>
        <v>800</v>
      </c>
      <c r="Q1241" s="810">
        <f t="shared" si="135"/>
        <v>101</v>
      </c>
      <c r="R1241" s="763">
        <f t="shared" si="136"/>
        <v>12.625</v>
      </c>
    </row>
    <row r="1242" spans="2:18" ht="12.75">
      <c r="B1242" s="177">
        <f t="shared" si="137"/>
        <v>12</v>
      </c>
      <c r="C1242" s="153"/>
      <c r="D1242" s="154"/>
      <c r="E1242" s="154"/>
      <c r="F1242" s="141">
        <v>637</v>
      </c>
      <c r="G1242" s="199" t="s">
        <v>252</v>
      </c>
      <c r="H1242" s="339">
        <v>6450</v>
      </c>
      <c r="I1242" s="339">
        <v>4518</v>
      </c>
      <c r="J1242" s="620">
        <f t="shared" si="133"/>
        <v>70.04651162790698</v>
      </c>
      <c r="K1242" s="156"/>
      <c r="L1242" s="645"/>
      <c r="M1242" s="354"/>
      <c r="N1242" s="620"/>
      <c r="O1242" s="156"/>
      <c r="P1242" s="802">
        <f t="shared" si="134"/>
        <v>6450</v>
      </c>
      <c r="Q1242" s="810">
        <f t="shared" si="135"/>
        <v>4518</v>
      </c>
      <c r="R1242" s="763">
        <f t="shared" si="136"/>
        <v>70.04651162790698</v>
      </c>
    </row>
    <row r="1243" spans="2:18" ht="12.75">
      <c r="B1243" s="177">
        <f t="shared" si="137"/>
        <v>13</v>
      </c>
      <c r="C1243" s="153"/>
      <c r="D1243" s="154"/>
      <c r="E1243" s="154"/>
      <c r="F1243" s="160">
        <v>640</v>
      </c>
      <c r="G1243" s="206" t="s">
        <v>445</v>
      </c>
      <c r="H1243" s="354">
        <f>120+70</f>
        <v>190</v>
      </c>
      <c r="I1243" s="354">
        <v>241</v>
      </c>
      <c r="J1243" s="620">
        <f t="shared" si="133"/>
        <v>126.84210526315789</v>
      </c>
      <c r="K1243" s="156"/>
      <c r="L1243" s="645"/>
      <c r="M1243" s="354"/>
      <c r="N1243" s="620"/>
      <c r="O1243" s="156"/>
      <c r="P1243" s="801">
        <f t="shared" si="134"/>
        <v>190</v>
      </c>
      <c r="Q1243" s="809">
        <f t="shared" si="135"/>
        <v>241</v>
      </c>
      <c r="R1243" s="763">
        <f t="shared" si="136"/>
        <v>126.84210526315789</v>
      </c>
    </row>
    <row r="1244" spans="2:18" ht="12.75">
      <c r="B1244" s="177">
        <f t="shared" si="137"/>
        <v>14</v>
      </c>
      <c r="C1244" s="153"/>
      <c r="D1244" s="164"/>
      <c r="E1244" s="165" t="s">
        <v>272</v>
      </c>
      <c r="F1244" s="229" t="s">
        <v>696</v>
      </c>
      <c r="G1244" s="229"/>
      <c r="H1244" s="345">
        <f>H1246+H1245</f>
        <v>7060</v>
      </c>
      <c r="I1244" s="345">
        <f>I1246+I1245</f>
        <v>3439</v>
      </c>
      <c r="J1244" s="620">
        <f t="shared" si="133"/>
        <v>48.711048158640224</v>
      </c>
      <c r="K1244" s="156"/>
      <c r="L1244" s="645"/>
      <c r="M1244" s="354"/>
      <c r="N1244" s="620"/>
      <c r="O1244" s="156"/>
      <c r="P1244" s="801">
        <f t="shared" si="134"/>
        <v>7060</v>
      </c>
      <c r="Q1244" s="809">
        <f t="shared" si="135"/>
        <v>3439</v>
      </c>
      <c r="R1244" s="763">
        <f t="shared" si="136"/>
        <v>48.711048158640224</v>
      </c>
    </row>
    <row r="1245" spans="2:18" ht="12.75">
      <c r="B1245" s="177">
        <f t="shared" si="137"/>
        <v>15</v>
      </c>
      <c r="C1245" s="153"/>
      <c r="D1245" s="154"/>
      <c r="E1245" s="154"/>
      <c r="F1245" s="160">
        <v>630</v>
      </c>
      <c r="G1245" s="206" t="s">
        <v>254</v>
      </c>
      <c r="H1245" s="346">
        <v>160</v>
      </c>
      <c r="I1245" s="530">
        <v>161</v>
      </c>
      <c r="J1245" s="620">
        <f t="shared" si="133"/>
        <v>100.62500000000001</v>
      </c>
      <c r="K1245" s="156"/>
      <c r="L1245" s="645"/>
      <c r="M1245" s="354"/>
      <c r="N1245" s="620"/>
      <c r="O1245" s="156"/>
      <c r="P1245" s="801">
        <f t="shared" si="134"/>
        <v>160</v>
      </c>
      <c r="Q1245" s="809">
        <f t="shared" si="135"/>
        <v>161</v>
      </c>
      <c r="R1245" s="763">
        <f t="shared" si="136"/>
        <v>100.62500000000001</v>
      </c>
    </row>
    <row r="1246" spans="2:18" ht="12.75">
      <c r="B1246" s="177">
        <f t="shared" si="137"/>
        <v>16</v>
      </c>
      <c r="C1246" s="153"/>
      <c r="D1246" s="154"/>
      <c r="E1246" s="154"/>
      <c r="F1246" s="160">
        <v>630</v>
      </c>
      <c r="G1246" s="206" t="s">
        <v>254</v>
      </c>
      <c r="H1246" s="346">
        <f>SUM(H1247:H1251)</f>
        <v>6900</v>
      </c>
      <c r="I1246" s="346">
        <f>SUM(I1247:I1251)</f>
        <v>3278</v>
      </c>
      <c r="J1246" s="620">
        <f t="shared" si="133"/>
        <v>47.507246376811594</v>
      </c>
      <c r="K1246" s="156"/>
      <c r="L1246" s="645"/>
      <c r="M1246" s="354"/>
      <c r="N1246" s="620"/>
      <c r="O1246" s="156"/>
      <c r="P1246" s="801">
        <f t="shared" si="134"/>
        <v>6900</v>
      </c>
      <c r="Q1246" s="809">
        <f t="shared" si="135"/>
        <v>3278</v>
      </c>
      <c r="R1246" s="763">
        <f t="shared" si="136"/>
        <v>47.507246376811594</v>
      </c>
    </row>
    <row r="1247" spans="2:18" ht="12.75">
      <c r="B1247" s="177">
        <f t="shared" si="137"/>
        <v>17</v>
      </c>
      <c r="C1247" s="153"/>
      <c r="D1247" s="154"/>
      <c r="E1247" s="154"/>
      <c r="F1247" s="141">
        <v>632</v>
      </c>
      <c r="G1247" s="199" t="s">
        <v>250</v>
      </c>
      <c r="H1247" s="339">
        <f>600+1100</f>
        <v>1700</v>
      </c>
      <c r="I1247" s="339">
        <v>1162</v>
      </c>
      <c r="J1247" s="620">
        <f t="shared" si="133"/>
        <v>68.35294117647058</v>
      </c>
      <c r="K1247" s="156"/>
      <c r="L1247" s="645"/>
      <c r="M1247" s="354"/>
      <c r="N1247" s="620"/>
      <c r="O1247" s="156"/>
      <c r="P1247" s="802">
        <f t="shared" si="134"/>
        <v>1700</v>
      </c>
      <c r="Q1247" s="810">
        <f t="shared" si="135"/>
        <v>1162</v>
      </c>
      <c r="R1247" s="763">
        <f t="shared" si="136"/>
        <v>68.35294117647058</v>
      </c>
    </row>
    <row r="1248" spans="2:18" ht="12.75">
      <c r="B1248" s="177">
        <f t="shared" si="137"/>
        <v>18</v>
      </c>
      <c r="C1248" s="153"/>
      <c r="D1248" s="154"/>
      <c r="E1248" s="154"/>
      <c r="F1248" s="141">
        <v>633</v>
      </c>
      <c r="G1248" s="199" t="s">
        <v>251</v>
      </c>
      <c r="H1248" s="339">
        <v>3100</v>
      </c>
      <c r="I1248" s="339">
        <v>825</v>
      </c>
      <c r="J1248" s="620">
        <f t="shared" si="133"/>
        <v>26.61290322580645</v>
      </c>
      <c r="K1248" s="156"/>
      <c r="L1248" s="645"/>
      <c r="M1248" s="354"/>
      <c r="N1248" s="620"/>
      <c r="O1248" s="156"/>
      <c r="P1248" s="802">
        <f t="shared" si="134"/>
        <v>3100</v>
      </c>
      <c r="Q1248" s="810">
        <f t="shared" si="135"/>
        <v>825</v>
      </c>
      <c r="R1248" s="763">
        <f t="shared" si="136"/>
        <v>26.61290322580645</v>
      </c>
    </row>
    <row r="1249" spans="2:18" ht="12.75">
      <c r="B1249" s="177">
        <f t="shared" si="137"/>
        <v>19</v>
      </c>
      <c r="C1249" s="153"/>
      <c r="D1249" s="154"/>
      <c r="E1249" s="154"/>
      <c r="F1249" s="141">
        <v>634</v>
      </c>
      <c r="G1249" s="199" t="s">
        <v>265</v>
      </c>
      <c r="H1249" s="339">
        <v>200</v>
      </c>
      <c r="I1249" s="339">
        <v>161</v>
      </c>
      <c r="J1249" s="620">
        <f t="shared" si="133"/>
        <v>80.5</v>
      </c>
      <c r="K1249" s="156"/>
      <c r="L1249" s="645"/>
      <c r="M1249" s="354"/>
      <c r="N1249" s="620"/>
      <c r="O1249" s="156"/>
      <c r="P1249" s="802">
        <f t="shared" si="134"/>
        <v>200</v>
      </c>
      <c r="Q1249" s="810">
        <f t="shared" si="135"/>
        <v>161</v>
      </c>
      <c r="R1249" s="763">
        <f t="shared" si="136"/>
        <v>80.5</v>
      </c>
    </row>
    <row r="1250" spans="2:18" ht="12.75">
      <c r="B1250" s="177">
        <f t="shared" si="137"/>
        <v>20</v>
      </c>
      <c r="C1250" s="153"/>
      <c r="D1250" s="154"/>
      <c r="E1250" s="154"/>
      <c r="F1250" s="141">
        <v>635</v>
      </c>
      <c r="G1250" s="199" t="s">
        <v>266</v>
      </c>
      <c r="H1250" s="339">
        <v>500</v>
      </c>
      <c r="I1250" s="339">
        <v>0</v>
      </c>
      <c r="J1250" s="620">
        <f t="shared" si="133"/>
        <v>0</v>
      </c>
      <c r="K1250" s="156"/>
      <c r="L1250" s="645"/>
      <c r="M1250" s="354"/>
      <c r="N1250" s="620"/>
      <c r="O1250" s="156"/>
      <c r="P1250" s="802">
        <f t="shared" si="134"/>
        <v>500</v>
      </c>
      <c r="Q1250" s="810">
        <f t="shared" si="135"/>
        <v>0</v>
      </c>
      <c r="R1250" s="763">
        <f t="shared" si="136"/>
        <v>0</v>
      </c>
    </row>
    <row r="1251" spans="2:18" ht="12.75">
      <c r="B1251" s="177">
        <f t="shared" si="137"/>
        <v>21</v>
      </c>
      <c r="C1251" s="153"/>
      <c r="D1251" s="154"/>
      <c r="E1251" s="154"/>
      <c r="F1251" s="141">
        <v>637</v>
      </c>
      <c r="G1251" s="199" t="s">
        <v>252</v>
      </c>
      <c r="H1251" s="339">
        <v>1400</v>
      </c>
      <c r="I1251" s="339">
        <v>1130</v>
      </c>
      <c r="J1251" s="620">
        <f t="shared" si="133"/>
        <v>80.71428571428572</v>
      </c>
      <c r="K1251" s="156"/>
      <c r="L1251" s="645"/>
      <c r="M1251" s="354"/>
      <c r="N1251" s="620"/>
      <c r="O1251" s="156"/>
      <c r="P1251" s="802">
        <f t="shared" si="134"/>
        <v>1400</v>
      </c>
      <c r="Q1251" s="810">
        <f t="shared" si="135"/>
        <v>1130</v>
      </c>
      <c r="R1251" s="763">
        <f t="shared" si="136"/>
        <v>80.71428571428572</v>
      </c>
    </row>
    <row r="1252" spans="2:18" ht="12.75">
      <c r="B1252" s="177">
        <f t="shared" si="137"/>
        <v>22</v>
      </c>
      <c r="C1252" s="153"/>
      <c r="D1252" s="164"/>
      <c r="E1252" s="165" t="s">
        <v>245</v>
      </c>
      <c r="F1252" s="165"/>
      <c r="G1252" s="229" t="s">
        <v>482</v>
      </c>
      <c r="H1252" s="345">
        <f>H1253+H1254+H1255+H1261</f>
        <v>100900</v>
      </c>
      <c r="I1252" s="345">
        <f>I1253+I1254+I1255+I1261</f>
        <v>44689</v>
      </c>
      <c r="J1252" s="620">
        <f t="shared" si="133"/>
        <v>44.29038652130823</v>
      </c>
      <c r="K1252" s="156"/>
      <c r="L1252" s="645"/>
      <c r="M1252" s="354"/>
      <c r="N1252" s="620"/>
      <c r="O1252" s="156"/>
      <c r="P1252" s="801">
        <f t="shared" si="134"/>
        <v>100900</v>
      </c>
      <c r="Q1252" s="809">
        <f t="shared" si="135"/>
        <v>44689</v>
      </c>
      <c r="R1252" s="763">
        <f t="shared" si="136"/>
        <v>44.29038652130823</v>
      </c>
    </row>
    <row r="1253" spans="2:18" ht="12.75">
      <c r="B1253" s="177">
        <f t="shared" si="137"/>
        <v>23</v>
      </c>
      <c r="C1253" s="153"/>
      <c r="D1253" s="154"/>
      <c r="E1253" s="154"/>
      <c r="F1253" s="160">
        <v>610</v>
      </c>
      <c r="G1253" s="206" t="s">
        <v>262</v>
      </c>
      <c r="H1253" s="354">
        <f>47000-17000</f>
        <v>30000</v>
      </c>
      <c r="I1253" s="354">
        <v>14361</v>
      </c>
      <c r="J1253" s="620">
        <f t="shared" si="133"/>
        <v>47.870000000000005</v>
      </c>
      <c r="K1253" s="156"/>
      <c r="L1253" s="645"/>
      <c r="M1253" s="354"/>
      <c r="N1253" s="620"/>
      <c r="O1253" s="156"/>
      <c r="P1253" s="801">
        <f t="shared" si="134"/>
        <v>30000</v>
      </c>
      <c r="Q1253" s="809">
        <f t="shared" si="135"/>
        <v>14361</v>
      </c>
      <c r="R1253" s="763">
        <f t="shared" si="136"/>
        <v>47.870000000000005</v>
      </c>
    </row>
    <row r="1254" spans="2:18" ht="12.75">
      <c r="B1254" s="177">
        <f t="shared" si="137"/>
        <v>24</v>
      </c>
      <c r="C1254" s="153"/>
      <c r="D1254" s="154"/>
      <c r="E1254" s="154"/>
      <c r="F1254" s="160">
        <v>620</v>
      </c>
      <c r="G1254" s="206" t="s">
        <v>264</v>
      </c>
      <c r="H1254" s="354">
        <v>19250</v>
      </c>
      <c r="I1254" s="354">
        <v>6990</v>
      </c>
      <c r="J1254" s="620">
        <f t="shared" si="133"/>
        <v>36.311688311688314</v>
      </c>
      <c r="K1254" s="156"/>
      <c r="L1254" s="645"/>
      <c r="M1254" s="354"/>
      <c r="N1254" s="620"/>
      <c r="O1254" s="156"/>
      <c r="P1254" s="801">
        <f t="shared" si="134"/>
        <v>19250</v>
      </c>
      <c r="Q1254" s="809">
        <f t="shared" si="135"/>
        <v>6990</v>
      </c>
      <c r="R1254" s="763">
        <f t="shared" si="136"/>
        <v>36.311688311688314</v>
      </c>
    </row>
    <row r="1255" spans="2:18" ht="12.75">
      <c r="B1255" s="177">
        <f t="shared" si="137"/>
        <v>25</v>
      </c>
      <c r="C1255" s="153"/>
      <c r="D1255" s="154"/>
      <c r="E1255" s="154"/>
      <c r="F1255" s="160">
        <v>630</v>
      </c>
      <c r="G1255" s="206" t="s">
        <v>254</v>
      </c>
      <c r="H1255" s="346">
        <f>SUM(H1256:H1260)</f>
        <v>51500</v>
      </c>
      <c r="I1255" s="346">
        <f>SUM(I1256:I1260)</f>
        <v>23338</v>
      </c>
      <c r="J1255" s="620">
        <f t="shared" si="133"/>
        <v>45.31650485436893</v>
      </c>
      <c r="K1255" s="156"/>
      <c r="L1255" s="645"/>
      <c r="M1255" s="354"/>
      <c r="N1255" s="620"/>
      <c r="O1255" s="156"/>
      <c r="P1255" s="801">
        <f t="shared" si="134"/>
        <v>51500</v>
      </c>
      <c r="Q1255" s="809">
        <f t="shared" si="135"/>
        <v>23338</v>
      </c>
      <c r="R1255" s="763">
        <f t="shared" si="136"/>
        <v>45.31650485436893</v>
      </c>
    </row>
    <row r="1256" spans="2:18" ht="12.75">
      <c r="B1256" s="177">
        <f t="shared" si="137"/>
        <v>26</v>
      </c>
      <c r="C1256" s="153"/>
      <c r="D1256" s="154"/>
      <c r="E1256" s="154"/>
      <c r="F1256" s="141">
        <v>633</v>
      </c>
      <c r="G1256" s="199" t="s">
        <v>251</v>
      </c>
      <c r="H1256" s="339">
        <v>7250</v>
      </c>
      <c r="I1256" s="339">
        <v>3499</v>
      </c>
      <c r="J1256" s="620">
        <f t="shared" si="133"/>
        <v>48.262068965517244</v>
      </c>
      <c r="K1256" s="156"/>
      <c r="L1256" s="645"/>
      <c r="M1256" s="354"/>
      <c r="N1256" s="620"/>
      <c r="O1256" s="156"/>
      <c r="P1256" s="802">
        <f t="shared" si="134"/>
        <v>7250</v>
      </c>
      <c r="Q1256" s="810">
        <f t="shared" si="135"/>
        <v>3499</v>
      </c>
      <c r="R1256" s="763">
        <f t="shared" si="136"/>
        <v>48.262068965517244</v>
      </c>
    </row>
    <row r="1257" spans="2:18" ht="12.75">
      <c r="B1257" s="177">
        <f t="shared" si="137"/>
        <v>27</v>
      </c>
      <c r="C1257" s="153"/>
      <c r="D1257" s="154"/>
      <c r="E1257" s="154"/>
      <c r="F1257" s="141">
        <v>634</v>
      </c>
      <c r="G1257" s="199" t="s">
        <v>265</v>
      </c>
      <c r="H1257" s="339">
        <v>9500</v>
      </c>
      <c r="I1257" s="339">
        <v>6012</v>
      </c>
      <c r="J1257" s="620">
        <f t="shared" si="133"/>
        <v>63.28421052631579</v>
      </c>
      <c r="K1257" s="156"/>
      <c r="L1257" s="645"/>
      <c r="M1257" s="354"/>
      <c r="N1257" s="620"/>
      <c r="O1257" s="156"/>
      <c r="P1257" s="802">
        <f t="shared" si="134"/>
        <v>9500</v>
      </c>
      <c r="Q1257" s="810">
        <f t="shared" si="135"/>
        <v>6012</v>
      </c>
      <c r="R1257" s="763">
        <f t="shared" si="136"/>
        <v>63.28421052631579</v>
      </c>
    </row>
    <row r="1258" spans="2:18" ht="12.75">
      <c r="B1258" s="177">
        <f t="shared" si="137"/>
        <v>28</v>
      </c>
      <c r="C1258" s="153"/>
      <c r="D1258" s="154"/>
      <c r="E1258" s="154"/>
      <c r="F1258" s="141">
        <v>635</v>
      </c>
      <c r="G1258" s="199" t="s">
        <v>266</v>
      </c>
      <c r="H1258" s="339">
        <f>400+3000</f>
        <v>3400</v>
      </c>
      <c r="I1258" s="752">
        <v>6563</v>
      </c>
      <c r="J1258" s="620">
        <f t="shared" si="133"/>
        <v>193.02941176470588</v>
      </c>
      <c r="K1258" s="156"/>
      <c r="L1258" s="645"/>
      <c r="M1258" s="354"/>
      <c r="N1258" s="620"/>
      <c r="O1258" s="156"/>
      <c r="P1258" s="802">
        <f t="shared" si="134"/>
        <v>3400</v>
      </c>
      <c r="Q1258" s="810">
        <f t="shared" si="135"/>
        <v>6563</v>
      </c>
      <c r="R1258" s="763">
        <f t="shared" si="136"/>
        <v>193.02941176470588</v>
      </c>
    </row>
    <row r="1259" spans="2:18" ht="12.75">
      <c r="B1259" s="177">
        <f t="shared" si="137"/>
        <v>29</v>
      </c>
      <c r="C1259" s="153"/>
      <c r="D1259" s="154"/>
      <c r="E1259" s="154"/>
      <c r="F1259" s="141">
        <v>636</v>
      </c>
      <c r="G1259" s="199" t="s">
        <v>366</v>
      </c>
      <c r="H1259" s="339">
        <v>50</v>
      </c>
      <c r="I1259" s="339">
        <v>0</v>
      </c>
      <c r="J1259" s="620">
        <f t="shared" si="133"/>
        <v>0</v>
      </c>
      <c r="K1259" s="156"/>
      <c r="L1259" s="645"/>
      <c r="M1259" s="354"/>
      <c r="N1259" s="620"/>
      <c r="O1259" s="156"/>
      <c r="P1259" s="802">
        <f t="shared" si="134"/>
        <v>50</v>
      </c>
      <c r="Q1259" s="810">
        <f t="shared" si="135"/>
        <v>0</v>
      </c>
      <c r="R1259" s="763">
        <f t="shared" si="136"/>
        <v>0</v>
      </c>
    </row>
    <row r="1260" spans="2:18" ht="12.75">
      <c r="B1260" s="177">
        <f t="shared" si="137"/>
        <v>30</v>
      </c>
      <c r="C1260" s="153"/>
      <c r="D1260" s="154"/>
      <c r="E1260" s="154"/>
      <c r="F1260" s="141">
        <v>637</v>
      </c>
      <c r="G1260" s="199" t="s">
        <v>252</v>
      </c>
      <c r="H1260" s="339">
        <f>14300+17000</f>
        <v>31300</v>
      </c>
      <c r="I1260" s="339">
        <v>7264</v>
      </c>
      <c r="J1260" s="620">
        <f t="shared" si="133"/>
        <v>23.207667731629392</v>
      </c>
      <c r="K1260" s="156"/>
      <c r="L1260" s="645"/>
      <c r="M1260" s="354"/>
      <c r="N1260" s="620"/>
      <c r="O1260" s="156"/>
      <c r="P1260" s="802">
        <f t="shared" si="134"/>
        <v>31300</v>
      </c>
      <c r="Q1260" s="810">
        <f t="shared" si="135"/>
        <v>7264</v>
      </c>
      <c r="R1260" s="763">
        <f t="shared" si="136"/>
        <v>23.207667731629392</v>
      </c>
    </row>
    <row r="1261" spans="2:18" ht="12.75">
      <c r="B1261" s="177">
        <f t="shared" si="137"/>
        <v>31</v>
      </c>
      <c r="C1261" s="153"/>
      <c r="D1261" s="154"/>
      <c r="E1261" s="154"/>
      <c r="F1261" s="160">
        <v>640</v>
      </c>
      <c r="G1261" s="206" t="s">
        <v>445</v>
      </c>
      <c r="H1261" s="339">
        <v>150</v>
      </c>
      <c r="I1261" s="339">
        <v>0</v>
      </c>
      <c r="J1261" s="620">
        <f t="shared" si="133"/>
        <v>0</v>
      </c>
      <c r="K1261" s="156"/>
      <c r="L1261" s="645"/>
      <c r="M1261" s="354"/>
      <c r="N1261" s="620"/>
      <c r="O1261" s="156"/>
      <c r="P1261" s="801">
        <f t="shared" si="134"/>
        <v>150</v>
      </c>
      <c r="Q1261" s="809">
        <f t="shared" si="135"/>
        <v>0</v>
      </c>
      <c r="R1261" s="763">
        <f t="shared" si="136"/>
        <v>0</v>
      </c>
    </row>
    <row r="1262" spans="2:18" ht="12.75">
      <c r="B1262" s="177">
        <f t="shared" si="137"/>
        <v>32</v>
      </c>
      <c r="C1262" s="153"/>
      <c r="D1262" s="154"/>
      <c r="E1262" s="165" t="s">
        <v>245</v>
      </c>
      <c r="F1262" s="165"/>
      <c r="G1262" s="229" t="s">
        <v>0</v>
      </c>
      <c r="H1262" s="345">
        <f>SUM(H1263:H1266)</f>
        <v>755965</v>
      </c>
      <c r="I1262" s="345">
        <f>SUM(I1263:I1266)</f>
        <v>273827</v>
      </c>
      <c r="J1262" s="620">
        <f t="shared" si="133"/>
        <v>36.222179598261825</v>
      </c>
      <c r="K1262" s="156"/>
      <c r="L1262" s="645"/>
      <c r="M1262" s="354"/>
      <c r="N1262" s="620"/>
      <c r="O1262" s="156"/>
      <c r="P1262" s="801">
        <f t="shared" si="134"/>
        <v>755965</v>
      </c>
      <c r="Q1262" s="809">
        <f t="shared" si="135"/>
        <v>273827</v>
      </c>
      <c r="R1262" s="763">
        <f t="shared" si="136"/>
        <v>36.222179598261825</v>
      </c>
    </row>
    <row r="1263" spans="2:18" ht="12.75">
      <c r="B1263" s="177">
        <f t="shared" si="137"/>
        <v>33</v>
      </c>
      <c r="C1263" s="137"/>
      <c r="D1263" s="138"/>
      <c r="E1263" s="138"/>
      <c r="F1263" s="138" t="s">
        <v>217</v>
      </c>
      <c r="G1263" s="199" t="s">
        <v>285</v>
      </c>
      <c r="H1263" s="339">
        <v>360000</v>
      </c>
      <c r="I1263" s="339">
        <v>98622</v>
      </c>
      <c r="J1263" s="620">
        <f t="shared" si="133"/>
        <v>27.395000000000003</v>
      </c>
      <c r="K1263" s="139"/>
      <c r="L1263" s="645"/>
      <c r="M1263" s="354"/>
      <c r="N1263" s="620"/>
      <c r="O1263" s="139"/>
      <c r="P1263" s="802">
        <f t="shared" si="134"/>
        <v>360000</v>
      </c>
      <c r="Q1263" s="810">
        <f t="shared" si="135"/>
        <v>98622</v>
      </c>
      <c r="R1263" s="763">
        <f t="shared" si="136"/>
        <v>27.395000000000003</v>
      </c>
    </row>
    <row r="1264" spans="2:18" ht="12.75">
      <c r="B1264" s="177">
        <f aca="true" t="shared" si="138" ref="B1264:B1282">B1263+1</f>
        <v>34</v>
      </c>
      <c r="C1264" s="137"/>
      <c r="D1264" s="138"/>
      <c r="E1264" s="138"/>
      <c r="F1264" s="138" t="s">
        <v>217</v>
      </c>
      <c r="G1264" s="199" t="s">
        <v>286</v>
      </c>
      <c r="H1264" s="339">
        <f>90000-3000</f>
        <v>87000</v>
      </c>
      <c r="I1264" s="339">
        <v>26659</v>
      </c>
      <c r="J1264" s="620">
        <f t="shared" si="133"/>
        <v>30.642528735632187</v>
      </c>
      <c r="K1264" s="139"/>
      <c r="L1264" s="645"/>
      <c r="M1264" s="354"/>
      <c r="N1264" s="620"/>
      <c r="O1264" s="139"/>
      <c r="P1264" s="802">
        <f t="shared" si="134"/>
        <v>87000</v>
      </c>
      <c r="Q1264" s="810">
        <f t="shared" si="135"/>
        <v>26659</v>
      </c>
      <c r="R1264" s="763">
        <f t="shared" si="136"/>
        <v>30.642528735632187</v>
      </c>
    </row>
    <row r="1265" spans="2:18" ht="12.75">
      <c r="B1265" s="177">
        <f t="shared" si="138"/>
        <v>35</v>
      </c>
      <c r="C1265" s="137"/>
      <c r="D1265" s="138"/>
      <c r="E1265" s="138"/>
      <c r="F1265" s="138" t="s">
        <v>217</v>
      </c>
      <c r="G1265" s="199" t="s">
        <v>287</v>
      </c>
      <c r="H1265" s="339">
        <v>20000</v>
      </c>
      <c r="I1265" s="339">
        <v>4069</v>
      </c>
      <c r="J1265" s="620">
        <f t="shared" si="133"/>
        <v>20.345</v>
      </c>
      <c r="K1265" s="139"/>
      <c r="L1265" s="645"/>
      <c r="M1265" s="354"/>
      <c r="N1265" s="620"/>
      <c r="O1265" s="139"/>
      <c r="P1265" s="802">
        <f t="shared" si="134"/>
        <v>20000</v>
      </c>
      <c r="Q1265" s="810">
        <f t="shared" si="135"/>
        <v>4069</v>
      </c>
      <c r="R1265" s="763">
        <f t="shared" si="136"/>
        <v>20.345</v>
      </c>
    </row>
    <row r="1266" spans="2:18" ht="12.75">
      <c r="B1266" s="177">
        <f t="shared" si="138"/>
        <v>36</v>
      </c>
      <c r="C1266" s="137"/>
      <c r="D1266" s="138"/>
      <c r="E1266" s="138"/>
      <c r="F1266" s="138" t="s">
        <v>217</v>
      </c>
      <c r="G1266" s="199" t="s">
        <v>276</v>
      </c>
      <c r="H1266" s="339">
        <f>288965</f>
        <v>288965</v>
      </c>
      <c r="I1266" s="339">
        <v>144477</v>
      </c>
      <c r="J1266" s="620">
        <f t="shared" si="133"/>
        <v>49.99809665530427</v>
      </c>
      <c r="K1266" s="139"/>
      <c r="L1266" s="645"/>
      <c r="M1266" s="354"/>
      <c r="N1266" s="620"/>
      <c r="O1266" s="139"/>
      <c r="P1266" s="802">
        <f t="shared" si="134"/>
        <v>288965</v>
      </c>
      <c r="Q1266" s="810">
        <f t="shared" si="135"/>
        <v>144477</v>
      </c>
      <c r="R1266" s="763">
        <f t="shared" si="136"/>
        <v>49.99809665530427</v>
      </c>
    </row>
    <row r="1267" spans="2:18" ht="12.75">
      <c r="B1267" s="177">
        <f t="shared" si="138"/>
        <v>37</v>
      </c>
      <c r="C1267" s="137"/>
      <c r="D1267" s="138"/>
      <c r="E1267" s="138"/>
      <c r="F1267" s="138" t="s">
        <v>340</v>
      </c>
      <c r="G1267" s="199" t="s">
        <v>777</v>
      </c>
      <c r="H1267" s="339"/>
      <c r="I1267" s="339"/>
      <c r="J1267" s="620"/>
      <c r="K1267" s="139"/>
      <c r="L1267" s="647">
        <v>30000</v>
      </c>
      <c r="M1267" s="339">
        <v>0</v>
      </c>
      <c r="N1267" s="620">
        <f>M1267/L1267*100</f>
        <v>0</v>
      </c>
      <c r="O1267" s="139"/>
      <c r="P1267" s="802">
        <f t="shared" si="134"/>
        <v>30000</v>
      </c>
      <c r="Q1267" s="810">
        <f t="shared" si="135"/>
        <v>0</v>
      </c>
      <c r="R1267" s="763">
        <f t="shared" si="136"/>
        <v>0</v>
      </c>
    </row>
    <row r="1268" spans="2:18" ht="12.75">
      <c r="B1268" s="177">
        <f t="shared" si="138"/>
        <v>38</v>
      </c>
      <c r="C1268" s="137"/>
      <c r="D1268" s="138"/>
      <c r="E1268" s="165"/>
      <c r="F1268" s="183"/>
      <c r="G1268" s="229" t="s">
        <v>483</v>
      </c>
      <c r="H1268" s="345">
        <f>H1269</f>
        <v>25000</v>
      </c>
      <c r="I1268" s="345">
        <f>I1269</f>
        <v>0</v>
      </c>
      <c r="J1268" s="620">
        <f>I1268/H1268*100</f>
        <v>0</v>
      </c>
      <c r="K1268" s="139"/>
      <c r="L1268" s="645"/>
      <c r="M1268" s="354"/>
      <c r="N1268" s="620"/>
      <c r="O1268" s="139"/>
      <c r="P1268" s="801">
        <f t="shared" si="134"/>
        <v>25000</v>
      </c>
      <c r="Q1268" s="809">
        <f t="shared" si="135"/>
        <v>0</v>
      </c>
      <c r="R1268" s="763">
        <f t="shared" si="136"/>
        <v>0</v>
      </c>
    </row>
    <row r="1269" spans="2:18" ht="12.75">
      <c r="B1269" s="177">
        <f t="shared" si="138"/>
        <v>39</v>
      </c>
      <c r="C1269" s="137"/>
      <c r="D1269" s="138"/>
      <c r="E1269" s="138" t="s">
        <v>245</v>
      </c>
      <c r="F1269" s="138" t="s">
        <v>217</v>
      </c>
      <c r="G1269" s="199" t="s">
        <v>311</v>
      </c>
      <c r="H1269" s="339">
        <v>25000</v>
      </c>
      <c r="I1269" s="339">
        <v>0</v>
      </c>
      <c r="J1269" s="620">
        <f>I1269/H1269*100</f>
        <v>0</v>
      </c>
      <c r="K1269" s="139"/>
      <c r="L1269" s="645"/>
      <c r="M1269" s="354"/>
      <c r="N1269" s="620"/>
      <c r="O1269" s="139"/>
      <c r="P1269" s="802">
        <f t="shared" si="134"/>
        <v>25000</v>
      </c>
      <c r="Q1269" s="810">
        <f t="shared" si="135"/>
        <v>0</v>
      </c>
      <c r="R1269" s="763">
        <f t="shared" si="136"/>
        <v>0</v>
      </c>
    </row>
    <row r="1270" spans="2:18" ht="12.75">
      <c r="B1270" s="177">
        <f t="shared" si="138"/>
        <v>40</v>
      </c>
      <c r="C1270" s="137"/>
      <c r="D1270" s="138"/>
      <c r="E1270" s="138"/>
      <c r="F1270" s="138"/>
      <c r="G1270" s="199"/>
      <c r="H1270" s="339"/>
      <c r="I1270" s="339"/>
      <c r="J1270" s="620"/>
      <c r="K1270" s="139"/>
      <c r="L1270" s="645"/>
      <c r="M1270" s="354"/>
      <c r="N1270" s="620"/>
      <c r="O1270" s="139"/>
      <c r="P1270" s="802"/>
      <c r="Q1270" s="810"/>
      <c r="R1270" s="763"/>
    </row>
    <row r="1271" spans="2:18" ht="12.75">
      <c r="B1271" s="177">
        <f t="shared" si="138"/>
        <v>41</v>
      </c>
      <c r="C1271" s="137"/>
      <c r="D1271" s="138"/>
      <c r="E1271" s="138" t="s">
        <v>245</v>
      </c>
      <c r="F1271" s="138" t="s">
        <v>462</v>
      </c>
      <c r="G1271" s="218" t="s">
        <v>460</v>
      </c>
      <c r="H1271" s="339"/>
      <c r="I1271" s="339"/>
      <c r="J1271" s="620"/>
      <c r="K1271" s="139"/>
      <c r="L1271" s="647">
        <v>665</v>
      </c>
      <c r="M1271" s="339">
        <v>332</v>
      </c>
      <c r="N1271" s="620">
        <f>M1271/L1271*100</f>
        <v>49.92481203007519</v>
      </c>
      <c r="O1271" s="139"/>
      <c r="P1271" s="802">
        <f>H1271+L1271</f>
        <v>665</v>
      </c>
      <c r="Q1271" s="810">
        <f>I1271+M1271</f>
        <v>332</v>
      </c>
      <c r="R1271" s="763">
        <f>Q1271/P1271*100</f>
        <v>49.92481203007519</v>
      </c>
    </row>
    <row r="1272" spans="2:18" ht="12.75">
      <c r="B1272" s="177">
        <f t="shared" si="138"/>
        <v>42</v>
      </c>
      <c r="C1272" s="137"/>
      <c r="D1272" s="184"/>
      <c r="E1272" s="138" t="s">
        <v>245</v>
      </c>
      <c r="F1272" s="138" t="s">
        <v>340</v>
      </c>
      <c r="G1272" s="218" t="s">
        <v>460</v>
      </c>
      <c r="H1272" s="339"/>
      <c r="I1272" s="339"/>
      <c r="J1272" s="620"/>
      <c r="K1272" s="139"/>
      <c r="L1272" s="647">
        <v>37106</v>
      </c>
      <c r="M1272" s="339">
        <v>18553</v>
      </c>
      <c r="N1272" s="620">
        <f>M1272/L1272*100</f>
        <v>50</v>
      </c>
      <c r="O1272" s="139"/>
      <c r="P1272" s="802">
        <f>H1272+L1272</f>
        <v>37106</v>
      </c>
      <c r="Q1272" s="810">
        <f>I1272+M1272</f>
        <v>18553</v>
      </c>
      <c r="R1272" s="763">
        <f>Q1272/P1272*100</f>
        <v>50</v>
      </c>
    </row>
    <row r="1273" spans="2:18" ht="12.75">
      <c r="B1273" s="177">
        <f t="shared" si="138"/>
        <v>43</v>
      </c>
      <c r="C1273" s="137"/>
      <c r="D1273" s="138"/>
      <c r="E1273" s="138"/>
      <c r="F1273" s="138"/>
      <c r="G1273" s="199"/>
      <c r="H1273" s="339"/>
      <c r="I1273" s="339"/>
      <c r="J1273" s="620"/>
      <c r="K1273" s="139"/>
      <c r="L1273" s="645"/>
      <c r="M1273" s="354"/>
      <c r="N1273" s="620"/>
      <c r="O1273" s="139"/>
      <c r="P1273" s="802"/>
      <c r="Q1273" s="810"/>
      <c r="R1273" s="763"/>
    </row>
    <row r="1274" spans="2:18" ht="15.75">
      <c r="B1274" s="177">
        <f t="shared" si="138"/>
        <v>44</v>
      </c>
      <c r="C1274" s="21">
        <v>2</v>
      </c>
      <c r="D1274" s="133" t="s">
        <v>168</v>
      </c>
      <c r="E1274" s="22"/>
      <c r="F1274" s="22"/>
      <c r="G1274" s="200"/>
      <c r="H1274" s="369">
        <f>H1275+H1281</f>
        <v>3596475</v>
      </c>
      <c r="I1274" s="369">
        <f>I1275+I1281</f>
        <v>1797678</v>
      </c>
      <c r="J1274" s="620">
        <f aca="true" t="shared" si="139" ref="J1274:J1282">I1274/H1274*100</f>
        <v>49.98444310053594</v>
      </c>
      <c r="K1274" s="113"/>
      <c r="L1274" s="648">
        <f>L1275+L1281</f>
        <v>83433</v>
      </c>
      <c r="M1274" s="355">
        <f>M1275+M1281</f>
        <v>50407</v>
      </c>
      <c r="N1274" s="620">
        <f>M1274/L1274*100</f>
        <v>60.4161422938166</v>
      </c>
      <c r="O1274" s="113"/>
      <c r="P1274" s="757">
        <f aca="true" t="shared" si="140" ref="P1274:P1312">H1274+L1274</f>
        <v>3679908</v>
      </c>
      <c r="Q1274" s="769">
        <f aca="true" t="shared" si="141" ref="Q1274:Q1312">I1274+M1274</f>
        <v>1848085</v>
      </c>
      <c r="R1274" s="763">
        <f aca="true" t="shared" si="142" ref="R1274:R1312">Q1274/P1274*100</f>
        <v>50.220956610871795</v>
      </c>
    </row>
    <row r="1275" spans="2:18" ht="12.75">
      <c r="B1275" s="177">
        <f t="shared" si="138"/>
        <v>45</v>
      </c>
      <c r="C1275" s="77"/>
      <c r="D1275" s="183" t="s">
        <v>4</v>
      </c>
      <c r="E1275" s="236"/>
      <c r="F1275" s="236" t="s">
        <v>163</v>
      </c>
      <c r="G1275" s="237"/>
      <c r="H1275" s="345">
        <f>SUM(H1276:H1280)</f>
        <v>3593635</v>
      </c>
      <c r="I1275" s="345">
        <f>SUM(I1276:I1280)</f>
        <v>1796878</v>
      </c>
      <c r="J1275" s="620">
        <f t="shared" si="139"/>
        <v>50.0016835321339</v>
      </c>
      <c r="K1275" s="20"/>
      <c r="L1275" s="647"/>
      <c r="M1275" s="339"/>
      <c r="N1275" s="620"/>
      <c r="O1275" s="20"/>
      <c r="P1275" s="801">
        <f t="shared" si="140"/>
        <v>3593635</v>
      </c>
      <c r="Q1275" s="809">
        <f t="shared" si="141"/>
        <v>1796878</v>
      </c>
      <c r="R1275" s="763">
        <f t="shared" si="142"/>
        <v>50.0016835321339</v>
      </c>
    </row>
    <row r="1276" spans="2:18" ht="12.75">
      <c r="B1276" s="177">
        <f t="shared" si="138"/>
        <v>46</v>
      </c>
      <c r="C1276" s="137"/>
      <c r="D1276" s="137"/>
      <c r="E1276" s="141" t="s">
        <v>275</v>
      </c>
      <c r="F1276" s="141">
        <v>637</v>
      </c>
      <c r="G1276" s="199" t="s">
        <v>436</v>
      </c>
      <c r="H1276" s="335">
        <v>276635</v>
      </c>
      <c r="I1276" s="335">
        <v>138306</v>
      </c>
      <c r="J1276" s="620">
        <f t="shared" si="139"/>
        <v>49.99584289768106</v>
      </c>
      <c r="K1276" s="139"/>
      <c r="L1276" s="649"/>
      <c r="M1276" s="335"/>
      <c r="N1276" s="620"/>
      <c r="O1276" s="139"/>
      <c r="P1276" s="804">
        <f t="shared" si="140"/>
        <v>276635</v>
      </c>
      <c r="Q1276" s="812">
        <f t="shared" si="141"/>
        <v>138306</v>
      </c>
      <c r="R1276" s="763">
        <f t="shared" si="142"/>
        <v>49.99584289768106</v>
      </c>
    </row>
    <row r="1277" spans="2:18" ht="12.75">
      <c r="B1277" s="177">
        <f t="shared" si="138"/>
        <v>47</v>
      </c>
      <c r="C1277" s="137"/>
      <c r="D1277" s="137"/>
      <c r="E1277" s="141" t="s">
        <v>275</v>
      </c>
      <c r="F1277" s="141">
        <v>637</v>
      </c>
      <c r="G1277" s="199" t="s">
        <v>869</v>
      </c>
      <c r="H1277" s="335">
        <f>520000+145000</f>
        <v>665000</v>
      </c>
      <c r="I1277" s="335">
        <v>508056</v>
      </c>
      <c r="J1277" s="620">
        <f t="shared" si="139"/>
        <v>76.3993984962406</v>
      </c>
      <c r="K1277" s="139"/>
      <c r="L1277" s="649"/>
      <c r="M1277" s="335"/>
      <c r="N1277" s="620"/>
      <c r="O1277" s="139"/>
      <c r="P1277" s="804">
        <f t="shared" si="140"/>
        <v>665000</v>
      </c>
      <c r="Q1277" s="812">
        <f t="shared" si="141"/>
        <v>508056</v>
      </c>
      <c r="R1277" s="763">
        <f t="shared" si="142"/>
        <v>76.3993984962406</v>
      </c>
    </row>
    <row r="1278" spans="2:18" ht="12.75">
      <c r="B1278" s="177">
        <f t="shared" si="138"/>
        <v>48</v>
      </c>
      <c r="C1278" s="137"/>
      <c r="D1278" s="137"/>
      <c r="E1278" s="141" t="s">
        <v>275</v>
      </c>
      <c r="F1278" s="141">
        <v>637</v>
      </c>
      <c r="G1278" s="199" t="s">
        <v>645</v>
      </c>
      <c r="H1278" s="335">
        <v>2600000</v>
      </c>
      <c r="I1278" s="335">
        <v>1141172</v>
      </c>
      <c r="J1278" s="620">
        <f t="shared" si="139"/>
        <v>43.89123076923077</v>
      </c>
      <c r="K1278" s="139"/>
      <c r="L1278" s="649"/>
      <c r="M1278" s="335"/>
      <c r="N1278" s="620"/>
      <c r="O1278" s="139"/>
      <c r="P1278" s="804">
        <f t="shared" si="140"/>
        <v>2600000</v>
      </c>
      <c r="Q1278" s="812">
        <f t="shared" si="141"/>
        <v>1141172</v>
      </c>
      <c r="R1278" s="763">
        <f t="shared" si="142"/>
        <v>43.89123076923077</v>
      </c>
    </row>
    <row r="1279" spans="2:18" ht="12.75">
      <c r="B1279" s="177">
        <f t="shared" si="138"/>
        <v>49</v>
      </c>
      <c r="C1279" s="137"/>
      <c r="D1279" s="137"/>
      <c r="E1279" s="141" t="s">
        <v>275</v>
      </c>
      <c r="F1279" s="141">
        <v>637</v>
      </c>
      <c r="G1279" s="199" t="s">
        <v>646</v>
      </c>
      <c r="H1279" s="335">
        <v>50000</v>
      </c>
      <c r="I1279" s="335">
        <v>8204</v>
      </c>
      <c r="J1279" s="620">
        <f t="shared" si="139"/>
        <v>16.408</v>
      </c>
      <c r="K1279" s="139"/>
      <c r="L1279" s="649"/>
      <c r="M1279" s="335"/>
      <c r="N1279" s="620"/>
      <c r="O1279" s="139"/>
      <c r="P1279" s="804">
        <f t="shared" si="140"/>
        <v>50000</v>
      </c>
      <c r="Q1279" s="812">
        <f t="shared" si="141"/>
        <v>8204</v>
      </c>
      <c r="R1279" s="763">
        <f t="shared" si="142"/>
        <v>16.408</v>
      </c>
    </row>
    <row r="1280" spans="2:18" ht="12.75">
      <c r="B1280" s="177">
        <f t="shared" si="138"/>
        <v>50</v>
      </c>
      <c r="C1280" s="137"/>
      <c r="D1280" s="137"/>
      <c r="E1280" s="141" t="s">
        <v>275</v>
      </c>
      <c r="F1280" s="170">
        <v>637</v>
      </c>
      <c r="G1280" s="199" t="s">
        <v>647</v>
      </c>
      <c r="H1280" s="339">
        <v>2000</v>
      </c>
      <c r="I1280" s="339">
        <v>1140</v>
      </c>
      <c r="J1280" s="620">
        <f t="shared" si="139"/>
        <v>56.99999999999999</v>
      </c>
      <c r="K1280" s="139"/>
      <c r="L1280" s="647"/>
      <c r="M1280" s="339"/>
      <c r="N1280" s="620"/>
      <c r="O1280" s="139"/>
      <c r="P1280" s="802">
        <f t="shared" si="140"/>
        <v>2000</v>
      </c>
      <c r="Q1280" s="810">
        <f t="shared" si="141"/>
        <v>1140</v>
      </c>
      <c r="R1280" s="763">
        <f t="shared" si="142"/>
        <v>56.99999999999999</v>
      </c>
    </row>
    <row r="1281" spans="2:18" ht="12.75">
      <c r="B1281" s="177">
        <f t="shared" si="138"/>
        <v>51</v>
      </c>
      <c r="C1281" s="77"/>
      <c r="D1281" s="183" t="s">
        <v>5</v>
      </c>
      <c r="E1281" s="236"/>
      <c r="F1281" s="236" t="s">
        <v>106</v>
      </c>
      <c r="G1281" s="237"/>
      <c r="H1281" s="471">
        <f>H1282</f>
        <v>2840</v>
      </c>
      <c r="I1281" s="471">
        <f>I1282</f>
        <v>800</v>
      </c>
      <c r="J1281" s="620">
        <f t="shared" si="139"/>
        <v>28.169014084507044</v>
      </c>
      <c r="K1281" s="20"/>
      <c r="L1281" s="647">
        <f>SUM(L1282:L1285)</f>
        <v>83433</v>
      </c>
      <c r="M1281" s="339">
        <f>SUM(M1282:M1285)</f>
        <v>50407</v>
      </c>
      <c r="N1281" s="620">
        <f>M1281/L1281*100</f>
        <v>60.4161422938166</v>
      </c>
      <c r="O1281" s="20"/>
      <c r="P1281" s="801">
        <f t="shared" si="140"/>
        <v>86273</v>
      </c>
      <c r="Q1281" s="809">
        <f t="shared" si="141"/>
        <v>51207</v>
      </c>
      <c r="R1281" s="763">
        <f t="shared" si="142"/>
        <v>59.35460688743871</v>
      </c>
    </row>
    <row r="1282" spans="2:18" ht="12.75">
      <c r="B1282" s="177">
        <f t="shared" si="138"/>
        <v>52</v>
      </c>
      <c r="C1282" s="137"/>
      <c r="D1282" s="137"/>
      <c r="E1282" s="141" t="s">
        <v>275</v>
      </c>
      <c r="F1282" s="141">
        <v>637</v>
      </c>
      <c r="G1282" s="199" t="s">
        <v>277</v>
      </c>
      <c r="H1282" s="335">
        <v>2840</v>
      </c>
      <c r="I1282" s="335">
        <v>800</v>
      </c>
      <c r="J1282" s="620">
        <f t="shared" si="139"/>
        <v>28.169014084507044</v>
      </c>
      <c r="K1282" s="139"/>
      <c r="L1282" s="649"/>
      <c r="M1282" s="335"/>
      <c r="N1282" s="620"/>
      <c r="O1282" s="139"/>
      <c r="P1282" s="804">
        <f t="shared" si="140"/>
        <v>2840</v>
      </c>
      <c r="Q1282" s="812">
        <f t="shared" si="141"/>
        <v>800</v>
      </c>
      <c r="R1282" s="763">
        <f t="shared" si="142"/>
        <v>28.169014084507044</v>
      </c>
    </row>
    <row r="1283" spans="2:18" ht="12.75">
      <c r="B1283" s="177">
        <f aca="true" t="shared" si="143" ref="B1283:B1299">B1282+1</f>
        <v>53</v>
      </c>
      <c r="C1283" s="137"/>
      <c r="D1283" s="169"/>
      <c r="E1283" s="141" t="s">
        <v>275</v>
      </c>
      <c r="F1283" s="141">
        <v>717</v>
      </c>
      <c r="G1283" s="199" t="s">
        <v>463</v>
      </c>
      <c r="H1283" s="341"/>
      <c r="I1283" s="341"/>
      <c r="J1283" s="620"/>
      <c r="K1283" s="139"/>
      <c r="L1283" s="650">
        <v>65060</v>
      </c>
      <c r="M1283" s="341">
        <v>32530</v>
      </c>
      <c r="N1283" s="620">
        <f>M1283/L1283*100</f>
        <v>50</v>
      </c>
      <c r="O1283" s="139"/>
      <c r="P1283" s="805">
        <f t="shared" si="140"/>
        <v>65060</v>
      </c>
      <c r="Q1283" s="813">
        <f t="shared" si="141"/>
        <v>32530</v>
      </c>
      <c r="R1283" s="763">
        <f t="shared" si="142"/>
        <v>50</v>
      </c>
    </row>
    <row r="1284" spans="2:18" ht="12.75">
      <c r="B1284" s="177">
        <f t="shared" si="143"/>
        <v>54</v>
      </c>
      <c r="C1284" s="137"/>
      <c r="D1284" s="169"/>
      <c r="E1284" s="141" t="s">
        <v>275</v>
      </c>
      <c r="F1284" s="141">
        <v>717</v>
      </c>
      <c r="G1284" s="218" t="s">
        <v>464</v>
      </c>
      <c r="H1284" s="341"/>
      <c r="I1284" s="341"/>
      <c r="J1284" s="620"/>
      <c r="K1284" s="139"/>
      <c r="L1284" s="650">
        <v>992</v>
      </c>
      <c r="M1284" s="341">
        <v>496</v>
      </c>
      <c r="N1284" s="620">
        <f>M1284/L1284*100</f>
        <v>50</v>
      </c>
      <c r="O1284" s="139"/>
      <c r="P1284" s="805">
        <f t="shared" si="140"/>
        <v>992</v>
      </c>
      <c r="Q1284" s="813">
        <f t="shared" si="141"/>
        <v>496</v>
      </c>
      <c r="R1284" s="763">
        <f t="shared" si="142"/>
        <v>50</v>
      </c>
    </row>
    <row r="1285" spans="2:18" ht="22.5">
      <c r="B1285" s="177">
        <f t="shared" si="143"/>
        <v>55</v>
      </c>
      <c r="C1285" s="430"/>
      <c r="D1285" s="442"/>
      <c r="E1285" s="424" t="s">
        <v>275</v>
      </c>
      <c r="F1285" s="424">
        <v>717</v>
      </c>
      <c r="G1285" s="423" t="s">
        <v>639</v>
      </c>
      <c r="H1285" s="443"/>
      <c r="I1285" s="443"/>
      <c r="J1285" s="620"/>
      <c r="K1285" s="421"/>
      <c r="L1285" s="651">
        <v>17381</v>
      </c>
      <c r="M1285" s="443">
        <v>17381</v>
      </c>
      <c r="N1285" s="634">
        <f>M1285/L1285*100</f>
        <v>100</v>
      </c>
      <c r="O1285" s="421"/>
      <c r="P1285" s="930">
        <f t="shared" si="140"/>
        <v>17381</v>
      </c>
      <c r="Q1285" s="933">
        <f t="shared" si="141"/>
        <v>17381</v>
      </c>
      <c r="R1285" s="763">
        <f t="shared" si="142"/>
        <v>100</v>
      </c>
    </row>
    <row r="1286" spans="2:18" ht="15.75">
      <c r="B1286" s="177">
        <f t="shared" si="143"/>
        <v>56</v>
      </c>
      <c r="C1286" s="24">
        <v>3</v>
      </c>
      <c r="D1286" s="134" t="s">
        <v>144</v>
      </c>
      <c r="E1286" s="25"/>
      <c r="F1286" s="25"/>
      <c r="G1286" s="198"/>
      <c r="H1286" s="372">
        <f>SUM(H1287:H1289)</f>
        <v>8000</v>
      </c>
      <c r="I1286" s="372">
        <f>SUM(I1287:I1289)</f>
        <v>3550</v>
      </c>
      <c r="J1286" s="620">
        <f aca="true" t="shared" si="144" ref="J1286:J1311">I1286/H1286*100</f>
        <v>44.375</v>
      </c>
      <c r="K1286" s="90"/>
      <c r="L1286" s="652">
        <f>SUM(L1287:L1288)</f>
        <v>0</v>
      </c>
      <c r="M1286" s="655">
        <f>SUM(M1287:M1288)</f>
        <v>0</v>
      </c>
      <c r="N1286" s="620"/>
      <c r="O1286" s="90"/>
      <c r="P1286" s="754">
        <f t="shared" si="140"/>
        <v>8000</v>
      </c>
      <c r="Q1286" s="766">
        <f t="shared" si="141"/>
        <v>3550</v>
      </c>
      <c r="R1286" s="763">
        <f t="shared" si="142"/>
        <v>44.375</v>
      </c>
    </row>
    <row r="1287" spans="2:18" ht="12.75">
      <c r="B1287" s="177">
        <f t="shared" si="143"/>
        <v>57</v>
      </c>
      <c r="C1287" s="142"/>
      <c r="D1287" s="142"/>
      <c r="E1287" s="143" t="s">
        <v>278</v>
      </c>
      <c r="F1287" s="143">
        <v>637</v>
      </c>
      <c r="G1287" s="209" t="s">
        <v>279</v>
      </c>
      <c r="H1287" s="335">
        <v>7000</v>
      </c>
      <c r="I1287" s="335">
        <v>3500</v>
      </c>
      <c r="J1287" s="620">
        <f t="shared" si="144"/>
        <v>50</v>
      </c>
      <c r="K1287" s="139"/>
      <c r="L1287" s="649"/>
      <c r="M1287" s="335"/>
      <c r="N1287" s="620"/>
      <c r="O1287" s="139"/>
      <c r="P1287" s="804">
        <f t="shared" si="140"/>
        <v>7000</v>
      </c>
      <c r="Q1287" s="812">
        <f t="shared" si="141"/>
        <v>3500</v>
      </c>
      <c r="R1287" s="763">
        <f t="shared" si="142"/>
        <v>50</v>
      </c>
    </row>
    <row r="1288" spans="2:18" ht="12.75">
      <c r="B1288" s="177">
        <f t="shared" si="143"/>
        <v>58</v>
      </c>
      <c r="C1288" s="137"/>
      <c r="D1288" s="137"/>
      <c r="E1288" s="143" t="s">
        <v>278</v>
      </c>
      <c r="F1288" s="141">
        <v>633</v>
      </c>
      <c r="G1288" s="199" t="s">
        <v>536</v>
      </c>
      <c r="H1288" s="335">
        <v>100</v>
      </c>
      <c r="I1288" s="335">
        <v>0</v>
      </c>
      <c r="J1288" s="620">
        <f t="shared" si="144"/>
        <v>0</v>
      </c>
      <c r="K1288" s="139"/>
      <c r="L1288" s="649"/>
      <c r="M1288" s="335"/>
      <c r="N1288" s="620"/>
      <c r="O1288" s="139"/>
      <c r="P1288" s="804">
        <f t="shared" si="140"/>
        <v>100</v>
      </c>
      <c r="Q1288" s="812">
        <f t="shared" si="141"/>
        <v>0</v>
      </c>
      <c r="R1288" s="763">
        <f t="shared" si="142"/>
        <v>0</v>
      </c>
    </row>
    <row r="1289" spans="2:18" ht="12.75">
      <c r="B1289" s="177">
        <f t="shared" si="143"/>
        <v>59</v>
      </c>
      <c r="C1289" s="137"/>
      <c r="D1289" s="169"/>
      <c r="E1289" s="143" t="s">
        <v>278</v>
      </c>
      <c r="F1289" s="143">
        <v>637</v>
      </c>
      <c r="G1289" s="199" t="s">
        <v>583</v>
      </c>
      <c r="H1289" s="341">
        <v>900</v>
      </c>
      <c r="I1289" s="341">
        <v>50</v>
      </c>
      <c r="J1289" s="620">
        <f t="shared" si="144"/>
        <v>5.555555555555555</v>
      </c>
      <c r="K1289" s="139"/>
      <c r="L1289" s="650"/>
      <c r="M1289" s="341"/>
      <c r="N1289" s="620"/>
      <c r="O1289" s="139"/>
      <c r="P1289" s="805">
        <f t="shared" si="140"/>
        <v>900</v>
      </c>
      <c r="Q1289" s="813">
        <f t="shared" si="141"/>
        <v>50</v>
      </c>
      <c r="R1289" s="763">
        <f t="shared" si="142"/>
        <v>5.555555555555555</v>
      </c>
    </row>
    <row r="1290" spans="2:18" ht="15.75">
      <c r="B1290" s="177">
        <f t="shared" si="143"/>
        <v>60</v>
      </c>
      <c r="C1290" s="24">
        <v>4</v>
      </c>
      <c r="D1290" s="134" t="s">
        <v>116</v>
      </c>
      <c r="E1290" s="25"/>
      <c r="F1290" s="25"/>
      <c r="G1290" s="198"/>
      <c r="H1290" s="372">
        <f>H1291</f>
        <v>15000</v>
      </c>
      <c r="I1290" s="372">
        <f>I1291</f>
        <v>8000</v>
      </c>
      <c r="J1290" s="620">
        <f t="shared" si="144"/>
        <v>53.333333333333336</v>
      </c>
      <c r="K1290" s="90"/>
      <c r="L1290" s="652">
        <v>0</v>
      </c>
      <c r="M1290" s="655">
        <v>0</v>
      </c>
      <c r="N1290" s="620"/>
      <c r="O1290" s="90"/>
      <c r="P1290" s="754">
        <f t="shared" si="140"/>
        <v>15000</v>
      </c>
      <c r="Q1290" s="766">
        <f t="shared" si="141"/>
        <v>8000</v>
      </c>
      <c r="R1290" s="763">
        <f t="shared" si="142"/>
        <v>53.333333333333336</v>
      </c>
    </row>
    <row r="1291" spans="2:18" ht="22.5">
      <c r="B1291" s="177">
        <f t="shared" si="143"/>
        <v>61</v>
      </c>
      <c r="C1291" s="432"/>
      <c r="D1291" s="432"/>
      <c r="E1291" s="433" t="s">
        <v>245</v>
      </c>
      <c r="F1291" s="433">
        <v>640</v>
      </c>
      <c r="G1291" s="434" t="s">
        <v>632</v>
      </c>
      <c r="H1291" s="420">
        <v>15000</v>
      </c>
      <c r="I1291" s="420">
        <v>8000</v>
      </c>
      <c r="J1291" s="620">
        <f t="shared" si="144"/>
        <v>53.333333333333336</v>
      </c>
      <c r="K1291" s="421"/>
      <c r="L1291" s="653"/>
      <c r="M1291" s="420"/>
      <c r="N1291" s="620"/>
      <c r="O1291" s="421"/>
      <c r="P1291" s="931">
        <f t="shared" si="140"/>
        <v>15000</v>
      </c>
      <c r="Q1291" s="934">
        <f t="shared" si="141"/>
        <v>8000</v>
      </c>
      <c r="R1291" s="763">
        <f t="shared" si="142"/>
        <v>53.333333333333336</v>
      </c>
    </row>
    <row r="1292" spans="2:18" ht="15.75">
      <c r="B1292" s="177">
        <f t="shared" si="143"/>
        <v>62</v>
      </c>
      <c r="C1292" s="24">
        <v>5</v>
      </c>
      <c r="D1292" s="134" t="s">
        <v>117</v>
      </c>
      <c r="E1292" s="25"/>
      <c r="F1292" s="25"/>
      <c r="G1292" s="198"/>
      <c r="H1292" s="372">
        <f>H1293</f>
        <v>9635</v>
      </c>
      <c r="I1292" s="372">
        <f>I1293</f>
        <v>1665</v>
      </c>
      <c r="J1292" s="620">
        <f t="shared" si="144"/>
        <v>17.28074727555786</v>
      </c>
      <c r="K1292" s="90"/>
      <c r="L1292" s="652">
        <v>0</v>
      </c>
      <c r="M1292" s="655">
        <v>0</v>
      </c>
      <c r="N1292" s="620"/>
      <c r="O1292" s="90"/>
      <c r="P1292" s="754">
        <f t="shared" si="140"/>
        <v>9635</v>
      </c>
      <c r="Q1292" s="766">
        <f t="shared" si="141"/>
        <v>1665</v>
      </c>
      <c r="R1292" s="763">
        <f t="shared" si="142"/>
        <v>17.28074727555786</v>
      </c>
    </row>
    <row r="1293" spans="2:18" ht="12.75">
      <c r="B1293" s="177">
        <f t="shared" si="143"/>
        <v>63</v>
      </c>
      <c r="C1293" s="142"/>
      <c r="D1293" s="142"/>
      <c r="E1293" s="165" t="s">
        <v>245</v>
      </c>
      <c r="F1293" s="165"/>
      <c r="G1293" s="229" t="s">
        <v>476</v>
      </c>
      <c r="H1293" s="345">
        <f>H1294+H1295+H1296</f>
        <v>9635</v>
      </c>
      <c r="I1293" s="345">
        <f>I1294+I1295+I1296</f>
        <v>1665</v>
      </c>
      <c r="J1293" s="620">
        <f t="shared" si="144"/>
        <v>17.28074727555786</v>
      </c>
      <c r="K1293" s="139"/>
      <c r="L1293" s="649"/>
      <c r="M1293" s="335"/>
      <c r="N1293" s="620"/>
      <c r="O1293" s="139"/>
      <c r="P1293" s="830">
        <f t="shared" si="140"/>
        <v>9635</v>
      </c>
      <c r="Q1293" s="844">
        <f t="shared" si="141"/>
        <v>1665</v>
      </c>
      <c r="R1293" s="763">
        <f t="shared" si="142"/>
        <v>17.28074727555786</v>
      </c>
    </row>
    <row r="1294" spans="2:18" ht="12.75">
      <c r="B1294" s="177">
        <f t="shared" si="143"/>
        <v>64</v>
      </c>
      <c r="C1294" s="137"/>
      <c r="D1294" s="137"/>
      <c r="E1294" s="160"/>
      <c r="F1294" s="160">
        <v>610</v>
      </c>
      <c r="G1294" s="206" t="s">
        <v>262</v>
      </c>
      <c r="H1294" s="346">
        <v>1100</v>
      </c>
      <c r="I1294" s="346">
        <v>344</v>
      </c>
      <c r="J1294" s="620">
        <f t="shared" si="144"/>
        <v>31.272727272727273</v>
      </c>
      <c r="K1294" s="139"/>
      <c r="L1294" s="649"/>
      <c r="M1294" s="335"/>
      <c r="N1294" s="620"/>
      <c r="O1294" s="139"/>
      <c r="P1294" s="830">
        <f t="shared" si="140"/>
        <v>1100</v>
      </c>
      <c r="Q1294" s="844">
        <f t="shared" si="141"/>
        <v>344</v>
      </c>
      <c r="R1294" s="763">
        <f t="shared" si="142"/>
        <v>31.272727272727273</v>
      </c>
    </row>
    <row r="1295" spans="2:18" ht="12.75">
      <c r="B1295" s="177">
        <f t="shared" si="143"/>
        <v>65</v>
      </c>
      <c r="C1295" s="137"/>
      <c r="D1295" s="137"/>
      <c r="E1295" s="141"/>
      <c r="F1295" s="160">
        <v>620</v>
      </c>
      <c r="G1295" s="206" t="s">
        <v>264</v>
      </c>
      <c r="H1295" s="346">
        <v>385</v>
      </c>
      <c r="I1295" s="346">
        <v>127</v>
      </c>
      <c r="J1295" s="620">
        <f t="shared" si="144"/>
        <v>32.98701298701299</v>
      </c>
      <c r="K1295" s="139"/>
      <c r="L1295" s="649"/>
      <c r="M1295" s="335"/>
      <c r="N1295" s="620"/>
      <c r="O1295" s="139"/>
      <c r="P1295" s="830">
        <f t="shared" si="140"/>
        <v>385</v>
      </c>
      <c r="Q1295" s="844">
        <f t="shared" si="141"/>
        <v>127</v>
      </c>
      <c r="R1295" s="763">
        <f t="shared" si="142"/>
        <v>32.98701298701299</v>
      </c>
    </row>
    <row r="1296" spans="2:18" ht="12.75">
      <c r="B1296" s="177">
        <f t="shared" si="143"/>
        <v>66</v>
      </c>
      <c r="C1296" s="137"/>
      <c r="D1296" s="137"/>
      <c r="E1296" s="141"/>
      <c r="F1296" s="160">
        <v>630</v>
      </c>
      <c r="G1296" s="206" t="s">
        <v>239</v>
      </c>
      <c r="H1296" s="346">
        <f>SUM(H1297:H1299)</f>
        <v>8150</v>
      </c>
      <c r="I1296" s="346">
        <f>SUM(I1297:I1299)</f>
        <v>1194</v>
      </c>
      <c r="J1296" s="620">
        <f t="shared" si="144"/>
        <v>14.650306748466257</v>
      </c>
      <c r="K1296" s="139"/>
      <c r="L1296" s="649"/>
      <c r="M1296" s="335"/>
      <c r="N1296" s="620"/>
      <c r="O1296" s="139"/>
      <c r="P1296" s="830">
        <f t="shared" si="140"/>
        <v>8150</v>
      </c>
      <c r="Q1296" s="844">
        <f t="shared" si="141"/>
        <v>1194</v>
      </c>
      <c r="R1296" s="763">
        <f t="shared" si="142"/>
        <v>14.650306748466257</v>
      </c>
    </row>
    <row r="1297" spans="2:18" ht="12.75">
      <c r="B1297" s="177">
        <f t="shared" si="143"/>
        <v>67</v>
      </c>
      <c r="C1297" s="137"/>
      <c r="D1297" s="137"/>
      <c r="E1297" s="141"/>
      <c r="F1297" s="141">
        <v>632</v>
      </c>
      <c r="G1297" s="199" t="s">
        <v>250</v>
      </c>
      <c r="H1297" s="335">
        <v>5000</v>
      </c>
      <c r="I1297" s="335">
        <v>545</v>
      </c>
      <c r="J1297" s="620">
        <f t="shared" si="144"/>
        <v>10.9</v>
      </c>
      <c r="K1297" s="139"/>
      <c r="L1297" s="649"/>
      <c r="M1297" s="335"/>
      <c r="N1297" s="620"/>
      <c r="O1297" s="139"/>
      <c r="P1297" s="804">
        <f t="shared" si="140"/>
        <v>5000</v>
      </c>
      <c r="Q1297" s="812">
        <f t="shared" si="141"/>
        <v>545</v>
      </c>
      <c r="R1297" s="763">
        <f t="shared" si="142"/>
        <v>10.9</v>
      </c>
    </row>
    <row r="1298" spans="2:18" ht="12.75">
      <c r="B1298" s="177">
        <f t="shared" si="143"/>
        <v>68</v>
      </c>
      <c r="C1298" s="137"/>
      <c r="D1298" s="137"/>
      <c r="E1298" s="141"/>
      <c r="F1298" s="141">
        <v>633</v>
      </c>
      <c r="G1298" s="199" t="s">
        <v>251</v>
      </c>
      <c r="H1298" s="335">
        <v>1250</v>
      </c>
      <c r="I1298" s="335">
        <v>213</v>
      </c>
      <c r="J1298" s="620">
        <f t="shared" si="144"/>
        <v>17.04</v>
      </c>
      <c r="K1298" s="139"/>
      <c r="L1298" s="649"/>
      <c r="M1298" s="335"/>
      <c r="N1298" s="620"/>
      <c r="O1298" s="139"/>
      <c r="P1298" s="804">
        <f t="shared" si="140"/>
        <v>1250</v>
      </c>
      <c r="Q1298" s="812">
        <f t="shared" si="141"/>
        <v>213</v>
      </c>
      <c r="R1298" s="763">
        <f t="shared" si="142"/>
        <v>17.04</v>
      </c>
    </row>
    <row r="1299" spans="2:18" ht="12.75">
      <c r="B1299" s="177">
        <f t="shared" si="143"/>
        <v>69</v>
      </c>
      <c r="C1299" s="137"/>
      <c r="D1299" s="137"/>
      <c r="E1299" s="141"/>
      <c r="F1299" s="141">
        <v>637</v>
      </c>
      <c r="G1299" s="199" t="s">
        <v>252</v>
      </c>
      <c r="H1299" s="335">
        <v>1900</v>
      </c>
      <c r="I1299" s="335">
        <v>436</v>
      </c>
      <c r="J1299" s="620">
        <f t="shared" si="144"/>
        <v>22.94736842105263</v>
      </c>
      <c r="K1299" s="139"/>
      <c r="L1299" s="649"/>
      <c r="M1299" s="335"/>
      <c r="N1299" s="620"/>
      <c r="O1299" s="139"/>
      <c r="P1299" s="804">
        <f t="shared" si="140"/>
        <v>1900</v>
      </c>
      <c r="Q1299" s="812">
        <f t="shared" si="141"/>
        <v>436</v>
      </c>
      <c r="R1299" s="763">
        <f t="shared" si="142"/>
        <v>22.94736842105263</v>
      </c>
    </row>
    <row r="1300" spans="2:18" ht="15.75">
      <c r="B1300" s="177">
        <f aca="true" t="shared" si="145" ref="B1300:B1312">B1299+1</f>
        <v>70</v>
      </c>
      <c r="C1300" s="24">
        <v>6</v>
      </c>
      <c r="D1300" s="134" t="s">
        <v>177</v>
      </c>
      <c r="E1300" s="25"/>
      <c r="F1300" s="25"/>
      <c r="G1300" s="198"/>
      <c r="H1300" s="372">
        <f>H1301</f>
        <v>213860</v>
      </c>
      <c r="I1300" s="372">
        <f>I1301</f>
        <v>88404</v>
      </c>
      <c r="J1300" s="620">
        <f t="shared" si="144"/>
        <v>41.3373234826522</v>
      </c>
      <c r="K1300" s="90"/>
      <c r="L1300" s="652">
        <f>SUM(L1301:L1312)</f>
        <v>171667</v>
      </c>
      <c r="M1300" s="655">
        <f>SUM(M1301:M1312)</f>
        <v>85833</v>
      </c>
      <c r="N1300" s="620">
        <f>M1300/L1300*100</f>
        <v>49.99970873842963</v>
      </c>
      <c r="O1300" s="90"/>
      <c r="P1300" s="754">
        <f t="shared" si="140"/>
        <v>385527</v>
      </c>
      <c r="Q1300" s="766">
        <f t="shared" si="141"/>
        <v>174237</v>
      </c>
      <c r="R1300" s="763">
        <f t="shared" si="142"/>
        <v>45.19449999610922</v>
      </c>
    </row>
    <row r="1301" spans="2:18" ht="12.75">
      <c r="B1301" s="177">
        <f t="shared" si="145"/>
        <v>71</v>
      </c>
      <c r="C1301" s="142"/>
      <c r="D1301" s="142"/>
      <c r="E1301" s="165" t="s">
        <v>245</v>
      </c>
      <c r="F1301" s="165"/>
      <c r="G1301" s="229" t="s">
        <v>476</v>
      </c>
      <c r="H1301" s="345">
        <f>H1302+H1303+H1304+H1311</f>
        <v>213860</v>
      </c>
      <c r="I1301" s="345">
        <f>I1302+I1303+I1304+I1311</f>
        <v>88404</v>
      </c>
      <c r="J1301" s="620">
        <f t="shared" si="144"/>
        <v>41.3373234826522</v>
      </c>
      <c r="K1301" s="139"/>
      <c r="L1301" s="649"/>
      <c r="M1301" s="335"/>
      <c r="N1301" s="620"/>
      <c r="O1301" s="139"/>
      <c r="P1301" s="830">
        <f t="shared" si="140"/>
        <v>213860</v>
      </c>
      <c r="Q1301" s="844">
        <f t="shared" si="141"/>
        <v>88404</v>
      </c>
      <c r="R1301" s="763">
        <f t="shared" si="142"/>
        <v>41.3373234826522</v>
      </c>
    </row>
    <row r="1302" spans="2:18" ht="12.75">
      <c r="B1302" s="177">
        <f t="shared" si="145"/>
        <v>72</v>
      </c>
      <c r="C1302" s="137"/>
      <c r="D1302" s="137"/>
      <c r="E1302" s="160"/>
      <c r="F1302" s="160">
        <v>610</v>
      </c>
      <c r="G1302" s="206" t="s">
        <v>262</v>
      </c>
      <c r="H1302" s="346">
        <v>85000</v>
      </c>
      <c r="I1302" s="346">
        <v>42143</v>
      </c>
      <c r="J1302" s="620">
        <f t="shared" si="144"/>
        <v>49.58</v>
      </c>
      <c r="K1302" s="139"/>
      <c r="L1302" s="649"/>
      <c r="M1302" s="335"/>
      <c r="N1302" s="620"/>
      <c r="O1302" s="139"/>
      <c r="P1302" s="830">
        <f t="shared" si="140"/>
        <v>85000</v>
      </c>
      <c r="Q1302" s="844">
        <f t="shared" si="141"/>
        <v>42143</v>
      </c>
      <c r="R1302" s="763">
        <f t="shared" si="142"/>
        <v>49.58</v>
      </c>
    </row>
    <row r="1303" spans="2:18" ht="12.75">
      <c r="B1303" s="177">
        <f t="shared" si="145"/>
        <v>73</v>
      </c>
      <c r="C1303" s="137"/>
      <c r="D1303" s="137"/>
      <c r="E1303" s="141"/>
      <c r="F1303" s="160">
        <v>620</v>
      </c>
      <c r="G1303" s="206" t="s">
        <v>264</v>
      </c>
      <c r="H1303" s="346">
        <v>36890</v>
      </c>
      <c r="I1303" s="346">
        <v>18353</v>
      </c>
      <c r="J1303" s="620">
        <f t="shared" si="144"/>
        <v>49.75060992138791</v>
      </c>
      <c r="K1303" s="139"/>
      <c r="L1303" s="649"/>
      <c r="M1303" s="335"/>
      <c r="N1303" s="620"/>
      <c r="O1303" s="139"/>
      <c r="P1303" s="830">
        <f t="shared" si="140"/>
        <v>36890</v>
      </c>
      <c r="Q1303" s="844">
        <f t="shared" si="141"/>
        <v>18353</v>
      </c>
      <c r="R1303" s="763">
        <f t="shared" si="142"/>
        <v>49.75060992138791</v>
      </c>
    </row>
    <row r="1304" spans="2:18" ht="12.75">
      <c r="B1304" s="177">
        <f t="shared" si="145"/>
        <v>74</v>
      </c>
      <c r="C1304" s="137"/>
      <c r="D1304" s="137"/>
      <c r="E1304" s="141"/>
      <c r="F1304" s="160">
        <v>630</v>
      </c>
      <c r="G1304" s="206" t="s">
        <v>239</v>
      </c>
      <c r="H1304" s="346">
        <f>SUM(H1305:H1310)</f>
        <v>90770</v>
      </c>
      <c r="I1304" s="346">
        <f>SUM(I1305:I1310)</f>
        <v>26771</v>
      </c>
      <c r="J1304" s="620">
        <f t="shared" si="144"/>
        <v>29.493224633689547</v>
      </c>
      <c r="K1304" s="139"/>
      <c r="L1304" s="649"/>
      <c r="M1304" s="335"/>
      <c r="N1304" s="620"/>
      <c r="O1304" s="139"/>
      <c r="P1304" s="830">
        <f t="shared" si="140"/>
        <v>90770</v>
      </c>
      <c r="Q1304" s="844">
        <f t="shared" si="141"/>
        <v>26771</v>
      </c>
      <c r="R1304" s="763">
        <f t="shared" si="142"/>
        <v>29.493224633689547</v>
      </c>
    </row>
    <row r="1305" spans="2:18" ht="12.75">
      <c r="B1305" s="177">
        <f t="shared" si="145"/>
        <v>75</v>
      </c>
      <c r="C1305" s="137"/>
      <c r="D1305" s="137"/>
      <c r="E1305" s="141"/>
      <c r="F1305" s="141">
        <v>631</v>
      </c>
      <c r="G1305" s="199" t="s">
        <v>559</v>
      </c>
      <c r="H1305" s="335">
        <v>100</v>
      </c>
      <c r="I1305" s="335">
        <v>0</v>
      </c>
      <c r="J1305" s="620">
        <f t="shared" si="144"/>
        <v>0</v>
      </c>
      <c r="K1305" s="139"/>
      <c r="L1305" s="649"/>
      <c r="M1305" s="335"/>
      <c r="N1305" s="620"/>
      <c r="O1305" s="139"/>
      <c r="P1305" s="804">
        <f t="shared" si="140"/>
        <v>100</v>
      </c>
      <c r="Q1305" s="812">
        <f t="shared" si="141"/>
        <v>0</v>
      </c>
      <c r="R1305" s="763">
        <f t="shared" si="142"/>
        <v>0</v>
      </c>
    </row>
    <row r="1306" spans="2:18" ht="12.75">
      <c r="B1306" s="177">
        <f t="shared" si="145"/>
        <v>76</v>
      </c>
      <c r="C1306" s="137"/>
      <c r="D1306" s="137"/>
      <c r="E1306" s="141"/>
      <c r="F1306" s="141">
        <v>632</v>
      </c>
      <c r="G1306" s="199" t="s">
        <v>250</v>
      </c>
      <c r="H1306" s="335">
        <v>3100</v>
      </c>
      <c r="I1306" s="335">
        <v>1729</v>
      </c>
      <c r="J1306" s="620">
        <f t="shared" si="144"/>
        <v>55.774193548387096</v>
      </c>
      <c r="K1306" s="139"/>
      <c r="L1306" s="649"/>
      <c r="M1306" s="335"/>
      <c r="N1306" s="620"/>
      <c r="O1306" s="139"/>
      <c r="P1306" s="804">
        <f t="shared" si="140"/>
        <v>3100</v>
      </c>
      <c r="Q1306" s="812">
        <f t="shared" si="141"/>
        <v>1729</v>
      </c>
      <c r="R1306" s="763">
        <f t="shared" si="142"/>
        <v>55.774193548387096</v>
      </c>
    </row>
    <row r="1307" spans="2:18" ht="12.75">
      <c r="B1307" s="177">
        <f t="shared" si="145"/>
        <v>77</v>
      </c>
      <c r="C1307" s="137"/>
      <c r="D1307" s="137"/>
      <c r="E1307" s="141"/>
      <c r="F1307" s="141">
        <v>633</v>
      </c>
      <c r="G1307" s="199" t="s">
        <v>251</v>
      </c>
      <c r="H1307" s="335">
        <v>3250</v>
      </c>
      <c r="I1307" s="335">
        <v>1555</v>
      </c>
      <c r="J1307" s="620">
        <f t="shared" si="144"/>
        <v>47.84615384615385</v>
      </c>
      <c r="K1307" s="139"/>
      <c r="L1307" s="649"/>
      <c r="M1307" s="335"/>
      <c r="N1307" s="620"/>
      <c r="O1307" s="139"/>
      <c r="P1307" s="804">
        <f t="shared" si="140"/>
        <v>3250</v>
      </c>
      <c r="Q1307" s="812">
        <f t="shared" si="141"/>
        <v>1555</v>
      </c>
      <c r="R1307" s="763">
        <f t="shared" si="142"/>
        <v>47.84615384615385</v>
      </c>
    </row>
    <row r="1308" spans="2:18" ht="12.75">
      <c r="B1308" s="177">
        <f t="shared" si="145"/>
        <v>78</v>
      </c>
      <c r="C1308" s="137"/>
      <c r="D1308" s="137"/>
      <c r="E1308" s="141"/>
      <c r="F1308" s="141">
        <v>634</v>
      </c>
      <c r="G1308" s="199" t="s">
        <v>265</v>
      </c>
      <c r="H1308" s="335">
        <v>9550</v>
      </c>
      <c r="I1308" s="335">
        <v>4106</v>
      </c>
      <c r="J1308" s="620">
        <f t="shared" si="144"/>
        <v>42.99476439790576</v>
      </c>
      <c r="K1308" s="139"/>
      <c r="L1308" s="649"/>
      <c r="M1308" s="335"/>
      <c r="N1308" s="620"/>
      <c r="O1308" s="139"/>
      <c r="P1308" s="804">
        <f t="shared" si="140"/>
        <v>9550</v>
      </c>
      <c r="Q1308" s="812">
        <f t="shared" si="141"/>
        <v>4106</v>
      </c>
      <c r="R1308" s="763">
        <f t="shared" si="142"/>
        <v>42.99476439790576</v>
      </c>
    </row>
    <row r="1309" spans="2:18" ht="12.75">
      <c r="B1309" s="177">
        <f t="shared" si="145"/>
        <v>79</v>
      </c>
      <c r="C1309" s="137"/>
      <c r="D1309" s="137"/>
      <c r="E1309" s="141"/>
      <c r="F1309" s="141">
        <v>635</v>
      </c>
      <c r="G1309" s="199" t="s">
        <v>266</v>
      </c>
      <c r="H1309" s="335">
        <v>4100</v>
      </c>
      <c r="I1309" s="335">
        <v>1217</v>
      </c>
      <c r="J1309" s="620">
        <f t="shared" si="144"/>
        <v>29.68292682926829</v>
      </c>
      <c r="K1309" s="139"/>
      <c r="L1309" s="649"/>
      <c r="M1309" s="335"/>
      <c r="N1309" s="620"/>
      <c r="O1309" s="139"/>
      <c r="P1309" s="804">
        <f t="shared" si="140"/>
        <v>4100</v>
      </c>
      <c r="Q1309" s="812">
        <f t="shared" si="141"/>
        <v>1217</v>
      </c>
      <c r="R1309" s="763">
        <f t="shared" si="142"/>
        <v>29.68292682926829</v>
      </c>
    </row>
    <row r="1310" spans="2:18" ht="12.75">
      <c r="B1310" s="177">
        <f t="shared" si="145"/>
        <v>80</v>
      </c>
      <c r="C1310" s="137"/>
      <c r="D1310" s="137"/>
      <c r="E1310" s="141"/>
      <c r="F1310" s="141">
        <v>637</v>
      </c>
      <c r="G1310" s="199" t="s">
        <v>252</v>
      </c>
      <c r="H1310" s="335">
        <f>75500-4830</f>
        <v>70670</v>
      </c>
      <c r="I1310" s="335">
        <v>18164</v>
      </c>
      <c r="J1310" s="620">
        <f t="shared" si="144"/>
        <v>25.702561199943396</v>
      </c>
      <c r="K1310" s="159"/>
      <c r="L1310" s="649"/>
      <c r="M1310" s="335"/>
      <c r="N1310" s="620"/>
      <c r="O1310" s="139"/>
      <c r="P1310" s="804">
        <f t="shared" si="140"/>
        <v>70670</v>
      </c>
      <c r="Q1310" s="812">
        <f t="shared" si="141"/>
        <v>18164</v>
      </c>
      <c r="R1310" s="763">
        <f t="shared" si="142"/>
        <v>25.702561199943396</v>
      </c>
    </row>
    <row r="1311" spans="2:18" ht="12.75">
      <c r="B1311" s="177">
        <f t="shared" si="145"/>
        <v>81</v>
      </c>
      <c r="C1311" s="142"/>
      <c r="D1311" s="142"/>
      <c r="E1311" s="143"/>
      <c r="F1311" s="384">
        <v>640</v>
      </c>
      <c r="G1311" s="210" t="s">
        <v>445</v>
      </c>
      <c r="H1311" s="346">
        <f>200+1000</f>
        <v>1200</v>
      </c>
      <c r="I1311" s="346">
        <v>1137</v>
      </c>
      <c r="J1311" s="620">
        <f t="shared" si="144"/>
        <v>94.75</v>
      </c>
      <c r="K1311" s="159"/>
      <c r="L1311" s="650"/>
      <c r="M1311" s="341"/>
      <c r="N1311" s="620"/>
      <c r="O1311" s="139"/>
      <c r="P1311" s="830">
        <f t="shared" si="140"/>
        <v>1200</v>
      </c>
      <c r="Q1311" s="844">
        <f t="shared" si="141"/>
        <v>1137</v>
      </c>
      <c r="R1311" s="763">
        <f t="shared" si="142"/>
        <v>94.75</v>
      </c>
    </row>
    <row r="1312" spans="2:18" ht="13.5" thickBot="1">
      <c r="B1312" s="242">
        <f t="shared" si="145"/>
        <v>82</v>
      </c>
      <c r="C1312" s="147"/>
      <c r="D1312" s="147"/>
      <c r="E1312" s="148"/>
      <c r="F1312" s="148">
        <v>717</v>
      </c>
      <c r="G1312" s="241" t="s">
        <v>584</v>
      </c>
      <c r="H1312" s="347"/>
      <c r="I1312" s="347"/>
      <c r="J1312" s="621"/>
      <c r="K1312" s="149"/>
      <c r="L1312" s="654">
        <v>171667</v>
      </c>
      <c r="M1312" s="347">
        <v>85833</v>
      </c>
      <c r="N1312" s="621">
        <f>M1312/L1312*100</f>
        <v>49.99970873842963</v>
      </c>
      <c r="O1312" s="149"/>
      <c r="P1312" s="932">
        <f t="shared" si="140"/>
        <v>171667</v>
      </c>
      <c r="Q1312" s="935">
        <f t="shared" si="141"/>
        <v>85833</v>
      </c>
      <c r="R1312" s="764">
        <f t="shared" si="142"/>
        <v>49.99970873842963</v>
      </c>
    </row>
    <row r="1316" spans="2:17" ht="36" customHeight="1" thickBot="1">
      <c r="B1316" s="248" t="s">
        <v>166</v>
      </c>
      <c r="C1316" s="248"/>
      <c r="D1316" s="248"/>
      <c r="E1316" s="248"/>
      <c r="F1316" s="248"/>
      <c r="G1316" s="248"/>
      <c r="H1316" s="416"/>
      <c r="I1316" s="416"/>
      <c r="J1316" s="248"/>
      <c r="K1316" s="248"/>
      <c r="L1316" s="248"/>
      <c r="M1316" s="248"/>
      <c r="N1316" s="248"/>
      <c r="O1316" s="248"/>
      <c r="P1316" s="248"/>
      <c r="Q1316" s="248"/>
    </row>
    <row r="1317" spans="2:18" ht="23.25" customHeight="1" thickBot="1">
      <c r="B1317" s="1074" t="s">
        <v>778</v>
      </c>
      <c r="C1317" s="1075"/>
      <c r="D1317" s="1075"/>
      <c r="E1317" s="1075"/>
      <c r="F1317" s="1075"/>
      <c r="G1317" s="1075"/>
      <c r="H1317" s="1075"/>
      <c r="I1317" s="1075"/>
      <c r="J1317" s="1075"/>
      <c r="K1317" s="1075"/>
      <c r="L1317" s="1075"/>
      <c r="M1317" s="1075"/>
      <c r="N1317" s="625"/>
      <c r="O1317" s="628"/>
      <c r="P1317" s="1091" t="s">
        <v>811</v>
      </c>
      <c r="Q1317" s="1101" t="s">
        <v>836</v>
      </c>
      <c r="R1317" s="761"/>
    </row>
    <row r="1318" spans="2:18" ht="27" customHeight="1" thickTop="1">
      <c r="B1318" s="23"/>
      <c r="C1318" s="1083" t="s">
        <v>512</v>
      </c>
      <c r="D1318" s="1083" t="s">
        <v>511</v>
      </c>
      <c r="E1318" s="1083" t="s">
        <v>509</v>
      </c>
      <c r="F1318" s="1083" t="s">
        <v>510</v>
      </c>
      <c r="G1318" s="319" t="s">
        <v>3</v>
      </c>
      <c r="H1318" s="1085" t="s">
        <v>806</v>
      </c>
      <c r="I1318" s="1087" t="s">
        <v>836</v>
      </c>
      <c r="J1318" s="1072" t="s">
        <v>835</v>
      </c>
      <c r="K1318" s="80"/>
      <c r="L1318" s="1068" t="s">
        <v>810</v>
      </c>
      <c r="M1318" s="1070" t="s">
        <v>836</v>
      </c>
      <c r="N1318" s="1072" t="s">
        <v>835</v>
      </c>
      <c r="P1318" s="1096"/>
      <c r="Q1318" s="1111"/>
      <c r="R1318" s="1047" t="s">
        <v>835</v>
      </c>
    </row>
    <row r="1319" spans="2:18" ht="36" customHeight="1" thickBot="1">
      <c r="B1319" s="26"/>
      <c r="C1319" s="1084"/>
      <c r="D1319" s="1084"/>
      <c r="E1319" s="1084"/>
      <c r="F1319" s="1084"/>
      <c r="G1319" s="196"/>
      <c r="H1319" s="1086"/>
      <c r="I1319" s="1086"/>
      <c r="J1319" s="1073"/>
      <c r="K1319" s="80"/>
      <c r="L1319" s="1069"/>
      <c r="M1319" s="1071"/>
      <c r="N1319" s="1073"/>
      <c r="P1319" s="1097"/>
      <c r="Q1319" s="1112"/>
      <c r="R1319" s="1048"/>
    </row>
    <row r="1320" spans="2:18" ht="19.5" thickBot="1" thickTop="1">
      <c r="B1320" s="177">
        <v>1</v>
      </c>
      <c r="C1320" s="132" t="s">
        <v>231</v>
      </c>
      <c r="D1320" s="112"/>
      <c r="E1320" s="112"/>
      <c r="F1320" s="112"/>
      <c r="G1320" s="208"/>
      <c r="H1320" s="367">
        <f>H1321+H1331+H1333+H1347+H1356+H1392+H1409+H1421+H1423+H1429+H1439</f>
        <v>2127289</v>
      </c>
      <c r="I1320" s="373">
        <f>I1321+I1331+I1333+I1347+I1356+I1392+I1409+I1421+I1423+I1429+I1439</f>
        <v>1215189</v>
      </c>
      <c r="J1320" s="595">
        <f aca="true" t="shared" si="146" ref="J1320:J1351">I1320/H1320*100</f>
        <v>57.12383225786435</v>
      </c>
      <c r="K1320" s="114"/>
      <c r="L1320" s="202">
        <f>L1321+L1331+L1333+L1347+L1356+L1392+L1409+L1421+L1423+L1429+L1439</f>
        <v>6650</v>
      </c>
      <c r="M1320" s="971">
        <f>M1321+M1331+M1333+M1347+M1356+M1392+M1409+M1421+M1423+M1429+M1439</f>
        <v>0</v>
      </c>
      <c r="N1320" s="595">
        <f>M1320/L1320*100</f>
        <v>0</v>
      </c>
      <c r="P1320" s="776">
        <f aca="true" t="shared" si="147" ref="P1320:P1351">H1320+L1320</f>
        <v>2133939</v>
      </c>
      <c r="Q1320" s="780">
        <f aca="true" t="shared" si="148" ref="Q1320:Q1351">I1320+M1320</f>
        <v>1215189</v>
      </c>
      <c r="R1320" s="762">
        <f aca="true" t="shared" si="149" ref="R1320:R1351">Q1320/P1320*100</f>
        <v>56.94581710161349</v>
      </c>
    </row>
    <row r="1321" spans="2:18" ht="16.5" thickTop="1">
      <c r="B1321" s="177">
        <f aca="true" t="shared" si="150" ref="B1321:B1352">B1320+1</f>
        <v>2</v>
      </c>
      <c r="C1321" s="24">
        <v>1</v>
      </c>
      <c r="D1321" s="134" t="s">
        <v>101</v>
      </c>
      <c r="E1321" s="25"/>
      <c r="F1321" s="25"/>
      <c r="G1321" s="198"/>
      <c r="H1321" s="368">
        <f>H1322</f>
        <v>172450</v>
      </c>
      <c r="I1321" s="368">
        <f>I1322</f>
        <v>91792</v>
      </c>
      <c r="J1321" s="619">
        <f t="shared" si="146"/>
        <v>53.22818208176283</v>
      </c>
      <c r="K1321" s="90"/>
      <c r="L1321" s="406">
        <v>0</v>
      </c>
      <c r="M1321" s="949">
        <v>0</v>
      </c>
      <c r="N1321" s="660"/>
      <c r="P1321" s="754">
        <f t="shared" si="147"/>
        <v>172450</v>
      </c>
      <c r="Q1321" s="766">
        <f t="shared" si="148"/>
        <v>91792</v>
      </c>
      <c r="R1321" s="763">
        <f t="shared" si="149"/>
        <v>53.22818208176283</v>
      </c>
    </row>
    <row r="1322" spans="2:18" ht="12.75">
      <c r="B1322" s="177">
        <f t="shared" si="150"/>
        <v>3</v>
      </c>
      <c r="C1322" s="153"/>
      <c r="D1322" s="154"/>
      <c r="E1322" s="324" t="s">
        <v>305</v>
      </c>
      <c r="F1322" s="324"/>
      <c r="G1322" s="325" t="s">
        <v>484</v>
      </c>
      <c r="H1322" s="472">
        <f>H1323+H1324+H1325+H1330</f>
        <v>172450</v>
      </c>
      <c r="I1322" s="472">
        <f>I1323+I1324+I1325+I1330</f>
        <v>91792</v>
      </c>
      <c r="J1322" s="620">
        <f t="shared" si="146"/>
        <v>53.22818208176283</v>
      </c>
      <c r="K1322" s="326"/>
      <c r="L1322" s="408"/>
      <c r="M1322" s="972"/>
      <c r="N1322" s="638"/>
      <c r="P1322" s="936">
        <f t="shared" si="147"/>
        <v>172450</v>
      </c>
      <c r="Q1322" s="942">
        <f t="shared" si="148"/>
        <v>91792</v>
      </c>
      <c r="R1322" s="763">
        <f t="shared" si="149"/>
        <v>53.22818208176283</v>
      </c>
    </row>
    <row r="1323" spans="2:18" ht="12.75">
      <c r="B1323" s="177">
        <f t="shared" si="150"/>
        <v>4</v>
      </c>
      <c r="C1323" s="153"/>
      <c r="D1323" s="154"/>
      <c r="E1323" s="160"/>
      <c r="F1323" s="160">
        <v>610</v>
      </c>
      <c r="G1323" s="206" t="s">
        <v>262</v>
      </c>
      <c r="H1323" s="354">
        <f>84340+2490</f>
        <v>86830</v>
      </c>
      <c r="I1323" s="354">
        <v>42866</v>
      </c>
      <c r="J1323" s="620">
        <f t="shared" si="146"/>
        <v>49.36773004721871</v>
      </c>
      <c r="K1323" s="156"/>
      <c r="L1323" s="352"/>
      <c r="M1323" s="973"/>
      <c r="N1323" s="638"/>
      <c r="P1323" s="801">
        <f t="shared" si="147"/>
        <v>86830</v>
      </c>
      <c r="Q1323" s="809">
        <f t="shared" si="148"/>
        <v>42866</v>
      </c>
      <c r="R1323" s="763">
        <f t="shared" si="149"/>
        <v>49.36773004721871</v>
      </c>
    </row>
    <row r="1324" spans="2:18" ht="12.75">
      <c r="B1324" s="177">
        <f t="shared" si="150"/>
        <v>5</v>
      </c>
      <c r="C1324" s="153"/>
      <c r="D1324" s="154"/>
      <c r="E1324" s="141"/>
      <c r="F1324" s="160">
        <v>620</v>
      </c>
      <c r="G1324" s="206" t="s">
        <v>264</v>
      </c>
      <c r="H1324" s="354">
        <f>29520+870</f>
        <v>30390</v>
      </c>
      <c r="I1324" s="354">
        <v>14979</v>
      </c>
      <c r="J1324" s="620">
        <f t="shared" si="146"/>
        <v>49.289239881539984</v>
      </c>
      <c r="K1324" s="156"/>
      <c r="L1324" s="352"/>
      <c r="M1324" s="973"/>
      <c r="N1324" s="638"/>
      <c r="P1324" s="801">
        <f t="shared" si="147"/>
        <v>30390</v>
      </c>
      <c r="Q1324" s="809">
        <f t="shared" si="148"/>
        <v>14979</v>
      </c>
      <c r="R1324" s="763">
        <f t="shared" si="149"/>
        <v>49.289239881539984</v>
      </c>
    </row>
    <row r="1325" spans="2:18" ht="12.75">
      <c r="B1325" s="177">
        <f t="shared" si="150"/>
        <v>6</v>
      </c>
      <c r="C1325" s="153"/>
      <c r="D1325" s="154"/>
      <c r="E1325" s="141"/>
      <c r="F1325" s="160">
        <v>630</v>
      </c>
      <c r="G1325" s="206" t="s">
        <v>360</v>
      </c>
      <c r="H1325" s="354">
        <f>H1326+H1327+H1328+H1329</f>
        <v>54930</v>
      </c>
      <c r="I1325" s="354">
        <f>I1326+I1327+I1328+I1329</f>
        <v>33740</v>
      </c>
      <c r="J1325" s="620">
        <f t="shared" si="146"/>
        <v>61.42363007464046</v>
      </c>
      <c r="K1325" s="156"/>
      <c r="L1325" s="352"/>
      <c r="M1325" s="973"/>
      <c r="N1325" s="638"/>
      <c r="P1325" s="801">
        <f t="shared" si="147"/>
        <v>54930</v>
      </c>
      <c r="Q1325" s="809">
        <f t="shared" si="148"/>
        <v>33740</v>
      </c>
      <c r="R1325" s="763">
        <f t="shared" si="149"/>
        <v>61.42363007464046</v>
      </c>
    </row>
    <row r="1326" spans="2:18" ht="12.75">
      <c r="B1326" s="177">
        <f t="shared" si="150"/>
        <v>7</v>
      </c>
      <c r="C1326" s="153"/>
      <c r="D1326" s="154"/>
      <c r="E1326" s="141"/>
      <c r="F1326" s="141">
        <v>632</v>
      </c>
      <c r="G1326" s="199" t="s">
        <v>250</v>
      </c>
      <c r="H1326" s="339">
        <f>26380-6000</f>
        <v>20380</v>
      </c>
      <c r="I1326" s="339">
        <v>15439</v>
      </c>
      <c r="J1326" s="620">
        <f t="shared" si="146"/>
        <v>75.75564278704613</v>
      </c>
      <c r="K1326" s="156"/>
      <c r="L1326" s="352"/>
      <c r="M1326" s="973"/>
      <c r="N1326" s="638"/>
      <c r="P1326" s="802">
        <f t="shared" si="147"/>
        <v>20380</v>
      </c>
      <c r="Q1326" s="810">
        <f t="shared" si="148"/>
        <v>15439</v>
      </c>
      <c r="R1326" s="763">
        <f t="shared" si="149"/>
        <v>75.75564278704613</v>
      </c>
    </row>
    <row r="1327" spans="2:18" ht="12.75">
      <c r="B1327" s="177">
        <f t="shared" si="150"/>
        <v>8</v>
      </c>
      <c r="C1327" s="153"/>
      <c r="D1327" s="154"/>
      <c r="E1327" s="141"/>
      <c r="F1327" s="141">
        <v>633</v>
      </c>
      <c r="G1327" s="199" t="s">
        <v>251</v>
      </c>
      <c r="H1327" s="339">
        <f>24700-950</f>
        <v>23750</v>
      </c>
      <c r="I1327" s="339">
        <v>9636</v>
      </c>
      <c r="J1327" s="620">
        <f t="shared" si="146"/>
        <v>40.572631578947366</v>
      </c>
      <c r="K1327" s="156"/>
      <c r="L1327" s="352"/>
      <c r="M1327" s="973"/>
      <c r="N1327" s="638"/>
      <c r="P1327" s="802">
        <f t="shared" si="147"/>
        <v>23750</v>
      </c>
      <c r="Q1327" s="810">
        <f t="shared" si="148"/>
        <v>9636</v>
      </c>
      <c r="R1327" s="763">
        <f t="shared" si="149"/>
        <v>40.572631578947366</v>
      </c>
    </row>
    <row r="1328" spans="2:18" ht="12.75">
      <c r="B1328" s="177">
        <f t="shared" si="150"/>
        <v>9</v>
      </c>
      <c r="C1328" s="153"/>
      <c r="D1328" s="154"/>
      <c r="E1328" s="141"/>
      <c r="F1328" s="141">
        <v>635</v>
      </c>
      <c r="G1328" s="199" t="s">
        <v>266</v>
      </c>
      <c r="H1328" s="339">
        <f>3300+3590</f>
        <v>6890</v>
      </c>
      <c r="I1328" s="339">
        <v>6588</v>
      </c>
      <c r="J1328" s="620">
        <f t="shared" si="146"/>
        <v>95.61683599419449</v>
      </c>
      <c r="K1328" s="156"/>
      <c r="L1328" s="352"/>
      <c r="M1328" s="973"/>
      <c r="N1328" s="638"/>
      <c r="P1328" s="802">
        <f t="shared" si="147"/>
        <v>6890</v>
      </c>
      <c r="Q1328" s="810">
        <f t="shared" si="148"/>
        <v>6588</v>
      </c>
      <c r="R1328" s="763">
        <f t="shared" si="149"/>
        <v>95.61683599419449</v>
      </c>
    </row>
    <row r="1329" spans="2:18" ht="12.75">
      <c r="B1329" s="177">
        <f t="shared" si="150"/>
        <v>10</v>
      </c>
      <c r="C1329" s="153"/>
      <c r="D1329" s="154"/>
      <c r="E1329" s="141"/>
      <c r="F1329" s="141">
        <v>637</v>
      </c>
      <c r="G1329" s="199" t="s">
        <v>252</v>
      </c>
      <c r="H1329" s="339">
        <v>3910</v>
      </c>
      <c r="I1329" s="339">
        <v>2077</v>
      </c>
      <c r="J1329" s="620">
        <f t="shared" si="146"/>
        <v>53.12020460358057</v>
      </c>
      <c r="K1329" s="156"/>
      <c r="L1329" s="352"/>
      <c r="M1329" s="973"/>
      <c r="N1329" s="638"/>
      <c r="P1329" s="802">
        <f t="shared" si="147"/>
        <v>3910</v>
      </c>
      <c r="Q1329" s="810">
        <f t="shared" si="148"/>
        <v>2077</v>
      </c>
      <c r="R1329" s="763">
        <f t="shared" si="149"/>
        <v>53.12020460358057</v>
      </c>
    </row>
    <row r="1330" spans="2:18" ht="12.75">
      <c r="B1330" s="177">
        <f t="shared" si="150"/>
        <v>11</v>
      </c>
      <c r="C1330" s="153"/>
      <c r="D1330" s="154"/>
      <c r="E1330" s="154"/>
      <c r="F1330" s="160">
        <v>640</v>
      </c>
      <c r="G1330" s="206" t="s">
        <v>312</v>
      </c>
      <c r="H1330" s="346">
        <v>300</v>
      </c>
      <c r="I1330" s="346">
        <v>207</v>
      </c>
      <c r="J1330" s="620">
        <f t="shared" si="146"/>
        <v>69</v>
      </c>
      <c r="K1330" s="245"/>
      <c r="L1330" s="155"/>
      <c r="M1330" s="461"/>
      <c r="N1330" s="638"/>
      <c r="P1330" s="804">
        <f t="shared" si="147"/>
        <v>300</v>
      </c>
      <c r="Q1330" s="812">
        <f t="shared" si="148"/>
        <v>207</v>
      </c>
      <c r="R1330" s="763">
        <f t="shared" si="149"/>
        <v>69</v>
      </c>
    </row>
    <row r="1331" spans="2:18" ht="15.75">
      <c r="B1331" s="177">
        <f t="shared" si="150"/>
        <v>12</v>
      </c>
      <c r="C1331" s="21">
        <v>2</v>
      </c>
      <c r="D1331" s="133" t="s">
        <v>232</v>
      </c>
      <c r="E1331" s="22"/>
      <c r="F1331" s="22"/>
      <c r="G1331" s="200"/>
      <c r="H1331" s="369">
        <f>H1332</f>
        <v>1000</v>
      </c>
      <c r="I1331" s="369">
        <f>I1332</f>
        <v>15</v>
      </c>
      <c r="J1331" s="620">
        <f t="shared" si="146"/>
        <v>1.5</v>
      </c>
      <c r="K1331" s="246"/>
      <c r="L1331" s="409">
        <v>0</v>
      </c>
      <c r="M1331" s="974">
        <v>0</v>
      </c>
      <c r="N1331" s="638"/>
      <c r="P1331" s="757">
        <f t="shared" si="147"/>
        <v>1000</v>
      </c>
      <c r="Q1331" s="769">
        <f t="shared" si="148"/>
        <v>15</v>
      </c>
      <c r="R1331" s="763">
        <f t="shared" si="149"/>
        <v>1.5</v>
      </c>
    </row>
    <row r="1332" spans="2:18" ht="12.75">
      <c r="B1332" s="177">
        <f t="shared" si="150"/>
        <v>13</v>
      </c>
      <c r="C1332" s="137"/>
      <c r="D1332" s="137"/>
      <c r="E1332" s="141" t="s">
        <v>295</v>
      </c>
      <c r="F1332" s="141">
        <v>640</v>
      </c>
      <c r="G1332" s="199" t="s">
        <v>296</v>
      </c>
      <c r="H1332" s="335">
        <v>1000</v>
      </c>
      <c r="I1332" s="335">
        <v>15</v>
      </c>
      <c r="J1332" s="620">
        <f t="shared" si="146"/>
        <v>1.5</v>
      </c>
      <c r="K1332" s="187"/>
      <c r="L1332" s="150"/>
      <c r="M1332" s="462"/>
      <c r="N1332" s="638"/>
      <c r="P1332" s="804">
        <f t="shared" si="147"/>
        <v>1000</v>
      </c>
      <c r="Q1332" s="812">
        <f t="shared" si="148"/>
        <v>15</v>
      </c>
      <c r="R1332" s="763">
        <f t="shared" si="149"/>
        <v>1.5</v>
      </c>
    </row>
    <row r="1333" spans="2:18" ht="15.75">
      <c r="B1333" s="177">
        <f t="shared" si="150"/>
        <v>14</v>
      </c>
      <c r="C1333" s="24">
        <v>3</v>
      </c>
      <c r="D1333" s="134" t="s">
        <v>2</v>
      </c>
      <c r="E1333" s="25"/>
      <c r="F1333" s="25"/>
      <c r="G1333" s="198"/>
      <c r="H1333" s="375">
        <f>H1334+H1335+H1336+H1337+H1338+H1346</f>
        <v>16199</v>
      </c>
      <c r="I1333" s="375">
        <f>I1334+I1335+I1336+I1337+I1338+I1346</f>
        <v>15099</v>
      </c>
      <c r="J1333" s="620">
        <f t="shared" si="146"/>
        <v>93.20945737391197</v>
      </c>
      <c r="K1333" s="247"/>
      <c r="L1333" s="409">
        <v>0</v>
      </c>
      <c r="M1333" s="974">
        <v>0</v>
      </c>
      <c r="N1333" s="638"/>
      <c r="P1333" s="757">
        <f t="shared" si="147"/>
        <v>16199</v>
      </c>
      <c r="Q1333" s="769">
        <f t="shared" si="148"/>
        <v>15099</v>
      </c>
      <c r="R1333" s="763">
        <f t="shared" si="149"/>
        <v>93.20945737391197</v>
      </c>
    </row>
    <row r="1334" spans="2:18" ht="12.75">
      <c r="B1334" s="177">
        <f t="shared" si="150"/>
        <v>15</v>
      </c>
      <c r="C1334" s="137"/>
      <c r="D1334" s="169"/>
      <c r="E1334" s="167" t="s">
        <v>297</v>
      </c>
      <c r="F1334" s="167">
        <v>640</v>
      </c>
      <c r="G1334" s="330" t="s">
        <v>298</v>
      </c>
      <c r="H1334" s="454">
        <v>2000</v>
      </c>
      <c r="I1334" s="454">
        <v>900</v>
      </c>
      <c r="J1334" s="620">
        <f t="shared" si="146"/>
        <v>45</v>
      </c>
      <c r="K1334" s="139"/>
      <c r="L1334" s="168"/>
      <c r="M1334" s="452"/>
      <c r="N1334" s="638"/>
      <c r="P1334" s="805">
        <f t="shared" si="147"/>
        <v>2000</v>
      </c>
      <c r="Q1334" s="813">
        <f t="shared" si="148"/>
        <v>900</v>
      </c>
      <c r="R1334" s="763">
        <f t="shared" si="149"/>
        <v>45</v>
      </c>
    </row>
    <row r="1335" spans="2:18" ht="22.5">
      <c r="B1335" s="177">
        <f t="shared" si="150"/>
        <v>16</v>
      </c>
      <c r="C1335" s="137"/>
      <c r="D1335" s="169"/>
      <c r="E1335" s="428" t="s">
        <v>297</v>
      </c>
      <c r="F1335" s="428">
        <v>640</v>
      </c>
      <c r="G1335" s="522" t="s">
        <v>675</v>
      </c>
      <c r="H1335" s="454">
        <v>1077</v>
      </c>
      <c r="I1335" s="454">
        <v>1077</v>
      </c>
      <c r="J1335" s="620">
        <f t="shared" si="146"/>
        <v>100</v>
      </c>
      <c r="K1335" s="139"/>
      <c r="L1335" s="168"/>
      <c r="M1335" s="452"/>
      <c r="N1335" s="638"/>
      <c r="P1335" s="805">
        <f t="shared" si="147"/>
        <v>1077</v>
      </c>
      <c r="Q1335" s="813">
        <f t="shared" si="148"/>
        <v>1077</v>
      </c>
      <c r="R1335" s="763">
        <f t="shared" si="149"/>
        <v>100</v>
      </c>
    </row>
    <row r="1336" spans="2:18" ht="22.5">
      <c r="B1336" s="177">
        <f t="shared" si="150"/>
        <v>17</v>
      </c>
      <c r="C1336" s="137"/>
      <c r="D1336" s="169"/>
      <c r="E1336" s="428" t="s">
        <v>297</v>
      </c>
      <c r="F1336" s="428">
        <v>640</v>
      </c>
      <c r="G1336" s="522" t="s">
        <v>767</v>
      </c>
      <c r="H1336" s="454">
        <v>1000</v>
      </c>
      <c r="I1336" s="454">
        <v>1000</v>
      </c>
      <c r="J1336" s="620">
        <f t="shared" si="146"/>
        <v>100</v>
      </c>
      <c r="K1336" s="139"/>
      <c r="L1336" s="168"/>
      <c r="M1336" s="452"/>
      <c r="N1336" s="638"/>
      <c r="P1336" s="805">
        <f t="shared" si="147"/>
        <v>1000</v>
      </c>
      <c r="Q1336" s="813">
        <f t="shared" si="148"/>
        <v>1000</v>
      </c>
      <c r="R1336" s="763">
        <f t="shared" si="149"/>
        <v>100</v>
      </c>
    </row>
    <row r="1337" spans="2:18" ht="22.5">
      <c r="B1337" s="177">
        <f t="shared" si="150"/>
        <v>18</v>
      </c>
      <c r="C1337" s="137"/>
      <c r="D1337" s="169"/>
      <c r="E1337" s="428" t="s">
        <v>297</v>
      </c>
      <c r="F1337" s="428">
        <v>640</v>
      </c>
      <c r="G1337" s="522" t="s">
        <v>676</v>
      </c>
      <c r="H1337" s="454">
        <v>1940</v>
      </c>
      <c r="I1337" s="454">
        <v>1940</v>
      </c>
      <c r="J1337" s="620">
        <f t="shared" si="146"/>
        <v>100</v>
      </c>
      <c r="K1337" s="139"/>
      <c r="L1337" s="168"/>
      <c r="M1337" s="452"/>
      <c r="N1337" s="638"/>
      <c r="P1337" s="805">
        <f t="shared" si="147"/>
        <v>1940</v>
      </c>
      <c r="Q1337" s="813">
        <f t="shared" si="148"/>
        <v>1940</v>
      </c>
      <c r="R1337" s="763">
        <f t="shared" si="149"/>
        <v>100</v>
      </c>
    </row>
    <row r="1338" spans="2:18" ht="22.5">
      <c r="B1338" s="177">
        <f t="shared" si="150"/>
        <v>19</v>
      </c>
      <c r="C1338" s="137"/>
      <c r="D1338" s="169"/>
      <c r="E1338" s="428" t="s">
        <v>297</v>
      </c>
      <c r="F1338" s="428">
        <v>640</v>
      </c>
      <c r="G1338" s="522" t="s">
        <v>677</v>
      </c>
      <c r="H1338" s="454">
        <f>SUM(H1339:H1345)</f>
        <v>8182</v>
      </c>
      <c r="I1338" s="454">
        <f>SUM(I1339:I1345)</f>
        <v>8182</v>
      </c>
      <c r="J1338" s="620">
        <f t="shared" si="146"/>
        <v>100</v>
      </c>
      <c r="K1338" s="139"/>
      <c r="L1338" s="168"/>
      <c r="M1338" s="452"/>
      <c r="N1338" s="638"/>
      <c r="P1338" s="805">
        <f t="shared" si="147"/>
        <v>8182</v>
      </c>
      <c r="Q1338" s="813">
        <f t="shared" si="148"/>
        <v>8182</v>
      </c>
      <c r="R1338" s="763">
        <f t="shared" si="149"/>
        <v>100</v>
      </c>
    </row>
    <row r="1339" spans="2:18" ht="12.75">
      <c r="B1339" s="177">
        <f t="shared" si="150"/>
        <v>20</v>
      </c>
      <c r="C1339" s="137"/>
      <c r="D1339" s="169"/>
      <c r="E1339" s="428"/>
      <c r="F1339" s="428"/>
      <c r="G1339" s="522" t="s">
        <v>678</v>
      </c>
      <c r="H1339" s="454">
        <v>392</v>
      </c>
      <c r="I1339" s="454">
        <v>392</v>
      </c>
      <c r="J1339" s="620">
        <f t="shared" si="146"/>
        <v>100</v>
      </c>
      <c r="K1339" s="139"/>
      <c r="L1339" s="168"/>
      <c r="M1339" s="452"/>
      <c r="N1339" s="638"/>
      <c r="P1339" s="805">
        <f t="shared" si="147"/>
        <v>392</v>
      </c>
      <c r="Q1339" s="813">
        <f t="shared" si="148"/>
        <v>392</v>
      </c>
      <c r="R1339" s="763">
        <f t="shared" si="149"/>
        <v>100</v>
      </c>
    </row>
    <row r="1340" spans="2:18" ht="12.75">
      <c r="B1340" s="177">
        <f t="shared" si="150"/>
        <v>21</v>
      </c>
      <c r="C1340" s="137"/>
      <c r="D1340" s="169"/>
      <c r="E1340" s="428"/>
      <c r="F1340" s="428"/>
      <c r="G1340" s="522" t="s">
        <v>679</v>
      </c>
      <c r="H1340" s="454">
        <v>1798</v>
      </c>
      <c r="I1340" s="454">
        <v>1798</v>
      </c>
      <c r="J1340" s="620">
        <f t="shared" si="146"/>
        <v>100</v>
      </c>
      <c r="K1340" s="139"/>
      <c r="L1340" s="168"/>
      <c r="M1340" s="452"/>
      <c r="N1340" s="638"/>
      <c r="P1340" s="805">
        <f t="shared" si="147"/>
        <v>1798</v>
      </c>
      <c r="Q1340" s="813">
        <f t="shared" si="148"/>
        <v>1798</v>
      </c>
      <c r="R1340" s="763">
        <f t="shared" si="149"/>
        <v>100</v>
      </c>
    </row>
    <row r="1341" spans="2:18" ht="12.75">
      <c r="B1341" s="177">
        <f t="shared" si="150"/>
        <v>22</v>
      </c>
      <c r="C1341" s="137"/>
      <c r="D1341" s="169"/>
      <c r="E1341" s="428"/>
      <c r="F1341" s="428"/>
      <c r="G1341" s="522" t="s">
        <v>680</v>
      </c>
      <c r="H1341" s="454">
        <v>1505</v>
      </c>
      <c r="I1341" s="454">
        <v>1505</v>
      </c>
      <c r="J1341" s="620">
        <f t="shared" si="146"/>
        <v>100</v>
      </c>
      <c r="K1341" s="139"/>
      <c r="L1341" s="168"/>
      <c r="M1341" s="452"/>
      <c r="N1341" s="638"/>
      <c r="P1341" s="805">
        <f t="shared" si="147"/>
        <v>1505</v>
      </c>
      <c r="Q1341" s="813">
        <f t="shared" si="148"/>
        <v>1505</v>
      </c>
      <c r="R1341" s="763">
        <f t="shared" si="149"/>
        <v>100</v>
      </c>
    </row>
    <row r="1342" spans="2:18" ht="12.75">
      <c r="B1342" s="177">
        <f t="shared" si="150"/>
        <v>23</v>
      </c>
      <c r="C1342" s="137"/>
      <c r="D1342" s="169"/>
      <c r="E1342" s="428"/>
      <c r="F1342" s="428"/>
      <c r="G1342" s="522" t="s">
        <v>681</v>
      </c>
      <c r="H1342" s="454">
        <v>399</v>
      </c>
      <c r="I1342" s="454">
        <v>399</v>
      </c>
      <c r="J1342" s="620">
        <f t="shared" si="146"/>
        <v>100</v>
      </c>
      <c r="K1342" s="139"/>
      <c r="L1342" s="168"/>
      <c r="M1342" s="452"/>
      <c r="N1342" s="638"/>
      <c r="P1342" s="805">
        <f t="shared" si="147"/>
        <v>399</v>
      </c>
      <c r="Q1342" s="813">
        <f t="shared" si="148"/>
        <v>399</v>
      </c>
      <c r="R1342" s="763">
        <f t="shared" si="149"/>
        <v>100</v>
      </c>
    </row>
    <row r="1343" spans="2:18" ht="12.75">
      <c r="B1343" s="177">
        <f t="shared" si="150"/>
        <v>24</v>
      </c>
      <c r="C1343" s="137"/>
      <c r="D1343" s="169"/>
      <c r="E1343" s="428"/>
      <c r="F1343" s="428"/>
      <c r="G1343" s="522" t="s">
        <v>682</v>
      </c>
      <c r="H1343" s="454">
        <v>457</v>
      </c>
      <c r="I1343" s="454">
        <v>457</v>
      </c>
      <c r="J1343" s="620">
        <f t="shared" si="146"/>
        <v>100</v>
      </c>
      <c r="K1343" s="139"/>
      <c r="L1343" s="168"/>
      <c r="M1343" s="452"/>
      <c r="N1343" s="638"/>
      <c r="P1343" s="805">
        <f t="shared" si="147"/>
        <v>457</v>
      </c>
      <c r="Q1343" s="813">
        <f t="shared" si="148"/>
        <v>457</v>
      </c>
      <c r="R1343" s="763">
        <f t="shared" si="149"/>
        <v>100</v>
      </c>
    </row>
    <row r="1344" spans="2:18" ht="12.75">
      <c r="B1344" s="177">
        <f t="shared" si="150"/>
        <v>25</v>
      </c>
      <c r="C1344" s="137"/>
      <c r="D1344" s="169"/>
      <c r="E1344" s="428"/>
      <c r="F1344" s="428"/>
      <c r="G1344" s="522" t="s">
        <v>683</v>
      </c>
      <c r="H1344" s="454">
        <v>1020</v>
      </c>
      <c r="I1344" s="454">
        <v>1020</v>
      </c>
      <c r="J1344" s="620">
        <f t="shared" si="146"/>
        <v>100</v>
      </c>
      <c r="K1344" s="139"/>
      <c r="L1344" s="168"/>
      <c r="M1344" s="452"/>
      <c r="N1344" s="638"/>
      <c r="P1344" s="805">
        <f t="shared" si="147"/>
        <v>1020</v>
      </c>
      <c r="Q1344" s="813">
        <f t="shared" si="148"/>
        <v>1020</v>
      </c>
      <c r="R1344" s="763">
        <f t="shared" si="149"/>
        <v>100</v>
      </c>
    </row>
    <row r="1345" spans="2:18" ht="12.75">
      <c r="B1345" s="177">
        <f t="shared" si="150"/>
        <v>26</v>
      </c>
      <c r="C1345" s="137"/>
      <c r="D1345" s="169"/>
      <c r="E1345" s="428"/>
      <c r="F1345" s="428"/>
      <c r="G1345" s="522" t="s">
        <v>684</v>
      </c>
      <c r="H1345" s="454">
        <v>2611</v>
      </c>
      <c r="I1345" s="454">
        <v>2611</v>
      </c>
      <c r="J1345" s="620">
        <f t="shared" si="146"/>
        <v>100</v>
      </c>
      <c r="K1345" s="139"/>
      <c r="L1345" s="168"/>
      <c r="M1345" s="452"/>
      <c r="N1345" s="638"/>
      <c r="P1345" s="805">
        <f t="shared" si="147"/>
        <v>2611</v>
      </c>
      <c r="Q1345" s="813">
        <f t="shared" si="148"/>
        <v>2611</v>
      </c>
      <c r="R1345" s="763">
        <f t="shared" si="149"/>
        <v>100</v>
      </c>
    </row>
    <row r="1346" spans="2:18" ht="33.75">
      <c r="B1346" s="177">
        <f t="shared" si="150"/>
        <v>27</v>
      </c>
      <c r="C1346" s="137"/>
      <c r="D1346" s="169"/>
      <c r="E1346" s="428" t="s">
        <v>297</v>
      </c>
      <c r="F1346" s="428">
        <v>640</v>
      </c>
      <c r="G1346" s="526" t="s">
        <v>693</v>
      </c>
      <c r="H1346" s="531">
        <v>2000</v>
      </c>
      <c r="I1346" s="531">
        <v>2000</v>
      </c>
      <c r="J1346" s="634">
        <f t="shared" si="146"/>
        <v>100</v>
      </c>
      <c r="K1346" s="139"/>
      <c r="L1346" s="168"/>
      <c r="M1346" s="452"/>
      <c r="N1346" s="638"/>
      <c r="P1346" s="930">
        <f t="shared" si="147"/>
        <v>2000</v>
      </c>
      <c r="Q1346" s="933">
        <f t="shared" si="148"/>
        <v>2000</v>
      </c>
      <c r="R1346" s="820">
        <f t="shared" si="149"/>
        <v>100</v>
      </c>
    </row>
    <row r="1347" spans="2:18" ht="15.75">
      <c r="B1347" s="177">
        <f t="shared" si="150"/>
        <v>28</v>
      </c>
      <c r="C1347" s="24">
        <v>4</v>
      </c>
      <c r="D1347" s="134" t="s">
        <v>337</v>
      </c>
      <c r="E1347" s="25"/>
      <c r="F1347" s="25"/>
      <c r="G1347" s="198"/>
      <c r="H1347" s="372">
        <f>H1348</f>
        <v>22460</v>
      </c>
      <c r="I1347" s="372">
        <f>I1348</f>
        <v>19037</v>
      </c>
      <c r="J1347" s="620">
        <f t="shared" si="146"/>
        <v>84.75957257346394</v>
      </c>
      <c r="K1347" s="90"/>
      <c r="L1347" s="410">
        <v>0</v>
      </c>
      <c r="M1347" s="975">
        <v>0</v>
      </c>
      <c r="N1347" s="638"/>
      <c r="P1347" s="754">
        <f t="shared" si="147"/>
        <v>22460</v>
      </c>
      <c r="Q1347" s="766">
        <f t="shared" si="148"/>
        <v>19037</v>
      </c>
      <c r="R1347" s="763">
        <f t="shared" si="149"/>
        <v>84.75957257346394</v>
      </c>
    </row>
    <row r="1348" spans="2:18" ht="12.75">
      <c r="B1348" s="177">
        <f t="shared" si="150"/>
        <v>29</v>
      </c>
      <c r="C1348" s="142"/>
      <c r="D1348" s="142"/>
      <c r="E1348" s="324" t="s">
        <v>338</v>
      </c>
      <c r="F1348" s="324"/>
      <c r="G1348" s="325" t="s">
        <v>485</v>
      </c>
      <c r="H1348" s="364">
        <f>H1349+H1350+H1351</f>
        <v>22460</v>
      </c>
      <c r="I1348" s="364">
        <f>I1349+I1350+I1351</f>
        <v>19037</v>
      </c>
      <c r="J1348" s="620">
        <f t="shared" si="146"/>
        <v>84.75957257346394</v>
      </c>
      <c r="K1348" s="327"/>
      <c r="L1348" s="411"/>
      <c r="M1348" s="976"/>
      <c r="N1348" s="638"/>
      <c r="P1348" s="937">
        <f t="shared" si="147"/>
        <v>22460</v>
      </c>
      <c r="Q1348" s="943">
        <f t="shared" si="148"/>
        <v>19037</v>
      </c>
      <c r="R1348" s="763">
        <f t="shared" si="149"/>
        <v>84.75957257346394</v>
      </c>
    </row>
    <row r="1349" spans="2:18" ht="12.75">
      <c r="B1349" s="177">
        <f t="shared" si="150"/>
        <v>30</v>
      </c>
      <c r="C1349" s="137"/>
      <c r="D1349" s="137"/>
      <c r="E1349" s="160"/>
      <c r="F1349" s="160">
        <v>610</v>
      </c>
      <c r="G1349" s="206" t="s">
        <v>262</v>
      </c>
      <c r="H1349" s="346">
        <v>10205</v>
      </c>
      <c r="I1349" s="346">
        <v>9830</v>
      </c>
      <c r="J1349" s="620">
        <f t="shared" si="146"/>
        <v>96.32533072023519</v>
      </c>
      <c r="K1349" s="139"/>
      <c r="L1349" s="150"/>
      <c r="M1349" s="462"/>
      <c r="N1349" s="638"/>
      <c r="P1349" s="830">
        <f t="shared" si="147"/>
        <v>10205</v>
      </c>
      <c r="Q1349" s="844">
        <f t="shared" si="148"/>
        <v>9830</v>
      </c>
      <c r="R1349" s="763">
        <f t="shared" si="149"/>
        <v>96.32533072023519</v>
      </c>
    </row>
    <row r="1350" spans="2:18" ht="12.75">
      <c r="B1350" s="177">
        <f t="shared" si="150"/>
        <v>31</v>
      </c>
      <c r="C1350" s="137"/>
      <c r="D1350" s="137"/>
      <c r="E1350" s="141"/>
      <c r="F1350" s="160">
        <v>620</v>
      </c>
      <c r="G1350" s="206" t="s">
        <v>264</v>
      </c>
      <c r="H1350" s="346">
        <v>3570</v>
      </c>
      <c r="I1350" s="346">
        <v>3429</v>
      </c>
      <c r="J1350" s="620">
        <f t="shared" si="146"/>
        <v>96.05042016806723</v>
      </c>
      <c r="K1350" s="139"/>
      <c r="L1350" s="150"/>
      <c r="M1350" s="462"/>
      <c r="N1350" s="638"/>
      <c r="P1350" s="830">
        <f t="shared" si="147"/>
        <v>3570</v>
      </c>
      <c r="Q1350" s="844">
        <f t="shared" si="148"/>
        <v>3429</v>
      </c>
      <c r="R1350" s="763">
        <f t="shared" si="149"/>
        <v>96.05042016806723</v>
      </c>
    </row>
    <row r="1351" spans="2:18" ht="12.75">
      <c r="B1351" s="177">
        <f t="shared" si="150"/>
        <v>32</v>
      </c>
      <c r="C1351" s="137"/>
      <c r="D1351" s="137"/>
      <c r="E1351" s="141"/>
      <c r="F1351" s="160">
        <v>630</v>
      </c>
      <c r="G1351" s="206" t="s">
        <v>360</v>
      </c>
      <c r="H1351" s="346">
        <f>H1352+H1353+H1354+H1355</f>
        <v>8685</v>
      </c>
      <c r="I1351" s="346">
        <f>I1352+I1353+I1354+I1355</f>
        <v>5778</v>
      </c>
      <c r="J1351" s="620">
        <f t="shared" si="146"/>
        <v>66.52849740932642</v>
      </c>
      <c r="K1351" s="139"/>
      <c r="L1351" s="150"/>
      <c r="M1351" s="462"/>
      <c r="N1351" s="638"/>
      <c r="P1351" s="830">
        <f t="shared" si="147"/>
        <v>8685</v>
      </c>
      <c r="Q1351" s="844">
        <f t="shared" si="148"/>
        <v>5778</v>
      </c>
      <c r="R1351" s="763">
        <f t="shared" si="149"/>
        <v>66.52849740932642</v>
      </c>
    </row>
    <row r="1352" spans="2:18" ht="12.75">
      <c r="B1352" s="177">
        <f t="shared" si="150"/>
        <v>33</v>
      </c>
      <c r="C1352" s="137"/>
      <c r="D1352" s="137"/>
      <c r="E1352" s="141"/>
      <c r="F1352" s="141">
        <v>632</v>
      </c>
      <c r="G1352" s="199" t="s">
        <v>250</v>
      </c>
      <c r="H1352" s="335">
        <f>5530-400</f>
        <v>5130</v>
      </c>
      <c r="I1352" s="335">
        <v>4277</v>
      </c>
      <c r="J1352" s="620">
        <f aca="true" t="shared" si="151" ref="J1352:J1383">I1352/H1352*100</f>
        <v>83.37231968810916</v>
      </c>
      <c r="K1352" s="139"/>
      <c r="L1352" s="150"/>
      <c r="M1352" s="462"/>
      <c r="N1352" s="638"/>
      <c r="P1352" s="804">
        <f aca="true" t="shared" si="152" ref="P1352:P1386">H1352+L1352</f>
        <v>5130</v>
      </c>
      <c r="Q1352" s="812">
        <f aca="true" t="shared" si="153" ref="Q1352:Q1386">I1352+M1352</f>
        <v>4277</v>
      </c>
      <c r="R1352" s="763">
        <f aca="true" t="shared" si="154" ref="R1352:R1383">Q1352/P1352*100</f>
        <v>83.37231968810916</v>
      </c>
    </row>
    <row r="1353" spans="2:18" ht="12.75">
      <c r="B1353" s="177">
        <f aca="true" t="shared" si="155" ref="B1353:B1384">B1352+1</f>
        <v>34</v>
      </c>
      <c r="C1353" s="137"/>
      <c r="D1353" s="137"/>
      <c r="E1353" s="141"/>
      <c r="F1353" s="141">
        <v>633</v>
      </c>
      <c r="G1353" s="199" t="s">
        <v>251</v>
      </c>
      <c r="H1353" s="335">
        <v>430</v>
      </c>
      <c r="I1353" s="335">
        <v>9</v>
      </c>
      <c r="J1353" s="620">
        <f t="shared" si="151"/>
        <v>2.0930232558139537</v>
      </c>
      <c r="K1353" s="139"/>
      <c r="L1353" s="150"/>
      <c r="M1353" s="462"/>
      <c r="N1353" s="638"/>
      <c r="P1353" s="804">
        <f t="shared" si="152"/>
        <v>430</v>
      </c>
      <c r="Q1353" s="812">
        <f t="shared" si="153"/>
        <v>9</v>
      </c>
      <c r="R1353" s="763">
        <f t="shared" si="154"/>
        <v>2.0930232558139537</v>
      </c>
    </row>
    <row r="1354" spans="2:18" ht="12.75">
      <c r="B1354" s="177">
        <f t="shared" si="155"/>
        <v>35</v>
      </c>
      <c r="C1354" s="137"/>
      <c r="D1354" s="137"/>
      <c r="E1354" s="141"/>
      <c r="F1354" s="141">
        <v>635</v>
      </c>
      <c r="G1354" s="199" t="s">
        <v>266</v>
      </c>
      <c r="H1354" s="335">
        <f>920-160</f>
        <v>760</v>
      </c>
      <c r="I1354" s="335">
        <v>180</v>
      </c>
      <c r="J1354" s="620">
        <f t="shared" si="151"/>
        <v>23.684210526315788</v>
      </c>
      <c r="K1354" s="139"/>
      <c r="L1354" s="150"/>
      <c r="M1354" s="462"/>
      <c r="N1354" s="638"/>
      <c r="P1354" s="804">
        <f t="shared" si="152"/>
        <v>760</v>
      </c>
      <c r="Q1354" s="812">
        <f t="shared" si="153"/>
        <v>180</v>
      </c>
      <c r="R1354" s="763">
        <f t="shared" si="154"/>
        <v>23.684210526315788</v>
      </c>
    </row>
    <row r="1355" spans="2:18" ht="12.75">
      <c r="B1355" s="177">
        <f t="shared" si="155"/>
        <v>36</v>
      </c>
      <c r="C1355" s="137"/>
      <c r="D1355" s="137"/>
      <c r="E1355" s="141"/>
      <c r="F1355" s="141">
        <v>637</v>
      </c>
      <c r="G1355" s="199" t="s">
        <v>339</v>
      </c>
      <c r="H1355" s="335">
        <f>1805+560</f>
        <v>2365</v>
      </c>
      <c r="I1355" s="335">
        <v>1312</v>
      </c>
      <c r="J1355" s="620">
        <f t="shared" si="151"/>
        <v>55.47568710359408</v>
      </c>
      <c r="K1355" s="139"/>
      <c r="L1355" s="150"/>
      <c r="M1355" s="462"/>
      <c r="N1355" s="638"/>
      <c r="P1355" s="804">
        <f t="shared" si="152"/>
        <v>2365</v>
      </c>
      <c r="Q1355" s="812">
        <f t="shared" si="153"/>
        <v>1312</v>
      </c>
      <c r="R1355" s="763">
        <f t="shared" si="154"/>
        <v>55.47568710359408</v>
      </c>
    </row>
    <row r="1356" spans="2:18" ht="15.75">
      <c r="B1356" s="177">
        <f t="shared" si="155"/>
        <v>37</v>
      </c>
      <c r="C1356" s="24">
        <v>5</v>
      </c>
      <c r="D1356" s="134" t="s">
        <v>145</v>
      </c>
      <c r="E1356" s="25"/>
      <c r="F1356" s="25"/>
      <c r="G1356" s="198"/>
      <c r="H1356" s="372">
        <f>H1357+H1369+H1381</f>
        <v>398096</v>
      </c>
      <c r="I1356" s="372">
        <f>I1357+I1369+I1381</f>
        <v>188621</v>
      </c>
      <c r="J1356" s="620">
        <f t="shared" si="151"/>
        <v>47.38078252481813</v>
      </c>
      <c r="K1356" s="90"/>
      <c r="L1356" s="410">
        <v>0</v>
      </c>
      <c r="M1356" s="975">
        <v>0</v>
      </c>
      <c r="N1356" s="638"/>
      <c r="P1356" s="754">
        <f t="shared" si="152"/>
        <v>398096</v>
      </c>
      <c r="Q1356" s="766">
        <f t="shared" si="153"/>
        <v>188621</v>
      </c>
      <c r="R1356" s="763">
        <f t="shared" si="154"/>
        <v>47.38078252481813</v>
      </c>
    </row>
    <row r="1357" spans="2:18" ht="12.75">
      <c r="B1357" s="177">
        <f t="shared" si="155"/>
        <v>38</v>
      </c>
      <c r="C1357" s="77"/>
      <c r="D1357" s="183" t="s">
        <v>4</v>
      </c>
      <c r="E1357" s="235" t="s">
        <v>274</v>
      </c>
      <c r="F1357" s="236" t="s">
        <v>490</v>
      </c>
      <c r="G1357" s="237"/>
      <c r="H1357" s="345">
        <f>H1358</f>
        <v>5801</v>
      </c>
      <c r="I1357" s="345">
        <f>I1358</f>
        <v>667</v>
      </c>
      <c r="J1357" s="620">
        <f t="shared" si="151"/>
        <v>11.498017583175315</v>
      </c>
      <c r="K1357" s="20"/>
      <c r="L1357" s="407"/>
      <c r="M1357" s="977"/>
      <c r="N1357" s="638"/>
      <c r="P1357" s="938">
        <f t="shared" si="152"/>
        <v>5801</v>
      </c>
      <c r="Q1357" s="944">
        <f t="shared" si="153"/>
        <v>667</v>
      </c>
      <c r="R1357" s="763">
        <f t="shared" si="154"/>
        <v>11.498017583175315</v>
      </c>
    </row>
    <row r="1358" spans="2:18" ht="12.75">
      <c r="B1358" s="177">
        <f t="shared" si="155"/>
        <v>39</v>
      </c>
      <c r="C1358" s="137"/>
      <c r="D1358" s="137"/>
      <c r="E1358" s="141"/>
      <c r="F1358" s="160">
        <v>630</v>
      </c>
      <c r="G1358" s="206" t="s">
        <v>239</v>
      </c>
      <c r="H1358" s="346">
        <f>SUM(H1359:H1368)</f>
        <v>5801</v>
      </c>
      <c r="I1358" s="346">
        <f>SUM(I1359:I1368)</f>
        <v>667</v>
      </c>
      <c r="J1358" s="620">
        <f t="shared" si="151"/>
        <v>11.498017583175315</v>
      </c>
      <c r="K1358" s="139"/>
      <c r="L1358" s="150"/>
      <c r="M1358" s="462"/>
      <c r="N1358" s="638"/>
      <c r="P1358" s="939">
        <f t="shared" si="152"/>
        <v>5801</v>
      </c>
      <c r="Q1358" s="945">
        <f t="shared" si="153"/>
        <v>667</v>
      </c>
      <c r="R1358" s="763">
        <f t="shared" si="154"/>
        <v>11.498017583175315</v>
      </c>
    </row>
    <row r="1359" spans="2:18" ht="12.75">
      <c r="B1359" s="177">
        <f t="shared" si="155"/>
        <v>40</v>
      </c>
      <c r="C1359" s="137"/>
      <c r="D1359" s="137"/>
      <c r="E1359" s="523" t="s">
        <v>297</v>
      </c>
      <c r="F1359" s="524">
        <v>630</v>
      </c>
      <c r="G1359" s="525" t="s">
        <v>685</v>
      </c>
      <c r="H1359" s="335">
        <v>492</v>
      </c>
      <c r="I1359" s="335">
        <v>0</v>
      </c>
      <c r="J1359" s="620">
        <f t="shared" si="151"/>
        <v>0</v>
      </c>
      <c r="K1359" s="139"/>
      <c r="L1359" s="150"/>
      <c r="M1359" s="462"/>
      <c r="N1359" s="638"/>
      <c r="P1359" s="939">
        <f t="shared" si="152"/>
        <v>492</v>
      </c>
      <c r="Q1359" s="945">
        <f t="shared" si="153"/>
        <v>0</v>
      </c>
      <c r="R1359" s="763">
        <f t="shared" si="154"/>
        <v>0</v>
      </c>
    </row>
    <row r="1360" spans="2:18" ht="12.75">
      <c r="B1360" s="177">
        <f t="shared" si="155"/>
        <v>41</v>
      </c>
      <c r="C1360" s="137"/>
      <c r="D1360" s="137"/>
      <c r="E1360" s="523" t="s">
        <v>297</v>
      </c>
      <c r="F1360" s="524">
        <v>630</v>
      </c>
      <c r="G1360" s="525" t="s">
        <v>686</v>
      </c>
      <c r="H1360" s="335">
        <v>507</v>
      </c>
      <c r="I1360" s="335">
        <v>0</v>
      </c>
      <c r="J1360" s="620">
        <f t="shared" si="151"/>
        <v>0</v>
      </c>
      <c r="K1360" s="139"/>
      <c r="L1360" s="150"/>
      <c r="M1360" s="462"/>
      <c r="N1360" s="638"/>
      <c r="P1360" s="939">
        <f t="shared" si="152"/>
        <v>507</v>
      </c>
      <c r="Q1360" s="945">
        <f t="shared" si="153"/>
        <v>0</v>
      </c>
      <c r="R1360" s="763">
        <f t="shared" si="154"/>
        <v>0</v>
      </c>
    </row>
    <row r="1361" spans="2:18" ht="12.75">
      <c r="B1361" s="177">
        <f t="shared" si="155"/>
        <v>42</v>
      </c>
      <c r="C1361" s="137"/>
      <c r="D1361" s="137"/>
      <c r="E1361" s="523" t="s">
        <v>297</v>
      </c>
      <c r="F1361" s="524">
        <v>630</v>
      </c>
      <c r="G1361" s="525" t="s">
        <v>687</v>
      </c>
      <c r="H1361" s="335">
        <v>706</v>
      </c>
      <c r="I1361" s="335">
        <v>0</v>
      </c>
      <c r="J1361" s="620">
        <f t="shared" si="151"/>
        <v>0</v>
      </c>
      <c r="K1361" s="139"/>
      <c r="L1361" s="150"/>
      <c r="M1361" s="462"/>
      <c r="N1361" s="638"/>
      <c r="P1361" s="939">
        <f t="shared" si="152"/>
        <v>706</v>
      </c>
      <c r="Q1361" s="945">
        <f t="shared" si="153"/>
        <v>0</v>
      </c>
      <c r="R1361" s="763">
        <f t="shared" si="154"/>
        <v>0</v>
      </c>
    </row>
    <row r="1362" spans="2:18" ht="12.75">
      <c r="B1362" s="177">
        <f t="shared" si="155"/>
        <v>43</v>
      </c>
      <c r="C1362" s="137"/>
      <c r="D1362" s="137"/>
      <c r="E1362" s="523" t="s">
        <v>297</v>
      </c>
      <c r="F1362" s="524">
        <v>630</v>
      </c>
      <c r="G1362" s="525" t="s">
        <v>688</v>
      </c>
      <c r="H1362" s="335">
        <v>428</v>
      </c>
      <c r="I1362" s="335">
        <v>0</v>
      </c>
      <c r="J1362" s="620">
        <f t="shared" si="151"/>
        <v>0</v>
      </c>
      <c r="K1362" s="139"/>
      <c r="L1362" s="150"/>
      <c r="M1362" s="462"/>
      <c r="N1362" s="638"/>
      <c r="P1362" s="939">
        <f t="shared" si="152"/>
        <v>428</v>
      </c>
      <c r="Q1362" s="945">
        <f t="shared" si="153"/>
        <v>0</v>
      </c>
      <c r="R1362" s="763">
        <f t="shared" si="154"/>
        <v>0</v>
      </c>
    </row>
    <row r="1363" spans="2:18" ht="12.75">
      <c r="B1363" s="177">
        <f t="shared" si="155"/>
        <v>44</v>
      </c>
      <c r="C1363" s="137"/>
      <c r="D1363" s="137"/>
      <c r="E1363" s="523" t="s">
        <v>297</v>
      </c>
      <c r="F1363" s="524">
        <v>630</v>
      </c>
      <c r="G1363" s="525" t="s">
        <v>689</v>
      </c>
      <c r="H1363" s="335">
        <v>499</v>
      </c>
      <c r="I1363" s="335">
        <v>0</v>
      </c>
      <c r="J1363" s="620">
        <f t="shared" si="151"/>
        <v>0</v>
      </c>
      <c r="K1363" s="139"/>
      <c r="L1363" s="150"/>
      <c r="M1363" s="462"/>
      <c r="N1363" s="638"/>
      <c r="P1363" s="939">
        <f t="shared" si="152"/>
        <v>499</v>
      </c>
      <c r="Q1363" s="945">
        <f t="shared" si="153"/>
        <v>0</v>
      </c>
      <c r="R1363" s="763">
        <f t="shared" si="154"/>
        <v>0</v>
      </c>
    </row>
    <row r="1364" spans="2:18" ht="12.75">
      <c r="B1364" s="177">
        <f t="shared" si="155"/>
        <v>45</v>
      </c>
      <c r="C1364" s="137"/>
      <c r="D1364" s="137"/>
      <c r="E1364" s="523" t="s">
        <v>297</v>
      </c>
      <c r="F1364" s="524">
        <v>630</v>
      </c>
      <c r="G1364" s="525" t="s">
        <v>690</v>
      </c>
      <c r="H1364" s="335">
        <v>1077</v>
      </c>
      <c r="I1364" s="335">
        <v>454</v>
      </c>
      <c r="J1364" s="620">
        <f t="shared" si="151"/>
        <v>42.15413184772516</v>
      </c>
      <c r="K1364" s="139"/>
      <c r="L1364" s="150"/>
      <c r="M1364" s="462"/>
      <c r="N1364" s="638"/>
      <c r="P1364" s="939">
        <f t="shared" si="152"/>
        <v>1077</v>
      </c>
      <c r="Q1364" s="945">
        <f t="shared" si="153"/>
        <v>454</v>
      </c>
      <c r="R1364" s="763">
        <f t="shared" si="154"/>
        <v>42.15413184772516</v>
      </c>
    </row>
    <row r="1365" spans="2:18" ht="12.75">
      <c r="B1365" s="177">
        <f t="shared" si="155"/>
        <v>46</v>
      </c>
      <c r="C1365" s="137"/>
      <c r="D1365" s="137"/>
      <c r="E1365" s="523" t="s">
        <v>297</v>
      </c>
      <c r="F1365" s="524">
        <v>630</v>
      </c>
      <c r="G1365" s="525" t="s">
        <v>691</v>
      </c>
      <c r="H1365" s="335">
        <v>678</v>
      </c>
      <c r="I1365" s="335">
        <v>0</v>
      </c>
      <c r="J1365" s="620">
        <f t="shared" si="151"/>
        <v>0</v>
      </c>
      <c r="K1365" s="139"/>
      <c r="L1365" s="150"/>
      <c r="M1365" s="462"/>
      <c r="N1365" s="638"/>
      <c r="P1365" s="939">
        <f t="shared" si="152"/>
        <v>678</v>
      </c>
      <c r="Q1365" s="945">
        <f t="shared" si="153"/>
        <v>0</v>
      </c>
      <c r="R1365" s="763">
        <f t="shared" si="154"/>
        <v>0</v>
      </c>
    </row>
    <row r="1366" spans="2:18" ht="12.75">
      <c r="B1366" s="177">
        <f t="shared" si="155"/>
        <v>47</v>
      </c>
      <c r="C1366" s="137"/>
      <c r="D1366" s="137"/>
      <c r="E1366" s="523" t="s">
        <v>297</v>
      </c>
      <c r="F1366" s="524">
        <v>630</v>
      </c>
      <c r="G1366" s="525" t="s">
        <v>692</v>
      </c>
      <c r="H1366" s="335">
        <v>414</v>
      </c>
      <c r="I1366" s="335">
        <v>213</v>
      </c>
      <c r="J1366" s="620">
        <f t="shared" si="151"/>
        <v>51.449275362318836</v>
      </c>
      <c r="K1366" s="139"/>
      <c r="L1366" s="150"/>
      <c r="M1366" s="462"/>
      <c r="N1366" s="638"/>
      <c r="P1366" s="939">
        <f t="shared" si="152"/>
        <v>414</v>
      </c>
      <c r="Q1366" s="945">
        <f t="shared" si="153"/>
        <v>213</v>
      </c>
      <c r="R1366" s="763">
        <f t="shared" si="154"/>
        <v>51.449275362318836</v>
      </c>
    </row>
    <row r="1367" spans="2:18" ht="24">
      <c r="B1367" s="177">
        <f t="shared" si="155"/>
        <v>48</v>
      </c>
      <c r="C1367" s="430"/>
      <c r="D1367" s="430"/>
      <c r="E1367" s="458"/>
      <c r="F1367" s="433">
        <v>634</v>
      </c>
      <c r="G1367" s="533" t="s">
        <v>640</v>
      </c>
      <c r="H1367" s="435">
        <v>650</v>
      </c>
      <c r="I1367" s="435">
        <v>0</v>
      </c>
      <c r="J1367" s="620">
        <f t="shared" si="151"/>
        <v>0</v>
      </c>
      <c r="K1367" s="421"/>
      <c r="L1367" s="534"/>
      <c r="M1367" s="978"/>
      <c r="N1367" s="638"/>
      <c r="P1367" s="940">
        <f t="shared" si="152"/>
        <v>650</v>
      </c>
      <c r="Q1367" s="946">
        <f t="shared" si="153"/>
        <v>0</v>
      </c>
      <c r="R1367" s="763">
        <f t="shared" si="154"/>
        <v>0</v>
      </c>
    </row>
    <row r="1368" spans="2:18" ht="24">
      <c r="B1368" s="177">
        <f t="shared" si="155"/>
        <v>49</v>
      </c>
      <c r="C1368" s="430"/>
      <c r="D1368" s="430"/>
      <c r="E1368" s="458"/>
      <c r="F1368" s="433">
        <v>637</v>
      </c>
      <c r="G1368" s="533" t="s">
        <v>640</v>
      </c>
      <c r="H1368" s="435">
        <v>350</v>
      </c>
      <c r="I1368" s="435">
        <v>0</v>
      </c>
      <c r="J1368" s="620">
        <f t="shared" si="151"/>
        <v>0</v>
      </c>
      <c r="K1368" s="421"/>
      <c r="L1368" s="534"/>
      <c r="M1368" s="978"/>
      <c r="N1368" s="638"/>
      <c r="P1368" s="940">
        <f t="shared" si="152"/>
        <v>350</v>
      </c>
      <c r="Q1368" s="946">
        <f t="shared" si="153"/>
        <v>0</v>
      </c>
      <c r="R1368" s="763">
        <f t="shared" si="154"/>
        <v>0</v>
      </c>
    </row>
    <row r="1369" spans="2:18" ht="12.75">
      <c r="B1369" s="177">
        <f t="shared" si="155"/>
        <v>50</v>
      </c>
      <c r="C1369" s="77"/>
      <c r="D1369" s="183" t="s">
        <v>5</v>
      </c>
      <c r="E1369" s="236"/>
      <c r="F1369" s="236" t="s">
        <v>191</v>
      </c>
      <c r="G1369" s="237"/>
      <c r="H1369" s="345">
        <f>H1370</f>
        <v>372295</v>
      </c>
      <c r="I1369" s="345">
        <f>I1370</f>
        <v>178013</v>
      </c>
      <c r="J1369" s="620">
        <f t="shared" si="151"/>
        <v>47.8150391490619</v>
      </c>
      <c r="K1369" s="20"/>
      <c r="L1369" s="407"/>
      <c r="M1369" s="977"/>
      <c r="N1369" s="638"/>
      <c r="P1369" s="941">
        <f t="shared" si="152"/>
        <v>372295</v>
      </c>
      <c r="Q1369" s="947">
        <f t="shared" si="153"/>
        <v>178013</v>
      </c>
      <c r="R1369" s="763">
        <f t="shared" si="154"/>
        <v>47.8150391490619</v>
      </c>
    </row>
    <row r="1370" spans="2:18" ht="12.75">
      <c r="B1370" s="177">
        <f t="shared" si="155"/>
        <v>51</v>
      </c>
      <c r="C1370" s="137"/>
      <c r="D1370" s="137"/>
      <c r="E1370" s="324" t="s">
        <v>274</v>
      </c>
      <c r="F1370" s="324"/>
      <c r="G1370" s="325" t="s">
        <v>306</v>
      </c>
      <c r="H1370" s="364">
        <f>H1371+H1372+H1373+H1380</f>
        <v>372295</v>
      </c>
      <c r="I1370" s="364">
        <f>I1371+I1372+I1373+I1380</f>
        <v>178013</v>
      </c>
      <c r="J1370" s="620">
        <f t="shared" si="151"/>
        <v>47.8150391490619</v>
      </c>
      <c r="K1370" s="327"/>
      <c r="L1370" s="411"/>
      <c r="M1370" s="976"/>
      <c r="N1370" s="638"/>
      <c r="P1370" s="937">
        <f t="shared" si="152"/>
        <v>372295</v>
      </c>
      <c r="Q1370" s="943">
        <f t="shared" si="153"/>
        <v>178013</v>
      </c>
      <c r="R1370" s="763">
        <f t="shared" si="154"/>
        <v>47.8150391490619</v>
      </c>
    </row>
    <row r="1371" spans="2:18" ht="12.75">
      <c r="B1371" s="177">
        <f t="shared" si="155"/>
        <v>52</v>
      </c>
      <c r="C1371" s="137"/>
      <c r="D1371" s="137"/>
      <c r="E1371" s="160"/>
      <c r="F1371" s="160">
        <v>610</v>
      </c>
      <c r="G1371" s="206" t="s">
        <v>262</v>
      </c>
      <c r="H1371" s="346">
        <f>130760+14160</f>
        <v>144920</v>
      </c>
      <c r="I1371" s="346">
        <v>62721</v>
      </c>
      <c r="J1371" s="620">
        <f t="shared" si="151"/>
        <v>43.279740546508414</v>
      </c>
      <c r="K1371" s="139"/>
      <c r="L1371" s="150"/>
      <c r="M1371" s="462"/>
      <c r="N1371" s="638"/>
      <c r="P1371" s="830">
        <f t="shared" si="152"/>
        <v>144920</v>
      </c>
      <c r="Q1371" s="844">
        <f t="shared" si="153"/>
        <v>62721</v>
      </c>
      <c r="R1371" s="763">
        <f t="shared" si="154"/>
        <v>43.279740546508414</v>
      </c>
    </row>
    <row r="1372" spans="2:18" ht="12.75">
      <c r="B1372" s="177">
        <f t="shared" si="155"/>
        <v>53</v>
      </c>
      <c r="C1372" s="137"/>
      <c r="D1372" s="137"/>
      <c r="E1372" s="141"/>
      <c r="F1372" s="160">
        <v>620</v>
      </c>
      <c r="G1372" s="206" t="s">
        <v>264</v>
      </c>
      <c r="H1372" s="346">
        <f>45765+4985</f>
        <v>50750</v>
      </c>
      <c r="I1372" s="346">
        <v>20858</v>
      </c>
      <c r="J1372" s="620">
        <f t="shared" si="151"/>
        <v>41.09950738916256</v>
      </c>
      <c r="K1372" s="139"/>
      <c r="L1372" s="150"/>
      <c r="M1372" s="462"/>
      <c r="N1372" s="638"/>
      <c r="P1372" s="830">
        <f t="shared" si="152"/>
        <v>50750</v>
      </c>
      <c r="Q1372" s="844">
        <f t="shared" si="153"/>
        <v>20858</v>
      </c>
      <c r="R1372" s="763">
        <f t="shared" si="154"/>
        <v>41.09950738916256</v>
      </c>
    </row>
    <row r="1373" spans="2:18" ht="12.75">
      <c r="B1373" s="177">
        <f t="shared" si="155"/>
        <v>54</v>
      </c>
      <c r="C1373" s="137"/>
      <c r="D1373" s="137"/>
      <c r="E1373" s="141"/>
      <c r="F1373" s="160">
        <v>630</v>
      </c>
      <c r="G1373" s="206" t="s">
        <v>239</v>
      </c>
      <c r="H1373" s="346">
        <f>H1374+H1375+H1376+H1377+H1378+H1379</f>
        <v>174975</v>
      </c>
      <c r="I1373" s="346">
        <f>I1374+I1375+I1376+I1377+I1378+I1379</f>
        <v>94316</v>
      </c>
      <c r="J1373" s="620">
        <f t="shared" si="151"/>
        <v>53.90255750821545</v>
      </c>
      <c r="K1373" s="139"/>
      <c r="L1373" s="150"/>
      <c r="M1373" s="462"/>
      <c r="N1373" s="638"/>
      <c r="P1373" s="830">
        <f t="shared" si="152"/>
        <v>174975</v>
      </c>
      <c r="Q1373" s="844">
        <f t="shared" si="153"/>
        <v>94316</v>
      </c>
      <c r="R1373" s="763">
        <f t="shared" si="154"/>
        <v>53.90255750821545</v>
      </c>
    </row>
    <row r="1374" spans="2:18" ht="12.75">
      <c r="B1374" s="177">
        <f t="shared" si="155"/>
        <v>55</v>
      </c>
      <c r="C1374" s="137"/>
      <c r="D1374" s="137"/>
      <c r="E1374" s="141"/>
      <c r="F1374" s="141">
        <v>631</v>
      </c>
      <c r="G1374" s="199" t="s">
        <v>559</v>
      </c>
      <c r="H1374" s="335">
        <v>50</v>
      </c>
      <c r="I1374" s="335">
        <v>50</v>
      </c>
      <c r="J1374" s="620">
        <f t="shared" si="151"/>
        <v>100</v>
      </c>
      <c r="K1374" s="139"/>
      <c r="L1374" s="150"/>
      <c r="M1374" s="462"/>
      <c r="N1374" s="638"/>
      <c r="P1374" s="804">
        <f t="shared" si="152"/>
        <v>50</v>
      </c>
      <c r="Q1374" s="812">
        <f t="shared" si="153"/>
        <v>50</v>
      </c>
      <c r="R1374" s="763">
        <f t="shared" si="154"/>
        <v>100</v>
      </c>
    </row>
    <row r="1375" spans="2:18" ht="12.75">
      <c r="B1375" s="177">
        <f t="shared" si="155"/>
        <v>56</v>
      </c>
      <c r="C1375" s="137"/>
      <c r="D1375" s="137"/>
      <c r="E1375" s="141"/>
      <c r="F1375" s="141">
        <v>632</v>
      </c>
      <c r="G1375" s="199" t="s">
        <v>250</v>
      </c>
      <c r="H1375" s="335">
        <f>63700-4145</f>
        <v>59555</v>
      </c>
      <c r="I1375" s="335">
        <v>36688</v>
      </c>
      <c r="J1375" s="620">
        <f t="shared" si="151"/>
        <v>61.60355973469902</v>
      </c>
      <c r="K1375" s="139"/>
      <c r="L1375" s="150"/>
      <c r="M1375" s="462"/>
      <c r="N1375" s="638"/>
      <c r="P1375" s="804">
        <f t="shared" si="152"/>
        <v>59555</v>
      </c>
      <c r="Q1375" s="812">
        <f t="shared" si="153"/>
        <v>36688</v>
      </c>
      <c r="R1375" s="763">
        <f t="shared" si="154"/>
        <v>61.60355973469902</v>
      </c>
    </row>
    <row r="1376" spans="2:18" ht="12.75">
      <c r="B1376" s="177">
        <f t="shared" si="155"/>
        <v>57</v>
      </c>
      <c r="C1376" s="137"/>
      <c r="D1376" s="137"/>
      <c r="E1376" s="141"/>
      <c r="F1376" s="141">
        <v>633</v>
      </c>
      <c r="G1376" s="199" t="s">
        <v>251</v>
      </c>
      <c r="H1376" s="335">
        <v>23450</v>
      </c>
      <c r="I1376" s="335">
        <v>16403</v>
      </c>
      <c r="J1376" s="620">
        <f t="shared" si="151"/>
        <v>69.94882729211088</v>
      </c>
      <c r="K1376" s="139"/>
      <c r="L1376" s="150"/>
      <c r="M1376" s="462"/>
      <c r="N1376" s="638"/>
      <c r="P1376" s="804">
        <f t="shared" si="152"/>
        <v>23450</v>
      </c>
      <c r="Q1376" s="812">
        <f t="shared" si="153"/>
        <v>16403</v>
      </c>
      <c r="R1376" s="763">
        <f t="shared" si="154"/>
        <v>69.94882729211088</v>
      </c>
    </row>
    <row r="1377" spans="2:18" ht="12.75">
      <c r="B1377" s="177">
        <f t="shared" si="155"/>
        <v>58</v>
      </c>
      <c r="C1377" s="137"/>
      <c r="D1377" s="137"/>
      <c r="E1377" s="141"/>
      <c r="F1377" s="141">
        <v>634</v>
      </c>
      <c r="G1377" s="199" t="s">
        <v>265</v>
      </c>
      <c r="H1377" s="335">
        <v>3450</v>
      </c>
      <c r="I1377" s="335">
        <v>1603</v>
      </c>
      <c r="J1377" s="620">
        <f t="shared" si="151"/>
        <v>46.46376811594203</v>
      </c>
      <c r="K1377" s="139"/>
      <c r="L1377" s="150"/>
      <c r="M1377" s="462"/>
      <c r="N1377" s="638"/>
      <c r="P1377" s="804">
        <f t="shared" si="152"/>
        <v>3450</v>
      </c>
      <c r="Q1377" s="812">
        <f t="shared" si="153"/>
        <v>1603</v>
      </c>
      <c r="R1377" s="763">
        <f t="shared" si="154"/>
        <v>46.46376811594203</v>
      </c>
    </row>
    <row r="1378" spans="2:18" ht="12.75">
      <c r="B1378" s="177">
        <f t="shared" si="155"/>
        <v>59</v>
      </c>
      <c r="C1378" s="137"/>
      <c r="D1378" s="137"/>
      <c r="E1378" s="141"/>
      <c r="F1378" s="141">
        <v>635</v>
      </c>
      <c r="G1378" s="199" t="s">
        <v>266</v>
      </c>
      <c r="H1378" s="341">
        <f>30700-15000</f>
        <v>15700</v>
      </c>
      <c r="I1378" s="341">
        <v>12408</v>
      </c>
      <c r="J1378" s="620">
        <f t="shared" si="151"/>
        <v>79.03184713375796</v>
      </c>
      <c r="K1378" s="139"/>
      <c r="L1378" s="168"/>
      <c r="M1378" s="452"/>
      <c r="N1378" s="638"/>
      <c r="P1378" s="805">
        <f t="shared" si="152"/>
        <v>15700</v>
      </c>
      <c r="Q1378" s="813">
        <f t="shared" si="153"/>
        <v>12408</v>
      </c>
      <c r="R1378" s="763">
        <f t="shared" si="154"/>
        <v>79.03184713375796</v>
      </c>
    </row>
    <row r="1379" spans="2:18" ht="12.75">
      <c r="B1379" s="177">
        <f t="shared" si="155"/>
        <v>60</v>
      </c>
      <c r="C1379" s="137"/>
      <c r="D1379" s="137"/>
      <c r="E1379" s="141"/>
      <c r="F1379" s="141">
        <v>637</v>
      </c>
      <c r="G1379" s="199" t="s">
        <v>252</v>
      </c>
      <c r="H1379" s="335">
        <v>72770</v>
      </c>
      <c r="I1379" s="335">
        <v>27164</v>
      </c>
      <c r="J1379" s="620">
        <f t="shared" si="151"/>
        <v>37.32856946543905</v>
      </c>
      <c r="K1379" s="139"/>
      <c r="L1379" s="150"/>
      <c r="M1379" s="462"/>
      <c r="N1379" s="638"/>
      <c r="P1379" s="804">
        <f t="shared" si="152"/>
        <v>72770</v>
      </c>
      <c r="Q1379" s="812">
        <f t="shared" si="153"/>
        <v>27164</v>
      </c>
      <c r="R1379" s="763">
        <f t="shared" si="154"/>
        <v>37.32856946543905</v>
      </c>
    </row>
    <row r="1380" spans="2:18" ht="12.75">
      <c r="B1380" s="177">
        <f t="shared" si="155"/>
        <v>61</v>
      </c>
      <c r="C1380" s="137"/>
      <c r="D1380" s="137"/>
      <c r="E1380" s="141"/>
      <c r="F1380" s="215">
        <v>640</v>
      </c>
      <c r="G1380" s="206" t="s">
        <v>560</v>
      </c>
      <c r="H1380" s="346">
        <v>1650</v>
      </c>
      <c r="I1380" s="346">
        <v>118</v>
      </c>
      <c r="J1380" s="620">
        <f t="shared" si="151"/>
        <v>7.151515151515151</v>
      </c>
      <c r="K1380" s="139"/>
      <c r="L1380" s="150"/>
      <c r="M1380" s="462"/>
      <c r="N1380" s="638"/>
      <c r="P1380" s="804">
        <f t="shared" si="152"/>
        <v>1650</v>
      </c>
      <c r="Q1380" s="812">
        <f t="shared" si="153"/>
        <v>118</v>
      </c>
      <c r="R1380" s="763">
        <f t="shared" si="154"/>
        <v>7.151515151515151</v>
      </c>
    </row>
    <row r="1381" spans="2:18" ht="12.75">
      <c r="B1381" s="177">
        <f t="shared" si="155"/>
        <v>62</v>
      </c>
      <c r="C1381" s="77"/>
      <c r="D1381" s="183" t="s">
        <v>6</v>
      </c>
      <c r="E1381" s="236"/>
      <c r="F1381" s="236" t="s">
        <v>609</v>
      </c>
      <c r="G1381" s="237"/>
      <c r="H1381" s="471">
        <f>H1382+H1388+H1389+H1390+H1391</f>
        <v>20000</v>
      </c>
      <c r="I1381" s="471">
        <f>I1382+I1388+I1389+I1390+I1391</f>
        <v>9941</v>
      </c>
      <c r="J1381" s="620">
        <f t="shared" si="151"/>
        <v>49.705</v>
      </c>
      <c r="K1381" s="20"/>
      <c r="L1381" s="407"/>
      <c r="M1381" s="977"/>
      <c r="N1381" s="638"/>
      <c r="P1381" s="941">
        <f t="shared" si="152"/>
        <v>20000</v>
      </c>
      <c r="Q1381" s="947">
        <f t="shared" si="153"/>
        <v>9941</v>
      </c>
      <c r="R1381" s="763">
        <f t="shared" si="154"/>
        <v>49.705</v>
      </c>
    </row>
    <row r="1382" spans="2:18" ht="12.75">
      <c r="B1382" s="177">
        <f t="shared" si="155"/>
        <v>63</v>
      </c>
      <c r="C1382" s="137"/>
      <c r="D1382" s="137"/>
      <c r="E1382" s="163" t="s">
        <v>274</v>
      </c>
      <c r="F1382" s="163"/>
      <c r="G1382" s="206" t="s">
        <v>476</v>
      </c>
      <c r="H1382" s="346">
        <f>SUM(H1383:H1385)</f>
        <v>18300</v>
      </c>
      <c r="I1382" s="346">
        <f>SUM(I1383:I1386)</f>
        <v>9776</v>
      </c>
      <c r="J1382" s="620">
        <f t="shared" si="151"/>
        <v>53.4207650273224</v>
      </c>
      <c r="K1382" s="139"/>
      <c r="L1382" s="150"/>
      <c r="M1382" s="462"/>
      <c r="N1382" s="638"/>
      <c r="P1382" s="830">
        <f t="shared" si="152"/>
        <v>18300</v>
      </c>
      <c r="Q1382" s="844">
        <f t="shared" si="153"/>
        <v>9776</v>
      </c>
      <c r="R1382" s="763">
        <f t="shared" si="154"/>
        <v>53.4207650273224</v>
      </c>
    </row>
    <row r="1383" spans="2:18" ht="12.75">
      <c r="B1383" s="177">
        <f t="shared" si="155"/>
        <v>64</v>
      </c>
      <c r="C1383" s="137"/>
      <c r="D1383" s="137"/>
      <c r="E1383" s="141"/>
      <c r="F1383" s="141">
        <v>632</v>
      </c>
      <c r="G1383" s="199" t="s">
        <v>250</v>
      </c>
      <c r="H1383" s="335">
        <v>17600</v>
      </c>
      <c r="I1383" s="335">
        <v>9646</v>
      </c>
      <c r="J1383" s="620">
        <f t="shared" si="151"/>
        <v>54.80681818181819</v>
      </c>
      <c r="K1383" s="139"/>
      <c r="L1383" s="150"/>
      <c r="M1383" s="462"/>
      <c r="N1383" s="638"/>
      <c r="P1383" s="804">
        <f t="shared" si="152"/>
        <v>17600</v>
      </c>
      <c r="Q1383" s="812">
        <f t="shared" si="153"/>
        <v>9646</v>
      </c>
      <c r="R1383" s="763">
        <f t="shared" si="154"/>
        <v>54.80681818181819</v>
      </c>
    </row>
    <row r="1384" spans="2:18" ht="12.75">
      <c r="B1384" s="177">
        <f t="shared" si="155"/>
        <v>65</v>
      </c>
      <c r="C1384" s="137"/>
      <c r="D1384" s="137"/>
      <c r="E1384" s="141"/>
      <c r="F1384" s="141">
        <v>633</v>
      </c>
      <c r="G1384" s="199" t="s">
        <v>251</v>
      </c>
      <c r="H1384" s="335">
        <v>200</v>
      </c>
      <c r="I1384" s="335">
        <v>0</v>
      </c>
      <c r="J1384" s="620">
        <f>I1384/H1384*100</f>
        <v>0</v>
      </c>
      <c r="K1384" s="139"/>
      <c r="L1384" s="150"/>
      <c r="M1384" s="462"/>
      <c r="N1384" s="638"/>
      <c r="P1384" s="804">
        <f t="shared" si="152"/>
        <v>200</v>
      </c>
      <c r="Q1384" s="812">
        <f t="shared" si="153"/>
        <v>0</v>
      </c>
      <c r="R1384" s="763">
        <f>Q1384/P1384*100</f>
        <v>0</v>
      </c>
    </row>
    <row r="1385" spans="2:18" ht="12.75">
      <c r="B1385" s="177">
        <f aca="true" t="shared" si="156" ref="B1385:B1416">B1384+1</f>
        <v>66</v>
      </c>
      <c r="C1385" s="137"/>
      <c r="D1385" s="137"/>
      <c r="E1385" s="141"/>
      <c r="F1385" s="141">
        <v>635</v>
      </c>
      <c r="G1385" s="199" t="s">
        <v>266</v>
      </c>
      <c r="H1385" s="335">
        <v>500</v>
      </c>
      <c r="I1385" s="335">
        <v>0</v>
      </c>
      <c r="J1385" s="620">
        <f>I1385/H1385*100</f>
        <v>0</v>
      </c>
      <c r="K1385" s="139"/>
      <c r="L1385" s="150"/>
      <c r="M1385" s="462"/>
      <c r="N1385" s="638"/>
      <c r="P1385" s="804">
        <f t="shared" si="152"/>
        <v>500</v>
      </c>
      <c r="Q1385" s="812">
        <f t="shared" si="153"/>
        <v>0</v>
      </c>
      <c r="R1385" s="763">
        <f>Q1385/P1385*100</f>
        <v>0</v>
      </c>
    </row>
    <row r="1386" spans="2:18" ht="12.75">
      <c r="B1386" s="177">
        <f t="shared" si="156"/>
        <v>67</v>
      </c>
      <c r="C1386" s="137"/>
      <c r="D1386" s="137"/>
      <c r="E1386" s="141"/>
      <c r="F1386" s="141">
        <v>637</v>
      </c>
      <c r="G1386" s="199" t="s">
        <v>252</v>
      </c>
      <c r="H1386" s="335">
        <v>0</v>
      </c>
      <c r="I1386" s="335">
        <v>130</v>
      </c>
      <c r="J1386" s="620"/>
      <c r="K1386" s="139"/>
      <c r="L1386" s="150"/>
      <c r="M1386" s="462"/>
      <c r="N1386" s="638"/>
      <c r="P1386" s="804">
        <f t="shared" si="152"/>
        <v>0</v>
      </c>
      <c r="Q1386" s="812">
        <f t="shared" si="153"/>
        <v>130</v>
      </c>
      <c r="R1386" s="763"/>
    </row>
    <row r="1387" spans="2:18" ht="12.75">
      <c r="B1387" s="177">
        <f t="shared" si="156"/>
        <v>68</v>
      </c>
      <c r="C1387" s="137"/>
      <c r="D1387" s="137"/>
      <c r="E1387" s="141"/>
      <c r="F1387" s="141"/>
      <c r="G1387" s="199"/>
      <c r="H1387" s="335"/>
      <c r="I1387" s="335"/>
      <c r="J1387" s="620"/>
      <c r="K1387" s="139"/>
      <c r="L1387" s="150"/>
      <c r="M1387" s="462"/>
      <c r="N1387" s="638"/>
      <c r="P1387" s="804"/>
      <c r="Q1387" s="812"/>
      <c r="R1387" s="763"/>
    </row>
    <row r="1388" spans="2:18" ht="12.75">
      <c r="B1388" s="177">
        <f t="shared" si="156"/>
        <v>69</v>
      </c>
      <c r="C1388" s="137"/>
      <c r="D1388" s="137"/>
      <c r="E1388" s="141"/>
      <c r="F1388" s="141">
        <v>633</v>
      </c>
      <c r="G1388" s="199" t="s">
        <v>251</v>
      </c>
      <c r="H1388" s="335">
        <v>1200</v>
      </c>
      <c r="I1388" s="335">
        <v>88</v>
      </c>
      <c r="J1388" s="620">
        <f aca="true" t="shared" si="157" ref="J1388:J1405">I1388/H1388*100</f>
        <v>7.333333333333333</v>
      </c>
      <c r="K1388" s="139"/>
      <c r="L1388" s="150"/>
      <c r="M1388" s="462"/>
      <c r="N1388" s="638"/>
      <c r="P1388" s="804">
        <f aca="true" t="shared" si="158" ref="P1388:P1405">H1388+L1388</f>
        <v>1200</v>
      </c>
      <c r="Q1388" s="812">
        <f aca="true" t="shared" si="159" ref="Q1388:Q1405">I1388+M1388</f>
        <v>88</v>
      </c>
      <c r="R1388" s="763">
        <f aca="true" t="shared" si="160" ref="R1388:R1405">Q1388/P1388*100</f>
        <v>7.333333333333333</v>
      </c>
    </row>
    <row r="1389" spans="2:18" ht="12.75">
      <c r="B1389" s="177">
        <f t="shared" si="156"/>
        <v>70</v>
      </c>
      <c r="C1389" s="137"/>
      <c r="D1389" s="143"/>
      <c r="E1389" s="169"/>
      <c r="F1389" s="143">
        <v>635</v>
      </c>
      <c r="G1389" s="199" t="s">
        <v>266</v>
      </c>
      <c r="H1389" s="341">
        <v>200</v>
      </c>
      <c r="I1389" s="341">
        <v>0</v>
      </c>
      <c r="J1389" s="620">
        <f t="shared" si="157"/>
        <v>0</v>
      </c>
      <c r="K1389" s="139"/>
      <c r="L1389" s="168"/>
      <c r="M1389" s="452"/>
      <c r="N1389" s="638"/>
      <c r="P1389" s="805">
        <f t="shared" si="158"/>
        <v>200</v>
      </c>
      <c r="Q1389" s="813">
        <f t="shared" si="159"/>
        <v>0</v>
      </c>
      <c r="R1389" s="763">
        <f t="shared" si="160"/>
        <v>0</v>
      </c>
    </row>
    <row r="1390" spans="2:18" ht="12.75">
      <c r="B1390" s="177">
        <f t="shared" si="156"/>
        <v>71</v>
      </c>
      <c r="C1390" s="137"/>
      <c r="D1390" s="141"/>
      <c r="E1390" s="169"/>
      <c r="F1390" s="141">
        <v>637</v>
      </c>
      <c r="G1390" s="199" t="s">
        <v>252</v>
      </c>
      <c r="H1390" s="341">
        <v>100</v>
      </c>
      <c r="I1390" s="341">
        <v>0</v>
      </c>
      <c r="J1390" s="620">
        <f t="shared" si="157"/>
        <v>0</v>
      </c>
      <c r="K1390" s="139"/>
      <c r="L1390" s="168"/>
      <c r="M1390" s="452"/>
      <c r="N1390" s="638"/>
      <c r="P1390" s="805">
        <f t="shared" si="158"/>
        <v>100</v>
      </c>
      <c r="Q1390" s="813">
        <f t="shared" si="159"/>
        <v>0</v>
      </c>
      <c r="R1390" s="763">
        <f t="shared" si="160"/>
        <v>0</v>
      </c>
    </row>
    <row r="1391" spans="2:18" ht="12.75">
      <c r="B1391" s="177">
        <f t="shared" si="156"/>
        <v>72</v>
      </c>
      <c r="C1391" s="137"/>
      <c r="D1391" s="169"/>
      <c r="E1391" s="143"/>
      <c r="F1391" s="143">
        <v>637</v>
      </c>
      <c r="G1391" s="199" t="s">
        <v>320</v>
      </c>
      <c r="H1391" s="341">
        <v>200</v>
      </c>
      <c r="I1391" s="341">
        <v>77</v>
      </c>
      <c r="J1391" s="620">
        <f t="shared" si="157"/>
        <v>38.5</v>
      </c>
      <c r="K1391" s="139"/>
      <c r="L1391" s="168"/>
      <c r="M1391" s="452"/>
      <c r="N1391" s="638"/>
      <c r="P1391" s="805">
        <f t="shared" si="158"/>
        <v>200</v>
      </c>
      <c r="Q1391" s="813">
        <f t="shared" si="159"/>
        <v>77</v>
      </c>
      <c r="R1391" s="763">
        <f t="shared" si="160"/>
        <v>38.5</v>
      </c>
    </row>
    <row r="1392" spans="2:18" ht="15.75">
      <c r="B1392" s="177">
        <f t="shared" si="156"/>
        <v>73</v>
      </c>
      <c r="C1392" s="24">
        <v>6</v>
      </c>
      <c r="D1392" s="134" t="s">
        <v>69</v>
      </c>
      <c r="E1392" s="25"/>
      <c r="F1392" s="25"/>
      <c r="G1392" s="198"/>
      <c r="H1392" s="372">
        <f>H1393+H1405+H1404+H1407</f>
        <v>1079487</v>
      </c>
      <c r="I1392" s="372">
        <f>I1393+I1405+I1404+I1407</f>
        <v>689747</v>
      </c>
      <c r="J1392" s="620">
        <f t="shared" si="157"/>
        <v>63.89581347436328</v>
      </c>
      <c r="K1392" s="90"/>
      <c r="L1392" s="410">
        <v>0</v>
      </c>
      <c r="M1392" s="975">
        <v>0</v>
      </c>
      <c r="N1392" s="638"/>
      <c r="P1392" s="754">
        <f t="shared" si="158"/>
        <v>1079487</v>
      </c>
      <c r="Q1392" s="766">
        <f t="shared" si="159"/>
        <v>689747</v>
      </c>
      <c r="R1392" s="763">
        <f t="shared" si="160"/>
        <v>63.89581347436328</v>
      </c>
    </row>
    <row r="1393" spans="2:18" ht="12.75">
      <c r="B1393" s="177">
        <f t="shared" si="156"/>
        <v>74</v>
      </c>
      <c r="C1393" s="142"/>
      <c r="D1393" s="142"/>
      <c r="E1393" s="324" t="s">
        <v>274</v>
      </c>
      <c r="F1393" s="324"/>
      <c r="G1393" s="325" t="s">
        <v>485</v>
      </c>
      <c r="H1393" s="364">
        <f>H1394+H1395+H1396+H1403</f>
        <v>830320</v>
      </c>
      <c r="I1393" s="364">
        <f>I1394+I1395+I1396+I1403</f>
        <v>443755</v>
      </c>
      <c r="J1393" s="620">
        <f t="shared" si="157"/>
        <v>53.443852972348004</v>
      </c>
      <c r="K1393" s="327"/>
      <c r="L1393" s="411"/>
      <c r="M1393" s="976"/>
      <c r="N1393" s="638"/>
      <c r="P1393" s="937">
        <f t="shared" si="158"/>
        <v>830320</v>
      </c>
      <c r="Q1393" s="943">
        <f t="shared" si="159"/>
        <v>443755</v>
      </c>
      <c r="R1393" s="763">
        <f t="shared" si="160"/>
        <v>53.443852972348004</v>
      </c>
    </row>
    <row r="1394" spans="2:18" ht="12.75">
      <c r="B1394" s="177">
        <f t="shared" si="156"/>
        <v>75</v>
      </c>
      <c r="C1394" s="137"/>
      <c r="D1394" s="137"/>
      <c r="E1394" s="160"/>
      <c r="F1394" s="160">
        <v>610</v>
      </c>
      <c r="G1394" s="206" t="s">
        <v>262</v>
      </c>
      <c r="H1394" s="346">
        <f>338640+19430</f>
        <v>358070</v>
      </c>
      <c r="I1394" s="346">
        <v>173406</v>
      </c>
      <c r="J1394" s="620">
        <f t="shared" si="157"/>
        <v>48.42796101320971</v>
      </c>
      <c r="K1394" s="139"/>
      <c r="L1394" s="150"/>
      <c r="M1394" s="462"/>
      <c r="N1394" s="638"/>
      <c r="P1394" s="830">
        <f t="shared" si="158"/>
        <v>358070</v>
      </c>
      <c r="Q1394" s="844">
        <f t="shared" si="159"/>
        <v>173406</v>
      </c>
      <c r="R1394" s="763">
        <f t="shared" si="160"/>
        <v>48.42796101320971</v>
      </c>
    </row>
    <row r="1395" spans="2:18" ht="12.75">
      <c r="B1395" s="177">
        <f t="shared" si="156"/>
        <v>76</v>
      </c>
      <c r="C1395" s="137"/>
      <c r="D1395" s="137"/>
      <c r="E1395" s="141"/>
      <c r="F1395" s="160">
        <v>620</v>
      </c>
      <c r="G1395" s="206" t="s">
        <v>264</v>
      </c>
      <c r="H1395" s="346">
        <f>118525+6945</f>
        <v>125470</v>
      </c>
      <c r="I1395" s="346">
        <v>60382</v>
      </c>
      <c r="J1395" s="620">
        <f t="shared" si="157"/>
        <v>48.12465131107038</v>
      </c>
      <c r="K1395" s="139"/>
      <c r="L1395" s="150"/>
      <c r="M1395" s="462"/>
      <c r="N1395" s="638"/>
      <c r="P1395" s="830">
        <f t="shared" si="158"/>
        <v>125470</v>
      </c>
      <c r="Q1395" s="844">
        <f t="shared" si="159"/>
        <v>60382</v>
      </c>
      <c r="R1395" s="763">
        <f t="shared" si="160"/>
        <v>48.12465131107038</v>
      </c>
    </row>
    <row r="1396" spans="2:18" ht="12.75">
      <c r="B1396" s="177">
        <f t="shared" si="156"/>
        <v>77</v>
      </c>
      <c r="C1396" s="137"/>
      <c r="D1396" s="137"/>
      <c r="E1396" s="141"/>
      <c r="F1396" s="160">
        <v>630</v>
      </c>
      <c r="G1396" s="206" t="s">
        <v>480</v>
      </c>
      <c r="H1396" s="346">
        <f>H1397+H1398+H1399+H1400+H1401+H1402</f>
        <v>344830</v>
      </c>
      <c r="I1396" s="346">
        <f>I1397+I1398+I1399+I1400+I1401+I1402</f>
        <v>208211</v>
      </c>
      <c r="J1396" s="620">
        <f t="shared" si="157"/>
        <v>60.38076733462866</v>
      </c>
      <c r="K1396" s="139"/>
      <c r="L1396" s="150"/>
      <c r="M1396" s="462"/>
      <c r="N1396" s="638"/>
      <c r="P1396" s="830">
        <f t="shared" si="158"/>
        <v>344830</v>
      </c>
      <c r="Q1396" s="844">
        <f t="shared" si="159"/>
        <v>208211</v>
      </c>
      <c r="R1396" s="763">
        <f t="shared" si="160"/>
        <v>60.38076733462866</v>
      </c>
    </row>
    <row r="1397" spans="2:18" ht="12.75">
      <c r="B1397" s="177">
        <f t="shared" si="156"/>
        <v>78</v>
      </c>
      <c r="C1397" s="137"/>
      <c r="D1397" s="137"/>
      <c r="E1397" s="141"/>
      <c r="F1397" s="141">
        <v>631</v>
      </c>
      <c r="G1397" s="199" t="s">
        <v>559</v>
      </c>
      <c r="H1397" s="335">
        <v>50</v>
      </c>
      <c r="I1397" s="335">
        <v>50</v>
      </c>
      <c r="J1397" s="620">
        <f t="shared" si="157"/>
        <v>100</v>
      </c>
      <c r="K1397" s="139"/>
      <c r="L1397" s="150"/>
      <c r="M1397" s="462"/>
      <c r="N1397" s="638"/>
      <c r="P1397" s="804">
        <f t="shared" si="158"/>
        <v>50</v>
      </c>
      <c r="Q1397" s="812">
        <f t="shared" si="159"/>
        <v>50</v>
      </c>
      <c r="R1397" s="763">
        <f t="shared" si="160"/>
        <v>100</v>
      </c>
    </row>
    <row r="1398" spans="2:18" ht="12.75">
      <c r="B1398" s="177">
        <f t="shared" si="156"/>
        <v>79</v>
      </c>
      <c r="C1398" s="137"/>
      <c r="D1398" s="137"/>
      <c r="E1398" s="141"/>
      <c r="F1398" s="141">
        <v>632</v>
      </c>
      <c r="G1398" s="199" t="s">
        <v>335</v>
      </c>
      <c r="H1398" s="335">
        <f>98715-16065</f>
        <v>82650</v>
      </c>
      <c r="I1398" s="335">
        <v>48387</v>
      </c>
      <c r="J1398" s="620">
        <f t="shared" si="157"/>
        <v>58.544464609800364</v>
      </c>
      <c r="K1398" s="139"/>
      <c r="L1398" s="150"/>
      <c r="M1398" s="462"/>
      <c r="N1398" s="638"/>
      <c r="P1398" s="804">
        <f t="shared" si="158"/>
        <v>82650</v>
      </c>
      <c r="Q1398" s="812">
        <f t="shared" si="159"/>
        <v>48387</v>
      </c>
      <c r="R1398" s="763">
        <f t="shared" si="160"/>
        <v>58.544464609800364</v>
      </c>
    </row>
    <row r="1399" spans="2:18" ht="12.75">
      <c r="B1399" s="177">
        <f t="shared" si="156"/>
        <v>80</v>
      </c>
      <c r="C1399" s="137"/>
      <c r="D1399" s="137"/>
      <c r="E1399" s="141"/>
      <c r="F1399" s="141">
        <v>633</v>
      </c>
      <c r="G1399" s="199" t="s">
        <v>251</v>
      </c>
      <c r="H1399" s="335">
        <f>26100-4000</f>
        <v>22100</v>
      </c>
      <c r="I1399" s="335">
        <v>12528</v>
      </c>
      <c r="J1399" s="620">
        <f t="shared" si="157"/>
        <v>56.68778280542986</v>
      </c>
      <c r="K1399" s="139"/>
      <c r="L1399" s="150"/>
      <c r="M1399" s="462"/>
      <c r="N1399" s="638"/>
      <c r="P1399" s="804">
        <f t="shared" si="158"/>
        <v>22100</v>
      </c>
      <c r="Q1399" s="812">
        <f t="shared" si="159"/>
        <v>12528</v>
      </c>
      <c r="R1399" s="763">
        <f t="shared" si="160"/>
        <v>56.68778280542986</v>
      </c>
    </row>
    <row r="1400" spans="2:18" ht="12.75">
      <c r="B1400" s="177">
        <f t="shared" si="156"/>
        <v>81</v>
      </c>
      <c r="C1400" s="137"/>
      <c r="D1400" s="137"/>
      <c r="E1400" s="141"/>
      <c r="F1400" s="141">
        <v>634</v>
      </c>
      <c r="G1400" s="199" t="s">
        <v>265</v>
      </c>
      <c r="H1400" s="335">
        <v>1705</v>
      </c>
      <c r="I1400" s="335">
        <v>791</v>
      </c>
      <c r="J1400" s="620">
        <f t="shared" si="157"/>
        <v>46.39296187683284</v>
      </c>
      <c r="K1400" s="139"/>
      <c r="L1400" s="150"/>
      <c r="M1400" s="462"/>
      <c r="N1400" s="638"/>
      <c r="P1400" s="804">
        <f t="shared" si="158"/>
        <v>1705</v>
      </c>
      <c r="Q1400" s="812">
        <f t="shared" si="159"/>
        <v>791</v>
      </c>
      <c r="R1400" s="763">
        <f t="shared" si="160"/>
        <v>46.39296187683284</v>
      </c>
    </row>
    <row r="1401" spans="2:18" ht="12.75">
      <c r="B1401" s="177">
        <f t="shared" si="156"/>
        <v>82</v>
      </c>
      <c r="C1401" s="137"/>
      <c r="D1401" s="137"/>
      <c r="E1401" s="141"/>
      <c r="F1401" s="141">
        <v>635</v>
      </c>
      <c r="G1401" s="199" t="s">
        <v>266</v>
      </c>
      <c r="H1401" s="335">
        <v>32700</v>
      </c>
      <c r="I1401" s="335">
        <v>29307</v>
      </c>
      <c r="J1401" s="620">
        <f t="shared" si="157"/>
        <v>89.62385321100918</v>
      </c>
      <c r="K1401" s="139"/>
      <c r="L1401" s="150"/>
      <c r="M1401" s="462"/>
      <c r="N1401" s="638"/>
      <c r="P1401" s="804">
        <f t="shared" si="158"/>
        <v>32700</v>
      </c>
      <c r="Q1401" s="812">
        <f t="shared" si="159"/>
        <v>29307</v>
      </c>
      <c r="R1401" s="763">
        <f t="shared" si="160"/>
        <v>89.62385321100918</v>
      </c>
    </row>
    <row r="1402" spans="2:18" ht="12.75">
      <c r="B1402" s="177">
        <f t="shared" si="156"/>
        <v>83</v>
      </c>
      <c r="C1402" s="137"/>
      <c r="D1402" s="137"/>
      <c r="E1402" s="141"/>
      <c r="F1402" s="141">
        <v>637</v>
      </c>
      <c r="G1402" s="199" t="s">
        <v>252</v>
      </c>
      <c r="H1402" s="335">
        <f>196435+9190</f>
        <v>205625</v>
      </c>
      <c r="I1402" s="335">
        <v>117148</v>
      </c>
      <c r="J1402" s="620">
        <f t="shared" si="157"/>
        <v>56.9716717325228</v>
      </c>
      <c r="K1402" s="139"/>
      <c r="L1402" s="150"/>
      <c r="M1402" s="462"/>
      <c r="N1402" s="638"/>
      <c r="P1402" s="804">
        <f t="shared" si="158"/>
        <v>205625</v>
      </c>
      <c r="Q1402" s="812">
        <f t="shared" si="159"/>
        <v>117148</v>
      </c>
      <c r="R1402" s="763">
        <f t="shared" si="160"/>
        <v>56.9716717325228</v>
      </c>
    </row>
    <row r="1403" spans="2:18" ht="12.75">
      <c r="B1403" s="177">
        <f t="shared" si="156"/>
        <v>84</v>
      </c>
      <c r="C1403" s="137"/>
      <c r="D1403" s="137"/>
      <c r="E1403" s="141"/>
      <c r="F1403" s="160">
        <v>640</v>
      </c>
      <c r="G1403" s="206" t="s">
        <v>560</v>
      </c>
      <c r="H1403" s="346">
        <v>1950</v>
      </c>
      <c r="I1403" s="346">
        <v>1756</v>
      </c>
      <c r="J1403" s="620">
        <f t="shared" si="157"/>
        <v>90.05128205128206</v>
      </c>
      <c r="K1403" s="139"/>
      <c r="L1403" s="150"/>
      <c r="M1403" s="462"/>
      <c r="N1403" s="638"/>
      <c r="P1403" s="804">
        <f t="shared" si="158"/>
        <v>1950</v>
      </c>
      <c r="Q1403" s="812">
        <f t="shared" si="159"/>
        <v>1756</v>
      </c>
      <c r="R1403" s="763">
        <f t="shared" si="160"/>
        <v>90.05128205128206</v>
      </c>
    </row>
    <row r="1404" spans="2:18" ht="12.75">
      <c r="B1404" s="177">
        <f t="shared" si="156"/>
        <v>85</v>
      </c>
      <c r="C1404" s="137"/>
      <c r="D1404" s="137"/>
      <c r="E1404" s="166" t="s">
        <v>274</v>
      </c>
      <c r="F1404" s="166">
        <v>620</v>
      </c>
      <c r="G1404" s="199" t="s">
        <v>641</v>
      </c>
      <c r="H1404" s="335">
        <v>1000</v>
      </c>
      <c r="I1404" s="335">
        <v>51</v>
      </c>
      <c r="J1404" s="620">
        <f t="shared" si="157"/>
        <v>5.1</v>
      </c>
      <c r="K1404" s="139"/>
      <c r="L1404" s="150"/>
      <c r="M1404" s="462"/>
      <c r="N1404" s="638"/>
      <c r="P1404" s="804">
        <f t="shared" si="158"/>
        <v>1000</v>
      </c>
      <c r="Q1404" s="812">
        <f t="shared" si="159"/>
        <v>51</v>
      </c>
      <c r="R1404" s="763">
        <f t="shared" si="160"/>
        <v>5.1</v>
      </c>
    </row>
    <row r="1405" spans="2:18" ht="12.75">
      <c r="B1405" s="177">
        <f t="shared" si="156"/>
        <v>86</v>
      </c>
      <c r="C1405" s="137"/>
      <c r="D1405" s="137"/>
      <c r="E1405" s="166" t="s">
        <v>274</v>
      </c>
      <c r="F1405" s="141">
        <v>637</v>
      </c>
      <c r="G1405" s="199" t="s">
        <v>299</v>
      </c>
      <c r="H1405" s="335">
        <v>3100</v>
      </c>
      <c r="I1405" s="335">
        <v>882</v>
      </c>
      <c r="J1405" s="620">
        <f t="shared" si="157"/>
        <v>28.451612903225808</v>
      </c>
      <c r="K1405" s="139"/>
      <c r="L1405" s="150"/>
      <c r="M1405" s="462"/>
      <c r="N1405" s="638"/>
      <c r="P1405" s="804">
        <f t="shared" si="158"/>
        <v>3100</v>
      </c>
      <c r="Q1405" s="812">
        <f t="shared" si="159"/>
        <v>882</v>
      </c>
      <c r="R1405" s="763">
        <f t="shared" si="160"/>
        <v>28.451612903225808</v>
      </c>
    </row>
    <row r="1406" spans="2:18" ht="12.75">
      <c r="B1406" s="177">
        <f t="shared" si="156"/>
        <v>87</v>
      </c>
      <c r="C1406" s="137"/>
      <c r="D1406" s="137"/>
      <c r="E1406" s="166"/>
      <c r="F1406" s="141"/>
      <c r="G1406" s="199"/>
      <c r="H1406" s="335"/>
      <c r="I1406" s="335"/>
      <c r="J1406" s="620"/>
      <c r="K1406" s="139"/>
      <c r="L1406" s="150"/>
      <c r="M1406" s="462"/>
      <c r="N1406" s="638"/>
      <c r="P1406" s="804"/>
      <c r="Q1406" s="812"/>
      <c r="R1406" s="763"/>
    </row>
    <row r="1407" spans="2:18" ht="12.75">
      <c r="B1407" s="177">
        <f t="shared" si="156"/>
        <v>88</v>
      </c>
      <c r="C1407" s="137"/>
      <c r="D1407" s="137"/>
      <c r="E1407" s="166" t="s">
        <v>274</v>
      </c>
      <c r="F1407" s="141">
        <v>637</v>
      </c>
      <c r="G1407" s="199" t="s">
        <v>793</v>
      </c>
      <c r="H1407" s="335">
        <v>245067</v>
      </c>
      <c r="I1407" s="335">
        <v>245059</v>
      </c>
      <c r="J1407" s="620">
        <f>I1407/H1407*100</f>
        <v>99.99673558659468</v>
      </c>
      <c r="K1407" s="139"/>
      <c r="L1407" s="150"/>
      <c r="M1407" s="462"/>
      <c r="N1407" s="638"/>
      <c r="P1407" s="804">
        <f>H1407+L1407</f>
        <v>245067</v>
      </c>
      <c r="Q1407" s="812">
        <f>I1407+M1407</f>
        <v>245059</v>
      </c>
      <c r="R1407" s="763">
        <f>Q1407/P1407*100</f>
        <v>99.99673558659468</v>
      </c>
    </row>
    <row r="1408" spans="2:18" ht="12.75">
      <c r="B1408" s="177">
        <f t="shared" si="156"/>
        <v>89</v>
      </c>
      <c r="C1408" s="137"/>
      <c r="D1408" s="137"/>
      <c r="E1408" s="141"/>
      <c r="F1408" s="160"/>
      <c r="G1408" s="206"/>
      <c r="H1408" s="335"/>
      <c r="I1408" s="335"/>
      <c r="J1408" s="620"/>
      <c r="K1408" s="139"/>
      <c r="L1408" s="150"/>
      <c r="M1408" s="462"/>
      <c r="N1408" s="638"/>
      <c r="P1408" s="804"/>
      <c r="Q1408" s="812"/>
      <c r="R1408" s="763"/>
    </row>
    <row r="1409" spans="2:18" ht="15.75">
      <c r="B1409" s="177">
        <f t="shared" si="156"/>
        <v>90</v>
      </c>
      <c r="C1409" s="24">
        <v>7</v>
      </c>
      <c r="D1409" s="134" t="s">
        <v>146</v>
      </c>
      <c r="E1409" s="25"/>
      <c r="F1409" s="25"/>
      <c r="G1409" s="198"/>
      <c r="H1409" s="372">
        <f>H1410</f>
        <v>296050</v>
      </c>
      <c r="I1409" s="372">
        <f>I1410</f>
        <v>141715</v>
      </c>
      <c r="J1409" s="620">
        <f aca="true" t="shared" si="161" ref="J1409:J1418">I1409/H1409*100</f>
        <v>47.86860327647357</v>
      </c>
      <c r="K1409" s="90"/>
      <c r="L1409" s="410">
        <f>L1420</f>
        <v>6650</v>
      </c>
      <c r="M1409" s="975">
        <f>M1420</f>
        <v>0</v>
      </c>
      <c r="N1409" s="638">
        <f>M1409/L1409*100</f>
        <v>0</v>
      </c>
      <c r="P1409" s="754">
        <f aca="true" t="shared" si="162" ref="P1409:P1418">H1409+L1409</f>
        <v>302700</v>
      </c>
      <c r="Q1409" s="766">
        <f aca="true" t="shared" si="163" ref="Q1409:Q1418">I1409+M1409</f>
        <v>141715</v>
      </c>
      <c r="R1409" s="763">
        <f aca="true" t="shared" si="164" ref="R1409:R1418">Q1409/P1409*100</f>
        <v>46.81698050875454</v>
      </c>
    </row>
    <row r="1410" spans="2:18" ht="12.75">
      <c r="B1410" s="177">
        <f t="shared" si="156"/>
        <v>91</v>
      </c>
      <c r="C1410" s="142"/>
      <c r="D1410" s="142"/>
      <c r="E1410" s="324" t="s">
        <v>313</v>
      </c>
      <c r="F1410" s="324"/>
      <c r="G1410" s="325" t="s">
        <v>486</v>
      </c>
      <c r="H1410" s="364">
        <f>H1411+H1412+H1413+H1418+H1420</f>
        <v>296050</v>
      </c>
      <c r="I1410" s="364">
        <f>I1411+I1412+I1413+I1418+I1420</f>
        <v>141715</v>
      </c>
      <c r="J1410" s="620">
        <f t="shared" si="161"/>
        <v>47.86860327647357</v>
      </c>
      <c r="K1410" s="327"/>
      <c r="L1410" s="411"/>
      <c r="M1410" s="976"/>
      <c r="N1410" s="638"/>
      <c r="P1410" s="937">
        <f t="shared" si="162"/>
        <v>296050</v>
      </c>
      <c r="Q1410" s="943">
        <f t="shared" si="163"/>
        <v>141715</v>
      </c>
      <c r="R1410" s="763">
        <f t="shared" si="164"/>
        <v>47.86860327647357</v>
      </c>
    </row>
    <row r="1411" spans="2:18" ht="12.75">
      <c r="B1411" s="177">
        <f t="shared" si="156"/>
        <v>92</v>
      </c>
      <c r="C1411" s="137"/>
      <c r="D1411" s="137"/>
      <c r="E1411" s="160"/>
      <c r="F1411" s="160">
        <v>610</v>
      </c>
      <c r="G1411" s="206" t="s">
        <v>262</v>
      </c>
      <c r="H1411" s="346">
        <v>193495</v>
      </c>
      <c r="I1411" s="346">
        <v>94736</v>
      </c>
      <c r="J1411" s="620">
        <f t="shared" si="161"/>
        <v>48.96043825421846</v>
      </c>
      <c r="K1411" s="139"/>
      <c r="L1411" s="150"/>
      <c r="M1411" s="462"/>
      <c r="N1411" s="638"/>
      <c r="P1411" s="830">
        <f t="shared" si="162"/>
        <v>193495</v>
      </c>
      <c r="Q1411" s="844">
        <f t="shared" si="163"/>
        <v>94736</v>
      </c>
      <c r="R1411" s="763">
        <f t="shared" si="164"/>
        <v>48.96043825421846</v>
      </c>
    </row>
    <row r="1412" spans="2:18" ht="12.75">
      <c r="B1412" s="177">
        <f t="shared" si="156"/>
        <v>93</v>
      </c>
      <c r="C1412" s="137"/>
      <c r="D1412" s="137"/>
      <c r="E1412" s="141"/>
      <c r="F1412" s="160">
        <v>620</v>
      </c>
      <c r="G1412" s="206" t="s">
        <v>264</v>
      </c>
      <c r="H1412" s="346">
        <v>68645</v>
      </c>
      <c r="I1412" s="346">
        <v>32103</v>
      </c>
      <c r="J1412" s="620">
        <f t="shared" si="161"/>
        <v>46.76669823002403</v>
      </c>
      <c r="K1412" s="139"/>
      <c r="L1412" s="150"/>
      <c r="M1412" s="462"/>
      <c r="N1412" s="638"/>
      <c r="P1412" s="830">
        <f t="shared" si="162"/>
        <v>68645</v>
      </c>
      <c r="Q1412" s="844">
        <f t="shared" si="163"/>
        <v>32103</v>
      </c>
      <c r="R1412" s="763">
        <f t="shared" si="164"/>
        <v>46.76669823002403</v>
      </c>
    </row>
    <row r="1413" spans="2:18" ht="12.75">
      <c r="B1413" s="177">
        <f t="shared" si="156"/>
        <v>94</v>
      </c>
      <c r="C1413" s="137"/>
      <c r="D1413" s="137"/>
      <c r="E1413" s="141"/>
      <c r="F1413" s="160">
        <v>630</v>
      </c>
      <c r="G1413" s="206" t="s">
        <v>239</v>
      </c>
      <c r="H1413" s="346">
        <f>H1414+H1415+H1416+H1417</f>
        <v>32010</v>
      </c>
      <c r="I1413" s="346">
        <f>I1414+I1415+I1416+I1417</f>
        <v>13205</v>
      </c>
      <c r="J1413" s="620">
        <f t="shared" si="161"/>
        <v>41.25273352077476</v>
      </c>
      <c r="K1413" s="139"/>
      <c r="L1413" s="150"/>
      <c r="M1413" s="462"/>
      <c r="N1413" s="638"/>
      <c r="P1413" s="830">
        <f t="shared" si="162"/>
        <v>32010</v>
      </c>
      <c r="Q1413" s="844">
        <f t="shared" si="163"/>
        <v>13205</v>
      </c>
      <c r="R1413" s="763">
        <f t="shared" si="164"/>
        <v>41.25273352077476</v>
      </c>
    </row>
    <row r="1414" spans="2:18" ht="12.75">
      <c r="B1414" s="177">
        <f t="shared" si="156"/>
        <v>95</v>
      </c>
      <c r="C1414" s="137"/>
      <c r="D1414" s="137"/>
      <c r="E1414" s="141"/>
      <c r="F1414" s="141">
        <v>632</v>
      </c>
      <c r="G1414" s="199" t="s">
        <v>314</v>
      </c>
      <c r="H1414" s="335">
        <v>650</v>
      </c>
      <c r="I1414" s="335">
        <v>332</v>
      </c>
      <c r="J1414" s="620">
        <f t="shared" si="161"/>
        <v>51.07692307692307</v>
      </c>
      <c r="K1414" s="139"/>
      <c r="L1414" s="150"/>
      <c r="M1414" s="462"/>
      <c r="N1414" s="638"/>
      <c r="P1414" s="804">
        <f t="shared" si="162"/>
        <v>650</v>
      </c>
      <c r="Q1414" s="812">
        <f t="shared" si="163"/>
        <v>332</v>
      </c>
      <c r="R1414" s="763">
        <f t="shared" si="164"/>
        <v>51.07692307692307</v>
      </c>
    </row>
    <row r="1415" spans="2:18" ht="12.75">
      <c r="B1415" s="177">
        <f t="shared" si="156"/>
        <v>96</v>
      </c>
      <c r="C1415" s="137"/>
      <c r="D1415" s="137"/>
      <c r="E1415" s="141"/>
      <c r="F1415" s="141">
        <v>633</v>
      </c>
      <c r="G1415" s="199" t="s">
        <v>251</v>
      </c>
      <c r="H1415" s="335">
        <f>2400-800</f>
        <v>1600</v>
      </c>
      <c r="I1415" s="335">
        <v>60</v>
      </c>
      <c r="J1415" s="620">
        <f t="shared" si="161"/>
        <v>3.75</v>
      </c>
      <c r="K1415" s="139"/>
      <c r="L1415" s="150"/>
      <c r="M1415" s="462"/>
      <c r="N1415" s="638"/>
      <c r="P1415" s="804">
        <f t="shared" si="162"/>
        <v>1600</v>
      </c>
      <c r="Q1415" s="812">
        <f t="shared" si="163"/>
        <v>60</v>
      </c>
      <c r="R1415" s="763">
        <f t="shared" si="164"/>
        <v>3.75</v>
      </c>
    </row>
    <row r="1416" spans="2:18" ht="12.75">
      <c r="B1416" s="177">
        <f t="shared" si="156"/>
        <v>97</v>
      </c>
      <c r="C1416" s="137"/>
      <c r="D1416" s="137"/>
      <c r="E1416" s="141"/>
      <c r="F1416" s="141">
        <v>634</v>
      </c>
      <c r="G1416" s="199" t="s">
        <v>265</v>
      </c>
      <c r="H1416" s="335">
        <f>5750-1000</f>
        <v>4750</v>
      </c>
      <c r="I1416" s="335">
        <v>1218</v>
      </c>
      <c r="J1416" s="620">
        <f t="shared" si="161"/>
        <v>25.642105263157895</v>
      </c>
      <c r="K1416" s="139"/>
      <c r="L1416" s="150"/>
      <c r="M1416" s="462"/>
      <c r="N1416" s="638"/>
      <c r="P1416" s="804">
        <f t="shared" si="162"/>
        <v>4750</v>
      </c>
      <c r="Q1416" s="812">
        <f t="shared" si="163"/>
        <v>1218</v>
      </c>
      <c r="R1416" s="763">
        <f t="shared" si="164"/>
        <v>25.642105263157895</v>
      </c>
    </row>
    <row r="1417" spans="2:18" ht="12.75">
      <c r="B1417" s="177">
        <f aca="true" t="shared" si="165" ref="B1417:B1450">B1416+1</f>
        <v>98</v>
      </c>
      <c r="C1417" s="137"/>
      <c r="D1417" s="137"/>
      <c r="E1417" s="141"/>
      <c r="F1417" s="141">
        <v>637</v>
      </c>
      <c r="G1417" s="199" t="s">
        <v>252</v>
      </c>
      <c r="H1417" s="335">
        <f>23210+1800</f>
        <v>25010</v>
      </c>
      <c r="I1417" s="335">
        <v>11595</v>
      </c>
      <c r="J1417" s="620">
        <f t="shared" si="161"/>
        <v>46.361455417832865</v>
      </c>
      <c r="K1417" s="139"/>
      <c r="L1417" s="150"/>
      <c r="M1417" s="462"/>
      <c r="N1417" s="638"/>
      <c r="P1417" s="804">
        <f t="shared" si="162"/>
        <v>25010</v>
      </c>
      <c r="Q1417" s="812">
        <f t="shared" si="163"/>
        <v>11595</v>
      </c>
      <c r="R1417" s="763">
        <f t="shared" si="164"/>
        <v>46.361455417832865</v>
      </c>
    </row>
    <row r="1418" spans="2:18" ht="12.75">
      <c r="B1418" s="177">
        <f t="shared" si="165"/>
        <v>99</v>
      </c>
      <c r="C1418" s="137"/>
      <c r="D1418" s="137"/>
      <c r="E1418" s="141"/>
      <c r="F1418" s="160">
        <v>640</v>
      </c>
      <c r="G1418" s="206" t="s">
        <v>315</v>
      </c>
      <c r="H1418" s="346">
        <v>1900</v>
      </c>
      <c r="I1418" s="346">
        <v>1671</v>
      </c>
      <c r="J1418" s="620">
        <f t="shared" si="161"/>
        <v>87.94736842105263</v>
      </c>
      <c r="K1418" s="139"/>
      <c r="L1418" s="150"/>
      <c r="M1418" s="462"/>
      <c r="N1418" s="638"/>
      <c r="P1418" s="830">
        <f t="shared" si="162"/>
        <v>1900</v>
      </c>
      <c r="Q1418" s="844">
        <f t="shared" si="163"/>
        <v>1671</v>
      </c>
      <c r="R1418" s="763">
        <f t="shared" si="164"/>
        <v>87.94736842105263</v>
      </c>
    </row>
    <row r="1419" spans="2:18" ht="12.75">
      <c r="B1419" s="177">
        <f t="shared" si="165"/>
        <v>100</v>
      </c>
      <c r="C1419" s="137"/>
      <c r="D1419" s="137"/>
      <c r="E1419" s="141"/>
      <c r="F1419" s="160"/>
      <c r="G1419" s="206"/>
      <c r="H1419" s="398"/>
      <c r="I1419" s="398"/>
      <c r="J1419" s="620"/>
      <c r="K1419" s="139"/>
      <c r="L1419" s="168"/>
      <c r="M1419" s="452"/>
      <c r="N1419" s="638"/>
      <c r="P1419" s="830"/>
      <c r="Q1419" s="844"/>
      <c r="R1419" s="763"/>
    </row>
    <row r="1420" spans="2:18" ht="12.75">
      <c r="B1420" s="177">
        <f t="shared" si="165"/>
        <v>101</v>
      </c>
      <c r="C1420" s="137"/>
      <c r="D1420" s="137"/>
      <c r="E1420" s="141"/>
      <c r="F1420" s="160">
        <v>714</v>
      </c>
      <c r="G1420" s="206" t="s">
        <v>794</v>
      </c>
      <c r="H1420" s="398"/>
      <c r="I1420" s="398"/>
      <c r="J1420" s="620"/>
      <c r="K1420" s="139"/>
      <c r="L1420" s="168">
        <v>6650</v>
      </c>
      <c r="M1420" s="452">
        <v>0</v>
      </c>
      <c r="N1420" s="638">
        <f>M1420/L1420*100</f>
        <v>0</v>
      </c>
      <c r="P1420" s="830">
        <f aca="true" t="shared" si="166" ref="P1420:P1450">H1420+L1420</f>
        <v>6650</v>
      </c>
      <c r="Q1420" s="844">
        <f aca="true" t="shared" si="167" ref="Q1420:Q1450">I1420+M1420</f>
        <v>0</v>
      </c>
      <c r="R1420" s="763">
        <f aca="true" t="shared" si="168" ref="R1420:R1438">Q1420/P1420*100</f>
        <v>0</v>
      </c>
    </row>
    <row r="1421" spans="2:18" ht="15.75">
      <c r="B1421" s="177">
        <f t="shared" si="165"/>
        <v>102</v>
      </c>
      <c r="C1421" s="24">
        <v>8</v>
      </c>
      <c r="D1421" s="134" t="s">
        <v>102</v>
      </c>
      <c r="E1421" s="25"/>
      <c r="F1421" s="25"/>
      <c r="G1421" s="198"/>
      <c r="H1421" s="372">
        <f>H1422</f>
        <v>2000</v>
      </c>
      <c r="I1421" s="372">
        <f>I1422</f>
        <v>375</v>
      </c>
      <c r="J1421" s="620">
        <f aca="true" t="shared" si="169" ref="J1421:J1438">I1421/H1421*100</f>
        <v>18.75</v>
      </c>
      <c r="K1421" s="90"/>
      <c r="L1421" s="410">
        <v>0</v>
      </c>
      <c r="M1421" s="975">
        <v>0</v>
      </c>
      <c r="N1421" s="638"/>
      <c r="P1421" s="754">
        <f t="shared" si="166"/>
        <v>2000</v>
      </c>
      <c r="Q1421" s="766">
        <f t="shared" si="167"/>
        <v>375</v>
      </c>
      <c r="R1421" s="763">
        <f t="shared" si="168"/>
        <v>18.75</v>
      </c>
    </row>
    <row r="1422" spans="2:18" ht="12.75">
      <c r="B1422" s="177">
        <f t="shared" si="165"/>
        <v>103</v>
      </c>
      <c r="C1422" s="142"/>
      <c r="D1422" s="142"/>
      <c r="E1422" s="143" t="s">
        <v>288</v>
      </c>
      <c r="F1422" s="143">
        <v>637</v>
      </c>
      <c r="G1422" s="209" t="s">
        <v>300</v>
      </c>
      <c r="H1422" s="335">
        <v>2000</v>
      </c>
      <c r="I1422" s="335">
        <v>375</v>
      </c>
      <c r="J1422" s="620">
        <f t="shared" si="169"/>
        <v>18.75</v>
      </c>
      <c r="K1422" s="139"/>
      <c r="L1422" s="150"/>
      <c r="M1422" s="462"/>
      <c r="N1422" s="638"/>
      <c r="P1422" s="804">
        <f t="shared" si="166"/>
        <v>2000</v>
      </c>
      <c r="Q1422" s="812">
        <f t="shared" si="167"/>
        <v>375</v>
      </c>
      <c r="R1422" s="763">
        <f t="shared" si="168"/>
        <v>18.75</v>
      </c>
    </row>
    <row r="1423" spans="2:18" ht="15.75">
      <c r="B1423" s="177">
        <f t="shared" si="165"/>
        <v>104</v>
      </c>
      <c r="C1423" s="24">
        <v>9</v>
      </c>
      <c r="D1423" s="134" t="s">
        <v>147</v>
      </c>
      <c r="E1423" s="25"/>
      <c r="F1423" s="25"/>
      <c r="G1423" s="198"/>
      <c r="H1423" s="372">
        <f>SUM(H1424:H1428)</f>
        <v>16392</v>
      </c>
      <c r="I1423" s="372">
        <f>SUM(I1424:I1428)</f>
        <v>5936</v>
      </c>
      <c r="J1423" s="620">
        <f t="shared" si="169"/>
        <v>36.21278672523182</v>
      </c>
      <c r="K1423" s="90"/>
      <c r="L1423" s="410">
        <v>0</v>
      </c>
      <c r="M1423" s="975">
        <v>0</v>
      </c>
      <c r="N1423" s="638"/>
      <c r="P1423" s="754">
        <f t="shared" si="166"/>
        <v>16392</v>
      </c>
      <c r="Q1423" s="766">
        <f t="shared" si="167"/>
        <v>5936</v>
      </c>
      <c r="R1423" s="763">
        <f t="shared" si="168"/>
        <v>36.21278672523182</v>
      </c>
    </row>
    <row r="1424" spans="2:18" ht="12.75">
      <c r="B1424" s="177">
        <f t="shared" si="165"/>
        <v>105</v>
      </c>
      <c r="C1424" s="142"/>
      <c r="D1424" s="142"/>
      <c r="E1424" s="143" t="s">
        <v>301</v>
      </c>
      <c r="F1424" s="143">
        <v>640</v>
      </c>
      <c r="G1424" s="209" t="s">
        <v>302</v>
      </c>
      <c r="H1424" s="335">
        <v>500</v>
      </c>
      <c r="I1424" s="335"/>
      <c r="J1424" s="620">
        <f t="shared" si="169"/>
        <v>0</v>
      </c>
      <c r="K1424" s="139"/>
      <c r="L1424" s="150"/>
      <c r="M1424" s="462"/>
      <c r="N1424" s="638"/>
      <c r="P1424" s="804">
        <f t="shared" si="166"/>
        <v>500</v>
      </c>
      <c r="Q1424" s="812">
        <f t="shared" si="167"/>
        <v>0</v>
      </c>
      <c r="R1424" s="763">
        <f t="shared" si="168"/>
        <v>0</v>
      </c>
    </row>
    <row r="1425" spans="2:18" ht="12.75">
      <c r="B1425" s="177">
        <f t="shared" si="165"/>
        <v>106</v>
      </c>
      <c r="C1425" s="137"/>
      <c r="D1425" s="137"/>
      <c r="E1425" s="143" t="s">
        <v>301</v>
      </c>
      <c r="F1425" s="143">
        <v>640</v>
      </c>
      <c r="G1425" s="199" t="s">
        <v>303</v>
      </c>
      <c r="H1425" s="335">
        <v>500</v>
      </c>
      <c r="I1425" s="335"/>
      <c r="J1425" s="620">
        <f t="shared" si="169"/>
        <v>0</v>
      </c>
      <c r="K1425" s="139"/>
      <c r="L1425" s="150"/>
      <c r="M1425" s="462"/>
      <c r="N1425" s="638"/>
      <c r="P1425" s="804">
        <f t="shared" si="166"/>
        <v>500</v>
      </c>
      <c r="Q1425" s="812">
        <f t="shared" si="167"/>
        <v>0</v>
      </c>
      <c r="R1425" s="763">
        <f t="shared" si="168"/>
        <v>0</v>
      </c>
    </row>
    <row r="1426" spans="2:18" ht="12.75">
      <c r="B1426" s="177">
        <f t="shared" si="165"/>
        <v>107</v>
      </c>
      <c r="C1426" s="142"/>
      <c r="D1426" s="142"/>
      <c r="E1426" s="143" t="s">
        <v>301</v>
      </c>
      <c r="F1426" s="143">
        <v>640</v>
      </c>
      <c r="G1426" s="209" t="s">
        <v>304</v>
      </c>
      <c r="H1426" s="335">
        <v>12000</v>
      </c>
      <c r="I1426" s="335">
        <v>3060</v>
      </c>
      <c r="J1426" s="620">
        <f t="shared" si="169"/>
        <v>25.5</v>
      </c>
      <c r="K1426" s="159"/>
      <c r="L1426" s="150"/>
      <c r="M1426" s="462"/>
      <c r="N1426" s="638"/>
      <c r="P1426" s="804">
        <f t="shared" si="166"/>
        <v>12000</v>
      </c>
      <c r="Q1426" s="812">
        <f t="shared" si="167"/>
        <v>3060</v>
      </c>
      <c r="R1426" s="763">
        <f t="shared" si="168"/>
        <v>25.5</v>
      </c>
    </row>
    <row r="1427" spans="2:18" ht="12.75">
      <c r="B1427" s="177">
        <f t="shared" si="165"/>
        <v>108</v>
      </c>
      <c r="C1427" s="137"/>
      <c r="D1427" s="169"/>
      <c r="E1427" s="143" t="s">
        <v>751</v>
      </c>
      <c r="F1427" s="143">
        <v>637</v>
      </c>
      <c r="G1427" s="199" t="s">
        <v>747</v>
      </c>
      <c r="H1427" s="341">
        <v>3000</v>
      </c>
      <c r="I1427" s="341">
        <v>2876</v>
      </c>
      <c r="J1427" s="620">
        <f t="shared" si="169"/>
        <v>95.86666666666666</v>
      </c>
      <c r="K1427" s="139"/>
      <c r="L1427" s="168"/>
      <c r="M1427" s="452"/>
      <c r="N1427" s="638"/>
      <c r="P1427" s="805">
        <f t="shared" si="166"/>
        <v>3000</v>
      </c>
      <c r="Q1427" s="813">
        <f t="shared" si="167"/>
        <v>2876</v>
      </c>
      <c r="R1427" s="763">
        <f t="shared" si="168"/>
        <v>95.86666666666666</v>
      </c>
    </row>
    <row r="1428" spans="2:18" ht="12.75">
      <c r="B1428" s="177">
        <f t="shared" si="165"/>
        <v>109</v>
      </c>
      <c r="C1428" s="137"/>
      <c r="D1428" s="169"/>
      <c r="E1428" s="143" t="s">
        <v>751</v>
      </c>
      <c r="F1428" s="143">
        <v>637</v>
      </c>
      <c r="G1428" s="199" t="s">
        <v>795</v>
      </c>
      <c r="H1428" s="341">
        <v>392</v>
      </c>
      <c r="I1428" s="341">
        <v>0</v>
      </c>
      <c r="J1428" s="620">
        <f t="shared" si="169"/>
        <v>0</v>
      </c>
      <c r="K1428" s="139"/>
      <c r="L1428" s="168"/>
      <c r="M1428" s="452"/>
      <c r="N1428" s="638"/>
      <c r="P1428" s="805">
        <f t="shared" si="166"/>
        <v>392</v>
      </c>
      <c r="Q1428" s="813">
        <f t="shared" si="167"/>
        <v>0</v>
      </c>
      <c r="R1428" s="763">
        <f t="shared" si="168"/>
        <v>0</v>
      </c>
    </row>
    <row r="1429" spans="2:18" ht="15.75">
      <c r="B1429" s="177">
        <f t="shared" si="165"/>
        <v>110</v>
      </c>
      <c r="C1429" s="24">
        <v>10</v>
      </c>
      <c r="D1429" s="134" t="s">
        <v>125</v>
      </c>
      <c r="E1429" s="25"/>
      <c r="F1429" s="25"/>
      <c r="G1429" s="198"/>
      <c r="H1429" s="372">
        <f>H1430</f>
        <v>10900</v>
      </c>
      <c r="I1429" s="372">
        <f>I1430</f>
        <v>4621</v>
      </c>
      <c r="J1429" s="620">
        <f t="shared" si="169"/>
        <v>42.39449541284404</v>
      </c>
      <c r="K1429" s="90"/>
      <c r="L1429" s="410">
        <v>0</v>
      </c>
      <c r="M1429" s="975">
        <v>0</v>
      </c>
      <c r="N1429" s="638"/>
      <c r="P1429" s="754">
        <f t="shared" si="166"/>
        <v>10900</v>
      </c>
      <c r="Q1429" s="766">
        <f t="shared" si="167"/>
        <v>4621</v>
      </c>
      <c r="R1429" s="763">
        <f t="shared" si="168"/>
        <v>42.39449541284404</v>
      </c>
    </row>
    <row r="1430" spans="2:18" ht="12.75">
      <c r="B1430" s="177">
        <f t="shared" si="165"/>
        <v>111</v>
      </c>
      <c r="C1430" s="142"/>
      <c r="D1430" s="142"/>
      <c r="E1430" s="324" t="s">
        <v>336</v>
      </c>
      <c r="F1430" s="324"/>
      <c r="G1430" s="325" t="s">
        <v>487</v>
      </c>
      <c r="H1430" s="364">
        <f>H1431+H1432+H1433+H1438</f>
        <v>10900</v>
      </c>
      <c r="I1430" s="364">
        <f>I1431+I1432+I1433+I1438</f>
        <v>4621</v>
      </c>
      <c r="J1430" s="620">
        <f t="shared" si="169"/>
        <v>42.39449541284404</v>
      </c>
      <c r="K1430" s="327"/>
      <c r="L1430" s="411"/>
      <c r="M1430" s="976"/>
      <c r="N1430" s="638"/>
      <c r="P1430" s="937">
        <f t="shared" si="166"/>
        <v>10900</v>
      </c>
      <c r="Q1430" s="943">
        <f t="shared" si="167"/>
        <v>4621</v>
      </c>
      <c r="R1430" s="763">
        <f t="shared" si="168"/>
        <v>42.39449541284404</v>
      </c>
    </row>
    <row r="1431" spans="2:18" ht="12.75">
      <c r="B1431" s="177">
        <f t="shared" si="165"/>
        <v>112</v>
      </c>
      <c r="C1431" s="137"/>
      <c r="D1431" s="137"/>
      <c r="E1431" s="160"/>
      <c r="F1431" s="160">
        <v>610</v>
      </c>
      <c r="G1431" s="206" t="s">
        <v>262</v>
      </c>
      <c r="H1431" s="346">
        <f>5690+200</f>
        <v>5890</v>
      </c>
      <c r="I1431" s="346">
        <v>2417</v>
      </c>
      <c r="J1431" s="620">
        <f t="shared" si="169"/>
        <v>41.035653650254666</v>
      </c>
      <c r="K1431" s="139"/>
      <c r="L1431" s="150"/>
      <c r="M1431" s="462"/>
      <c r="N1431" s="638"/>
      <c r="P1431" s="830">
        <f t="shared" si="166"/>
        <v>5890</v>
      </c>
      <c r="Q1431" s="844">
        <f t="shared" si="167"/>
        <v>2417</v>
      </c>
      <c r="R1431" s="763">
        <f t="shared" si="168"/>
        <v>41.035653650254666</v>
      </c>
    </row>
    <row r="1432" spans="2:18" ht="12.75">
      <c r="B1432" s="177">
        <f t="shared" si="165"/>
        <v>113</v>
      </c>
      <c r="C1432" s="137"/>
      <c r="D1432" s="137"/>
      <c r="E1432" s="141"/>
      <c r="F1432" s="160">
        <v>620</v>
      </c>
      <c r="G1432" s="206" t="s">
        <v>264</v>
      </c>
      <c r="H1432" s="346">
        <f>1900+70</f>
        <v>1970</v>
      </c>
      <c r="I1432" s="346">
        <v>1010</v>
      </c>
      <c r="J1432" s="620">
        <f t="shared" si="169"/>
        <v>51.26903553299492</v>
      </c>
      <c r="K1432" s="139"/>
      <c r="L1432" s="150"/>
      <c r="M1432" s="462"/>
      <c r="N1432" s="638"/>
      <c r="P1432" s="830">
        <f t="shared" si="166"/>
        <v>1970</v>
      </c>
      <c r="Q1432" s="844">
        <f t="shared" si="167"/>
        <v>1010</v>
      </c>
      <c r="R1432" s="763">
        <f t="shared" si="168"/>
        <v>51.26903553299492</v>
      </c>
    </row>
    <row r="1433" spans="2:18" ht="12.75">
      <c r="B1433" s="177">
        <f t="shared" si="165"/>
        <v>114</v>
      </c>
      <c r="C1433" s="137"/>
      <c r="D1433" s="137"/>
      <c r="E1433" s="141"/>
      <c r="F1433" s="160">
        <v>630</v>
      </c>
      <c r="G1433" s="206" t="s">
        <v>239</v>
      </c>
      <c r="H1433" s="346">
        <f>H1434+H1435+H1436+H1437</f>
        <v>3010</v>
      </c>
      <c r="I1433" s="346">
        <f>I1434+I1435+I1436+I1437</f>
        <v>1194</v>
      </c>
      <c r="J1433" s="620">
        <f t="shared" si="169"/>
        <v>39.667774086378735</v>
      </c>
      <c r="K1433" s="139"/>
      <c r="L1433" s="150"/>
      <c r="M1433" s="462"/>
      <c r="N1433" s="638"/>
      <c r="P1433" s="830">
        <f t="shared" si="166"/>
        <v>3010</v>
      </c>
      <c r="Q1433" s="844">
        <f t="shared" si="167"/>
        <v>1194</v>
      </c>
      <c r="R1433" s="763">
        <f t="shared" si="168"/>
        <v>39.667774086378735</v>
      </c>
    </row>
    <row r="1434" spans="2:18" ht="12.75">
      <c r="B1434" s="177">
        <f t="shared" si="165"/>
        <v>115</v>
      </c>
      <c r="C1434" s="137"/>
      <c r="D1434" s="137"/>
      <c r="E1434" s="141"/>
      <c r="F1434" s="141">
        <v>632</v>
      </c>
      <c r="G1434" s="199" t="s">
        <v>488</v>
      </c>
      <c r="H1434" s="335">
        <v>70</v>
      </c>
      <c r="I1434" s="335">
        <v>9</v>
      </c>
      <c r="J1434" s="620">
        <f t="shared" si="169"/>
        <v>12.857142857142856</v>
      </c>
      <c r="K1434" s="139"/>
      <c r="L1434" s="150"/>
      <c r="M1434" s="462"/>
      <c r="N1434" s="638"/>
      <c r="P1434" s="804">
        <f t="shared" si="166"/>
        <v>70</v>
      </c>
      <c r="Q1434" s="812">
        <f t="shared" si="167"/>
        <v>9</v>
      </c>
      <c r="R1434" s="763">
        <f t="shared" si="168"/>
        <v>12.857142857142856</v>
      </c>
    </row>
    <row r="1435" spans="2:18" ht="12.75">
      <c r="B1435" s="177">
        <f t="shared" si="165"/>
        <v>116</v>
      </c>
      <c r="C1435" s="137"/>
      <c r="D1435" s="137"/>
      <c r="E1435" s="141"/>
      <c r="F1435" s="141">
        <v>633</v>
      </c>
      <c r="G1435" s="199" t="s">
        <v>251</v>
      </c>
      <c r="H1435" s="335">
        <v>30</v>
      </c>
      <c r="I1435" s="335">
        <v>0</v>
      </c>
      <c r="J1435" s="620">
        <f t="shared" si="169"/>
        <v>0</v>
      </c>
      <c r="K1435" s="139"/>
      <c r="L1435" s="150"/>
      <c r="M1435" s="462"/>
      <c r="N1435" s="638"/>
      <c r="P1435" s="804">
        <f t="shared" si="166"/>
        <v>30</v>
      </c>
      <c r="Q1435" s="812">
        <f t="shared" si="167"/>
        <v>0</v>
      </c>
      <c r="R1435" s="763">
        <f t="shared" si="168"/>
        <v>0</v>
      </c>
    </row>
    <row r="1436" spans="2:18" ht="12.75">
      <c r="B1436" s="177">
        <f t="shared" si="165"/>
        <v>117</v>
      </c>
      <c r="C1436" s="137"/>
      <c r="D1436" s="137"/>
      <c r="E1436" s="141"/>
      <c r="F1436" s="141">
        <v>634</v>
      </c>
      <c r="G1436" s="199" t="s">
        <v>265</v>
      </c>
      <c r="H1436" s="335">
        <f>2510-270</f>
        <v>2240</v>
      </c>
      <c r="I1436" s="335">
        <v>796</v>
      </c>
      <c r="J1436" s="620">
        <f t="shared" si="169"/>
        <v>35.535714285714285</v>
      </c>
      <c r="K1436" s="139"/>
      <c r="L1436" s="150"/>
      <c r="M1436" s="462"/>
      <c r="N1436" s="638"/>
      <c r="P1436" s="804">
        <f t="shared" si="166"/>
        <v>2240</v>
      </c>
      <c r="Q1436" s="812">
        <f t="shared" si="167"/>
        <v>796</v>
      </c>
      <c r="R1436" s="763">
        <f t="shared" si="168"/>
        <v>35.535714285714285</v>
      </c>
    </row>
    <row r="1437" spans="2:18" ht="12.75">
      <c r="B1437" s="177">
        <f t="shared" si="165"/>
        <v>118</v>
      </c>
      <c r="C1437" s="137"/>
      <c r="D1437" s="137"/>
      <c r="E1437" s="141"/>
      <c r="F1437" s="141">
        <v>637</v>
      </c>
      <c r="G1437" s="199" t="s">
        <v>252</v>
      </c>
      <c r="H1437" s="335">
        <v>670</v>
      </c>
      <c r="I1437" s="335">
        <v>389</v>
      </c>
      <c r="J1437" s="620">
        <f t="shared" si="169"/>
        <v>58.05970149253732</v>
      </c>
      <c r="K1437" s="139"/>
      <c r="L1437" s="150"/>
      <c r="M1437" s="462"/>
      <c r="N1437" s="638"/>
      <c r="P1437" s="804">
        <f t="shared" si="166"/>
        <v>670</v>
      </c>
      <c r="Q1437" s="812">
        <f t="shared" si="167"/>
        <v>389</v>
      </c>
      <c r="R1437" s="763">
        <f t="shared" si="168"/>
        <v>58.05970149253732</v>
      </c>
    </row>
    <row r="1438" spans="2:18" ht="12.75">
      <c r="B1438" s="177">
        <f t="shared" si="165"/>
        <v>119</v>
      </c>
      <c r="C1438" s="137"/>
      <c r="D1438" s="169"/>
      <c r="E1438" s="143"/>
      <c r="F1438" s="215">
        <v>640</v>
      </c>
      <c r="G1438" s="206" t="s">
        <v>273</v>
      </c>
      <c r="H1438" s="346">
        <v>30</v>
      </c>
      <c r="I1438" s="346">
        <v>0</v>
      </c>
      <c r="J1438" s="620">
        <f t="shared" si="169"/>
        <v>0</v>
      </c>
      <c r="K1438" s="139"/>
      <c r="L1438" s="150"/>
      <c r="M1438" s="462"/>
      <c r="N1438" s="638"/>
      <c r="P1438" s="804">
        <f t="shared" si="166"/>
        <v>30</v>
      </c>
      <c r="Q1438" s="812">
        <f t="shared" si="167"/>
        <v>0</v>
      </c>
      <c r="R1438" s="763">
        <f t="shared" si="168"/>
        <v>0</v>
      </c>
    </row>
    <row r="1439" spans="2:18" ht="15.75">
      <c r="B1439" s="177">
        <f t="shared" si="165"/>
        <v>120</v>
      </c>
      <c r="C1439" s="24">
        <v>11</v>
      </c>
      <c r="D1439" s="134" t="s">
        <v>500</v>
      </c>
      <c r="E1439" s="25"/>
      <c r="F1439" s="25"/>
      <c r="G1439" s="198"/>
      <c r="H1439" s="372">
        <f>H1440</f>
        <v>112255</v>
      </c>
      <c r="I1439" s="372">
        <f>I1440</f>
        <v>58231</v>
      </c>
      <c r="J1439" s="620">
        <f aca="true" t="shared" si="170" ref="J1439:J1450">I1439/H1439*100</f>
        <v>51.873858625450985</v>
      </c>
      <c r="K1439" s="90"/>
      <c r="L1439" s="410">
        <v>0</v>
      </c>
      <c r="M1439" s="975">
        <v>0</v>
      </c>
      <c r="N1439" s="638"/>
      <c r="P1439" s="754">
        <f t="shared" si="166"/>
        <v>112255</v>
      </c>
      <c r="Q1439" s="766">
        <f t="shared" si="167"/>
        <v>58231</v>
      </c>
      <c r="R1439" s="763">
        <f aca="true" t="shared" si="171" ref="R1439:R1450">Q1439/P1439*100</f>
        <v>51.873858625450985</v>
      </c>
    </row>
    <row r="1440" spans="2:18" ht="12.75">
      <c r="B1440" s="177">
        <f t="shared" si="165"/>
        <v>121</v>
      </c>
      <c r="C1440" s="142"/>
      <c r="D1440" s="142"/>
      <c r="E1440" s="324" t="s">
        <v>274</v>
      </c>
      <c r="F1440" s="324"/>
      <c r="G1440" s="325" t="s">
        <v>487</v>
      </c>
      <c r="H1440" s="364">
        <f>H1441+H1442+H1443+H1450</f>
        <v>112255</v>
      </c>
      <c r="I1440" s="364">
        <f>I1441+I1442+I1443+I1450</f>
        <v>58231</v>
      </c>
      <c r="J1440" s="620">
        <f t="shared" si="170"/>
        <v>51.873858625450985</v>
      </c>
      <c r="K1440" s="327"/>
      <c r="L1440" s="411"/>
      <c r="M1440" s="976"/>
      <c r="N1440" s="638"/>
      <c r="P1440" s="937">
        <f t="shared" si="166"/>
        <v>112255</v>
      </c>
      <c r="Q1440" s="943">
        <f t="shared" si="167"/>
        <v>58231</v>
      </c>
      <c r="R1440" s="763">
        <f t="shared" si="171"/>
        <v>51.873858625450985</v>
      </c>
    </row>
    <row r="1441" spans="2:18" ht="12.75">
      <c r="B1441" s="177">
        <f t="shared" si="165"/>
        <v>122</v>
      </c>
      <c r="C1441" s="137"/>
      <c r="D1441" s="137"/>
      <c r="E1441" s="160"/>
      <c r="F1441" s="160">
        <v>610</v>
      </c>
      <c r="G1441" s="206" t="s">
        <v>262</v>
      </c>
      <c r="H1441" s="346">
        <f>64700+1150</f>
        <v>65850</v>
      </c>
      <c r="I1441" s="346">
        <v>33755</v>
      </c>
      <c r="J1441" s="620">
        <f t="shared" si="170"/>
        <v>51.26044039483675</v>
      </c>
      <c r="K1441" s="139"/>
      <c r="L1441" s="150"/>
      <c r="M1441" s="462"/>
      <c r="N1441" s="638"/>
      <c r="P1441" s="830">
        <f t="shared" si="166"/>
        <v>65850</v>
      </c>
      <c r="Q1441" s="844">
        <f t="shared" si="167"/>
        <v>33755</v>
      </c>
      <c r="R1441" s="763">
        <f t="shared" si="171"/>
        <v>51.26044039483675</v>
      </c>
    </row>
    <row r="1442" spans="2:18" ht="12.75">
      <c r="B1442" s="177">
        <f t="shared" si="165"/>
        <v>123</v>
      </c>
      <c r="C1442" s="142"/>
      <c r="D1442" s="142"/>
      <c r="E1442" s="141"/>
      <c r="F1442" s="160">
        <v>620</v>
      </c>
      <c r="G1442" s="206" t="s">
        <v>264</v>
      </c>
      <c r="H1442" s="346">
        <f>22645+400</f>
        <v>23045</v>
      </c>
      <c r="I1442" s="346">
        <v>11817</v>
      </c>
      <c r="J1442" s="620">
        <f t="shared" si="170"/>
        <v>51.277934476025166</v>
      </c>
      <c r="K1442" s="139"/>
      <c r="L1442" s="150"/>
      <c r="M1442" s="462"/>
      <c r="N1442" s="638"/>
      <c r="P1442" s="830">
        <f t="shared" si="166"/>
        <v>23045</v>
      </c>
      <c r="Q1442" s="844">
        <f t="shared" si="167"/>
        <v>11817</v>
      </c>
      <c r="R1442" s="763">
        <f t="shared" si="171"/>
        <v>51.277934476025166</v>
      </c>
    </row>
    <row r="1443" spans="2:18" ht="12.75">
      <c r="B1443" s="177">
        <f t="shared" si="165"/>
        <v>124</v>
      </c>
      <c r="C1443" s="137"/>
      <c r="D1443" s="137"/>
      <c r="E1443" s="141"/>
      <c r="F1443" s="160">
        <v>630</v>
      </c>
      <c r="G1443" s="206" t="s">
        <v>239</v>
      </c>
      <c r="H1443" s="346">
        <f>SUM(H1444:H1449)</f>
        <v>23260</v>
      </c>
      <c r="I1443" s="346">
        <f>SUM(I1444:I1449)</f>
        <v>12659</v>
      </c>
      <c r="J1443" s="620">
        <f t="shared" si="170"/>
        <v>54.423903697334474</v>
      </c>
      <c r="K1443" s="159"/>
      <c r="L1443" s="150"/>
      <c r="M1443" s="462"/>
      <c r="N1443" s="638"/>
      <c r="P1443" s="830">
        <f t="shared" si="166"/>
        <v>23260</v>
      </c>
      <c r="Q1443" s="844">
        <f t="shared" si="167"/>
        <v>12659</v>
      </c>
      <c r="R1443" s="763">
        <f t="shared" si="171"/>
        <v>54.423903697334474</v>
      </c>
    </row>
    <row r="1444" spans="2:18" ht="12.75">
      <c r="B1444" s="177">
        <f t="shared" si="165"/>
        <v>125</v>
      </c>
      <c r="C1444" s="137"/>
      <c r="D1444" s="137"/>
      <c r="E1444" s="141"/>
      <c r="F1444" s="141">
        <v>631</v>
      </c>
      <c r="G1444" s="199" t="s">
        <v>559</v>
      </c>
      <c r="H1444" s="341">
        <f>50+50</f>
        <v>100</v>
      </c>
      <c r="I1444" s="341">
        <v>84</v>
      </c>
      <c r="J1444" s="620">
        <f t="shared" si="170"/>
        <v>84</v>
      </c>
      <c r="K1444" s="139"/>
      <c r="L1444" s="168"/>
      <c r="M1444" s="452"/>
      <c r="N1444" s="638"/>
      <c r="P1444" s="805">
        <f t="shared" si="166"/>
        <v>100</v>
      </c>
      <c r="Q1444" s="813">
        <f t="shared" si="167"/>
        <v>84</v>
      </c>
      <c r="R1444" s="763">
        <f t="shared" si="171"/>
        <v>84</v>
      </c>
    </row>
    <row r="1445" spans="2:18" ht="12.75">
      <c r="B1445" s="177">
        <f t="shared" si="165"/>
        <v>126</v>
      </c>
      <c r="C1445" s="137"/>
      <c r="D1445" s="137"/>
      <c r="E1445" s="141"/>
      <c r="F1445" s="141">
        <v>632</v>
      </c>
      <c r="G1445" s="199" t="s">
        <v>335</v>
      </c>
      <c r="H1445" s="341">
        <v>2150</v>
      </c>
      <c r="I1445" s="341">
        <v>1122</v>
      </c>
      <c r="J1445" s="620">
        <f t="shared" si="170"/>
        <v>52.18604651162791</v>
      </c>
      <c r="K1445" s="139"/>
      <c r="L1445" s="168"/>
      <c r="M1445" s="452"/>
      <c r="N1445" s="638"/>
      <c r="P1445" s="805">
        <f t="shared" si="166"/>
        <v>2150</v>
      </c>
      <c r="Q1445" s="813">
        <f t="shared" si="167"/>
        <v>1122</v>
      </c>
      <c r="R1445" s="763">
        <f t="shared" si="171"/>
        <v>52.18604651162791</v>
      </c>
    </row>
    <row r="1446" spans="2:18" ht="12.75">
      <c r="B1446" s="177">
        <f t="shared" si="165"/>
        <v>127</v>
      </c>
      <c r="C1446" s="137"/>
      <c r="D1446" s="137"/>
      <c r="E1446" s="141"/>
      <c r="F1446" s="141">
        <v>633</v>
      </c>
      <c r="G1446" s="199" t="s">
        <v>251</v>
      </c>
      <c r="H1446" s="335">
        <f>3385+1300-1800</f>
        <v>2885</v>
      </c>
      <c r="I1446" s="335">
        <v>746</v>
      </c>
      <c r="J1446" s="620">
        <f t="shared" si="170"/>
        <v>25.857885615251302</v>
      </c>
      <c r="K1446" s="139"/>
      <c r="L1446" s="150"/>
      <c r="M1446" s="462"/>
      <c r="N1446" s="638"/>
      <c r="P1446" s="804">
        <f t="shared" si="166"/>
        <v>2885</v>
      </c>
      <c r="Q1446" s="812">
        <f t="shared" si="167"/>
        <v>746</v>
      </c>
      <c r="R1446" s="763">
        <f t="shared" si="171"/>
        <v>25.857885615251302</v>
      </c>
    </row>
    <row r="1447" spans="2:18" ht="12.75">
      <c r="B1447" s="177">
        <f t="shared" si="165"/>
        <v>128</v>
      </c>
      <c r="C1447" s="137"/>
      <c r="D1447" s="137"/>
      <c r="E1447" s="141"/>
      <c r="F1447" s="141">
        <v>634</v>
      </c>
      <c r="G1447" s="199" t="s">
        <v>265</v>
      </c>
      <c r="H1447" s="335">
        <f>200+100</f>
        <v>300</v>
      </c>
      <c r="I1447" s="335">
        <v>219</v>
      </c>
      <c r="J1447" s="620">
        <f t="shared" si="170"/>
        <v>73</v>
      </c>
      <c r="K1447" s="139"/>
      <c r="L1447" s="150"/>
      <c r="M1447" s="462"/>
      <c r="N1447" s="638"/>
      <c r="P1447" s="804">
        <f t="shared" si="166"/>
        <v>300</v>
      </c>
      <c r="Q1447" s="812">
        <f t="shared" si="167"/>
        <v>219</v>
      </c>
      <c r="R1447" s="763">
        <f t="shared" si="171"/>
        <v>73</v>
      </c>
    </row>
    <row r="1448" spans="2:18" ht="12.75">
      <c r="B1448" s="177">
        <f t="shared" si="165"/>
        <v>129</v>
      </c>
      <c r="C1448" s="137"/>
      <c r="D1448" s="137"/>
      <c r="E1448" s="141"/>
      <c r="F1448" s="141">
        <v>635</v>
      </c>
      <c r="G1448" s="199" t="s">
        <v>266</v>
      </c>
      <c r="H1448" s="335">
        <v>1600</v>
      </c>
      <c r="I1448" s="335">
        <v>748</v>
      </c>
      <c r="J1448" s="620">
        <f t="shared" si="170"/>
        <v>46.75</v>
      </c>
      <c r="K1448" s="139"/>
      <c r="L1448" s="150"/>
      <c r="M1448" s="462"/>
      <c r="N1448" s="638"/>
      <c r="P1448" s="804">
        <f t="shared" si="166"/>
        <v>1600</v>
      </c>
      <c r="Q1448" s="812">
        <f t="shared" si="167"/>
        <v>748</v>
      </c>
      <c r="R1448" s="763">
        <f t="shared" si="171"/>
        <v>46.75</v>
      </c>
    </row>
    <row r="1449" spans="2:18" ht="12.75">
      <c r="B1449" s="177">
        <f t="shared" si="165"/>
        <v>130</v>
      </c>
      <c r="C1449" s="137"/>
      <c r="D1449" s="137"/>
      <c r="E1449" s="141"/>
      <c r="F1449" s="141">
        <v>637</v>
      </c>
      <c r="G1449" s="199" t="s">
        <v>252</v>
      </c>
      <c r="H1449" s="335">
        <f>16125+100</f>
        <v>16225</v>
      </c>
      <c r="I1449" s="335">
        <v>9740</v>
      </c>
      <c r="J1449" s="620">
        <f t="shared" si="170"/>
        <v>60.03081664098613</v>
      </c>
      <c r="K1449" s="139"/>
      <c r="L1449" s="150"/>
      <c r="M1449" s="462"/>
      <c r="N1449" s="638"/>
      <c r="P1449" s="804">
        <f t="shared" si="166"/>
        <v>16225</v>
      </c>
      <c r="Q1449" s="812">
        <f t="shared" si="167"/>
        <v>9740</v>
      </c>
      <c r="R1449" s="763">
        <f t="shared" si="171"/>
        <v>60.03081664098613</v>
      </c>
    </row>
    <row r="1450" spans="2:18" ht="13.5" thickBot="1">
      <c r="B1450" s="318">
        <f t="shared" si="165"/>
        <v>131</v>
      </c>
      <c r="C1450" s="147"/>
      <c r="D1450" s="147"/>
      <c r="E1450" s="148"/>
      <c r="F1450" s="217">
        <v>640</v>
      </c>
      <c r="G1450" s="282" t="s">
        <v>273</v>
      </c>
      <c r="H1450" s="412">
        <v>100</v>
      </c>
      <c r="I1450" s="412">
        <v>0</v>
      </c>
      <c r="J1450" s="621">
        <f t="shared" si="170"/>
        <v>0</v>
      </c>
      <c r="K1450" s="149"/>
      <c r="L1450" s="151"/>
      <c r="M1450" s="521"/>
      <c r="N1450" s="637"/>
      <c r="P1450" s="806">
        <f t="shared" si="166"/>
        <v>100</v>
      </c>
      <c r="Q1450" s="814">
        <f t="shared" si="167"/>
        <v>0</v>
      </c>
      <c r="R1450" s="764">
        <f t="shared" si="171"/>
        <v>0</v>
      </c>
    </row>
    <row r="1483" spans="2:16" ht="33.75" customHeight="1" thickBot="1">
      <c r="B1483" s="146" t="s">
        <v>233</v>
      </c>
      <c r="C1483" s="146"/>
      <c r="D1483" s="146"/>
      <c r="E1483" s="146"/>
      <c r="F1483" s="146"/>
      <c r="G1483" s="146"/>
      <c r="H1483" s="146"/>
      <c r="I1483" s="146"/>
      <c r="J1483" s="146"/>
      <c r="K1483" s="146"/>
      <c r="L1483" s="146"/>
      <c r="M1483" s="146"/>
      <c r="N1483" s="146"/>
      <c r="O1483" s="146"/>
      <c r="P1483" s="146"/>
    </row>
    <row r="1484" spans="2:18" ht="19.5" customHeight="1" thickBot="1">
      <c r="B1484" s="1074" t="s">
        <v>778</v>
      </c>
      <c r="C1484" s="1075"/>
      <c r="D1484" s="1075"/>
      <c r="E1484" s="1075"/>
      <c r="F1484" s="1075"/>
      <c r="G1484" s="1075"/>
      <c r="H1484" s="1075"/>
      <c r="I1484" s="1075"/>
      <c r="J1484" s="1075"/>
      <c r="K1484" s="1075"/>
      <c r="L1484" s="1076"/>
      <c r="M1484" s="599"/>
      <c r="N1484" s="625"/>
      <c r="O1484" s="127"/>
      <c r="P1484" s="1077" t="s">
        <v>811</v>
      </c>
      <c r="Q1484" s="1080" t="s">
        <v>836</v>
      </c>
      <c r="R1484" s="761"/>
    </row>
    <row r="1485" spans="2:18" ht="29.25" customHeight="1" thickTop="1">
      <c r="B1485" s="23"/>
      <c r="C1485" s="1083" t="s">
        <v>512</v>
      </c>
      <c r="D1485" s="1083" t="s">
        <v>511</v>
      </c>
      <c r="E1485" s="1083" t="s">
        <v>509</v>
      </c>
      <c r="F1485" s="1083" t="s">
        <v>510</v>
      </c>
      <c r="G1485" s="319" t="s">
        <v>3</v>
      </c>
      <c r="H1485" s="1085" t="s">
        <v>806</v>
      </c>
      <c r="I1485" s="1087" t="s">
        <v>836</v>
      </c>
      <c r="J1485" s="1072" t="s">
        <v>835</v>
      </c>
      <c r="K1485" s="80"/>
      <c r="L1485" s="1068" t="s">
        <v>810</v>
      </c>
      <c r="M1485" s="1070" t="s">
        <v>836</v>
      </c>
      <c r="N1485" s="1072" t="s">
        <v>835</v>
      </c>
      <c r="O1485" s="80"/>
      <c r="P1485" s="1078"/>
      <c r="Q1485" s="1081"/>
      <c r="R1485" s="1047" t="s">
        <v>835</v>
      </c>
    </row>
    <row r="1486" spans="2:18" ht="34.5" customHeight="1" thickBot="1">
      <c r="B1486" s="26"/>
      <c r="C1486" s="1084"/>
      <c r="D1486" s="1084"/>
      <c r="E1486" s="1084"/>
      <c r="F1486" s="1084"/>
      <c r="G1486" s="196"/>
      <c r="H1486" s="1086"/>
      <c r="I1486" s="1086"/>
      <c r="J1486" s="1073"/>
      <c r="K1486" s="80"/>
      <c r="L1486" s="1069"/>
      <c r="M1486" s="1071"/>
      <c r="N1486" s="1073"/>
      <c r="O1486" s="80"/>
      <c r="P1486" s="1079"/>
      <c r="Q1486" s="1082"/>
      <c r="R1486" s="1048"/>
    </row>
    <row r="1487" spans="2:18" ht="19.5" thickBot="1" thickTop="1">
      <c r="B1487" s="144">
        <v>1</v>
      </c>
      <c r="C1487" s="132" t="s">
        <v>234</v>
      </c>
      <c r="D1487" s="112"/>
      <c r="E1487" s="112"/>
      <c r="F1487" s="112"/>
      <c r="G1487" s="208"/>
      <c r="H1487" s="373">
        <f>H1488+H1490</f>
        <v>187115</v>
      </c>
      <c r="I1487" s="373">
        <f>I1488+I1490</f>
        <v>72521</v>
      </c>
      <c r="J1487" s="948">
        <f>I1487/H1487*100</f>
        <v>38.757448627849186</v>
      </c>
      <c r="K1487" s="114"/>
      <c r="L1487" s="202">
        <f>L1488+L1490</f>
        <v>107836</v>
      </c>
      <c r="M1487" s="795">
        <f>M1488+M1490</f>
        <v>79145</v>
      </c>
      <c r="N1487" s="598">
        <f>M1487/L1487*100</f>
        <v>73.39385733892206</v>
      </c>
      <c r="O1487" s="114"/>
      <c r="P1487" s="953">
        <f>H1487+L1487</f>
        <v>294951</v>
      </c>
      <c r="Q1487" s="962">
        <f>I1487+M1487</f>
        <v>151666</v>
      </c>
      <c r="R1487" s="762">
        <f>Q1487/P1487*100</f>
        <v>51.420744462639554</v>
      </c>
    </row>
    <row r="1488" spans="2:18" ht="16.5" thickTop="1">
      <c r="B1488" s="144">
        <f>B1487+1</f>
        <v>2</v>
      </c>
      <c r="C1488" s="24">
        <v>1</v>
      </c>
      <c r="D1488" s="134" t="s">
        <v>169</v>
      </c>
      <c r="E1488" s="25"/>
      <c r="F1488" s="25"/>
      <c r="G1488" s="198"/>
      <c r="H1488" s="372"/>
      <c r="I1488" s="372"/>
      <c r="J1488" s="619"/>
      <c r="K1488" s="90"/>
      <c r="L1488" s="406">
        <f>L1489</f>
        <v>50460</v>
      </c>
      <c r="M1488" s="949">
        <f>M1489</f>
        <v>50457</v>
      </c>
      <c r="N1488" s="619">
        <f>M1488/L1488*100</f>
        <v>99.99405469678953</v>
      </c>
      <c r="O1488" s="90"/>
      <c r="P1488" s="954">
        <f>H1488+L1488</f>
        <v>50460</v>
      </c>
      <c r="Q1488" s="963">
        <f>I1488+M1488</f>
        <v>50457</v>
      </c>
      <c r="R1488" s="763">
        <f>Q1488/P1488*100</f>
        <v>99.99405469678953</v>
      </c>
    </row>
    <row r="1489" spans="2:18" ht="12.75">
      <c r="B1489" s="144">
        <f aca="true" t="shared" si="172" ref="B1489:B1503">B1488+1</f>
        <v>3</v>
      </c>
      <c r="C1489" s="137"/>
      <c r="D1489" s="138" t="s">
        <v>4</v>
      </c>
      <c r="E1489" s="138" t="s">
        <v>263</v>
      </c>
      <c r="F1489" s="138" t="s">
        <v>744</v>
      </c>
      <c r="G1489" s="199" t="s">
        <v>465</v>
      </c>
      <c r="H1489" s="339"/>
      <c r="I1489" s="339"/>
      <c r="J1489" s="620"/>
      <c r="K1489" s="139"/>
      <c r="L1489" s="152">
        <v>50460</v>
      </c>
      <c r="M1489" s="470">
        <v>50457</v>
      </c>
      <c r="N1489" s="620">
        <f>M1489/L1489*100</f>
        <v>99.99405469678953</v>
      </c>
      <c r="O1489" s="139"/>
      <c r="P1489" s="955">
        <f>L1489</f>
        <v>50460</v>
      </c>
      <c r="Q1489" s="964">
        <f>M1489</f>
        <v>50457</v>
      </c>
      <c r="R1489" s="763">
        <f aca="true" t="shared" si="173" ref="R1489:R1503">Q1489/P1489*100</f>
        <v>99.99405469678953</v>
      </c>
    </row>
    <row r="1490" spans="2:18" ht="15.75">
      <c r="B1490" s="144">
        <f t="shared" si="172"/>
        <v>4</v>
      </c>
      <c r="C1490" s="21">
        <v>2</v>
      </c>
      <c r="D1490" s="133" t="s">
        <v>158</v>
      </c>
      <c r="E1490" s="22"/>
      <c r="F1490" s="22"/>
      <c r="G1490" s="200"/>
      <c r="H1490" s="369">
        <f>H1491+H1495+H1499</f>
        <v>187115</v>
      </c>
      <c r="I1490" s="369">
        <f>I1491+I1495+I1499</f>
        <v>72521</v>
      </c>
      <c r="J1490" s="620">
        <f aca="true" t="shared" si="174" ref="J1490:J1501">I1490/H1490*100</f>
        <v>38.757448627849186</v>
      </c>
      <c r="K1490" s="113"/>
      <c r="L1490" s="205">
        <f>L1491+L1494+L1495+L1499</f>
        <v>57376</v>
      </c>
      <c r="M1490" s="950">
        <f>M1491+M1494+M1495+M1499</f>
        <v>28688</v>
      </c>
      <c r="N1490" s="620">
        <f>M1490/L1490*100</f>
        <v>50</v>
      </c>
      <c r="O1490" s="113"/>
      <c r="P1490" s="956">
        <f aca="true" t="shared" si="175" ref="P1490:Q1503">H1490+L1490</f>
        <v>244491</v>
      </c>
      <c r="Q1490" s="965">
        <f t="shared" si="175"/>
        <v>101209</v>
      </c>
      <c r="R1490" s="763">
        <f t="shared" si="173"/>
        <v>41.395797800328026</v>
      </c>
    </row>
    <row r="1491" spans="2:18" ht="12.75">
      <c r="B1491" s="144">
        <f t="shared" si="172"/>
        <v>5</v>
      </c>
      <c r="C1491" s="77"/>
      <c r="D1491" s="183" t="s">
        <v>4</v>
      </c>
      <c r="E1491" s="236" t="s">
        <v>159</v>
      </c>
      <c r="F1491" s="236"/>
      <c r="G1491" s="237"/>
      <c r="H1491" s="351">
        <f>H1492+H1493</f>
        <v>157000</v>
      </c>
      <c r="I1491" s="351">
        <f>I1492+I1493</f>
        <v>59770</v>
      </c>
      <c r="J1491" s="620">
        <f t="shared" si="174"/>
        <v>38.07006369426752</v>
      </c>
      <c r="K1491" s="20"/>
      <c r="L1491" s="417">
        <v>0</v>
      </c>
      <c r="M1491" s="951">
        <v>0</v>
      </c>
      <c r="N1491" s="620"/>
      <c r="O1491" s="20"/>
      <c r="P1491" s="957">
        <f t="shared" si="175"/>
        <v>157000</v>
      </c>
      <c r="Q1491" s="966">
        <f t="shared" si="175"/>
        <v>59770</v>
      </c>
      <c r="R1491" s="763">
        <f t="shared" si="173"/>
        <v>38.07006369426752</v>
      </c>
    </row>
    <row r="1492" spans="2:18" ht="12.75">
      <c r="B1492" s="144">
        <f t="shared" si="172"/>
        <v>6</v>
      </c>
      <c r="C1492" s="137"/>
      <c r="D1492" s="137"/>
      <c r="E1492" s="166" t="s">
        <v>263</v>
      </c>
      <c r="F1492" s="166">
        <v>637</v>
      </c>
      <c r="G1492" s="199" t="s">
        <v>537</v>
      </c>
      <c r="H1492" s="335">
        <v>127000</v>
      </c>
      <c r="I1492" s="335">
        <v>47348</v>
      </c>
      <c r="J1492" s="620">
        <f t="shared" si="174"/>
        <v>37.28188976377953</v>
      </c>
      <c r="K1492" s="139"/>
      <c r="L1492" s="150"/>
      <c r="M1492" s="462"/>
      <c r="N1492" s="620"/>
      <c r="O1492" s="139"/>
      <c r="P1492" s="958">
        <f t="shared" si="175"/>
        <v>127000</v>
      </c>
      <c r="Q1492" s="967">
        <f t="shared" si="175"/>
        <v>47348</v>
      </c>
      <c r="R1492" s="763">
        <f t="shared" si="173"/>
        <v>37.28188976377953</v>
      </c>
    </row>
    <row r="1493" spans="2:18" ht="12.75">
      <c r="B1493" s="144">
        <f t="shared" si="172"/>
        <v>7</v>
      </c>
      <c r="C1493" s="137"/>
      <c r="D1493" s="137"/>
      <c r="E1493" s="166" t="s">
        <v>263</v>
      </c>
      <c r="F1493" s="166">
        <v>642</v>
      </c>
      <c r="G1493" s="199" t="s">
        <v>319</v>
      </c>
      <c r="H1493" s="335">
        <v>30000</v>
      </c>
      <c r="I1493" s="335">
        <v>12422</v>
      </c>
      <c r="J1493" s="620">
        <f t="shared" si="174"/>
        <v>41.406666666666666</v>
      </c>
      <c r="K1493" s="139"/>
      <c r="L1493" s="150"/>
      <c r="M1493" s="462"/>
      <c r="N1493" s="620"/>
      <c r="O1493" s="139"/>
      <c r="P1493" s="958">
        <f t="shared" si="175"/>
        <v>30000</v>
      </c>
      <c r="Q1493" s="967">
        <f t="shared" si="175"/>
        <v>12422</v>
      </c>
      <c r="R1493" s="763">
        <f t="shared" si="173"/>
        <v>41.406666666666666</v>
      </c>
    </row>
    <row r="1494" spans="2:18" ht="12.75">
      <c r="B1494" s="144">
        <f t="shared" si="172"/>
        <v>8</v>
      </c>
      <c r="C1494" s="77"/>
      <c r="D1494" s="183" t="s">
        <v>5</v>
      </c>
      <c r="E1494" s="236" t="s">
        <v>151</v>
      </c>
      <c r="F1494" s="236"/>
      <c r="G1494" s="237"/>
      <c r="H1494" s="486"/>
      <c r="I1494" s="486"/>
      <c r="J1494" s="620"/>
      <c r="K1494" s="20"/>
      <c r="L1494" s="417">
        <v>0</v>
      </c>
      <c r="M1494" s="951">
        <v>0</v>
      </c>
      <c r="N1494" s="620"/>
      <c r="O1494" s="20"/>
      <c r="P1494" s="957">
        <f t="shared" si="175"/>
        <v>0</v>
      </c>
      <c r="Q1494" s="966">
        <f t="shared" si="175"/>
        <v>0</v>
      </c>
      <c r="R1494" s="763"/>
    </row>
    <row r="1495" spans="2:18" ht="12.75">
      <c r="B1495" s="144">
        <f t="shared" si="172"/>
        <v>9</v>
      </c>
      <c r="C1495" s="77"/>
      <c r="D1495" s="183" t="s">
        <v>6</v>
      </c>
      <c r="E1495" s="236" t="s">
        <v>160</v>
      </c>
      <c r="F1495" s="236"/>
      <c r="G1495" s="237"/>
      <c r="H1495" s="486">
        <v>28000</v>
      </c>
      <c r="I1495" s="486">
        <f>I1496+I1497+I1498</f>
        <v>12751</v>
      </c>
      <c r="J1495" s="620">
        <f t="shared" si="174"/>
        <v>45.53928571428572</v>
      </c>
      <c r="K1495" s="20"/>
      <c r="L1495" s="417">
        <f>SUM(L1496:L1498)</f>
        <v>0</v>
      </c>
      <c r="M1495" s="951">
        <f>SUM(M1496:M1498)</f>
        <v>0</v>
      </c>
      <c r="N1495" s="620"/>
      <c r="O1495" s="20"/>
      <c r="P1495" s="957">
        <f t="shared" si="175"/>
        <v>28000</v>
      </c>
      <c r="Q1495" s="966">
        <f t="shared" si="175"/>
        <v>12751</v>
      </c>
      <c r="R1495" s="763">
        <f t="shared" si="173"/>
        <v>45.53928571428572</v>
      </c>
    </row>
    <row r="1496" spans="2:18" ht="12.75">
      <c r="B1496" s="144">
        <f t="shared" si="172"/>
        <v>10</v>
      </c>
      <c r="C1496" s="137"/>
      <c r="D1496" s="137"/>
      <c r="E1496" s="141" t="s">
        <v>453</v>
      </c>
      <c r="F1496" s="166">
        <v>610</v>
      </c>
      <c r="G1496" s="199" t="s">
        <v>262</v>
      </c>
      <c r="H1496" s="356">
        <v>18666</v>
      </c>
      <c r="I1496" s="356">
        <v>8502</v>
      </c>
      <c r="J1496" s="620">
        <f t="shared" si="174"/>
        <v>45.54805528768885</v>
      </c>
      <c r="K1496" s="139"/>
      <c r="L1496" s="150"/>
      <c r="M1496" s="462"/>
      <c r="N1496" s="620"/>
      <c r="O1496" s="139"/>
      <c r="P1496" s="958">
        <f t="shared" si="175"/>
        <v>18666</v>
      </c>
      <c r="Q1496" s="967">
        <f t="shared" si="175"/>
        <v>8502</v>
      </c>
      <c r="R1496" s="763">
        <f t="shared" si="173"/>
        <v>45.54805528768885</v>
      </c>
    </row>
    <row r="1497" spans="2:18" ht="12.75">
      <c r="B1497" s="144">
        <f t="shared" si="172"/>
        <v>11</v>
      </c>
      <c r="C1497" s="137"/>
      <c r="D1497" s="137"/>
      <c r="E1497" s="141" t="s">
        <v>453</v>
      </c>
      <c r="F1497" s="166">
        <v>620</v>
      </c>
      <c r="G1497" s="199" t="s">
        <v>264</v>
      </c>
      <c r="H1497" s="356">
        <v>6834</v>
      </c>
      <c r="I1497" s="356">
        <v>3125</v>
      </c>
      <c r="J1497" s="620">
        <f t="shared" si="174"/>
        <v>45.72724612232953</v>
      </c>
      <c r="K1497" s="139"/>
      <c r="L1497" s="150"/>
      <c r="M1497" s="462"/>
      <c r="N1497" s="620"/>
      <c r="O1497" s="139"/>
      <c r="P1497" s="958">
        <f t="shared" si="175"/>
        <v>6834</v>
      </c>
      <c r="Q1497" s="967">
        <f t="shared" si="175"/>
        <v>3125</v>
      </c>
      <c r="R1497" s="763">
        <f t="shared" si="173"/>
        <v>45.72724612232953</v>
      </c>
    </row>
    <row r="1498" spans="2:18" ht="12.75">
      <c r="B1498" s="144">
        <f t="shared" si="172"/>
        <v>12</v>
      </c>
      <c r="C1498" s="137"/>
      <c r="D1498" s="137"/>
      <c r="E1498" s="141" t="s">
        <v>453</v>
      </c>
      <c r="F1498" s="166">
        <v>630</v>
      </c>
      <c r="G1498" s="199" t="s">
        <v>239</v>
      </c>
      <c r="H1498" s="356">
        <v>2500</v>
      </c>
      <c r="I1498" s="356">
        <v>1124</v>
      </c>
      <c r="J1498" s="620">
        <f t="shared" si="174"/>
        <v>44.96</v>
      </c>
      <c r="K1498" s="139"/>
      <c r="L1498" s="150"/>
      <c r="M1498" s="462"/>
      <c r="N1498" s="620"/>
      <c r="O1498" s="139"/>
      <c r="P1498" s="958">
        <f t="shared" si="175"/>
        <v>2500</v>
      </c>
      <c r="Q1498" s="967">
        <f t="shared" si="175"/>
        <v>1124</v>
      </c>
      <c r="R1498" s="763">
        <f t="shared" si="173"/>
        <v>44.96</v>
      </c>
    </row>
    <row r="1499" spans="2:18" ht="12.75">
      <c r="B1499" s="144">
        <f t="shared" si="172"/>
        <v>13</v>
      </c>
      <c r="C1499" s="137"/>
      <c r="D1499" s="183" t="s">
        <v>7</v>
      </c>
      <c r="E1499" s="236" t="s">
        <v>161</v>
      </c>
      <c r="F1499" s="236"/>
      <c r="G1499" s="237"/>
      <c r="H1499" s="351">
        <f>H1501+H1500</f>
        <v>2115</v>
      </c>
      <c r="I1499" s="351">
        <f>I1501+I1500</f>
        <v>0</v>
      </c>
      <c r="J1499" s="620">
        <f t="shared" si="174"/>
        <v>0</v>
      </c>
      <c r="K1499" s="171"/>
      <c r="L1499" s="418">
        <f>SUM(L1501:L1503)</f>
        <v>57376</v>
      </c>
      <c r="M1499" s="952">
        <f>SUM(M1501:M1503)</f>
        <v>28688</v>
      </c>
      <c r="N1499" s="620">
        <f>M1499/L1499*100</f>
        <v>50</v>
      </c>
      <c r="O1499" s="171"/>
      <c r="P1499" s="959">
        <f t="shared" si="175"/>
        <v>59491</v>
      </c>
      <c r="Q1499" s="968">
        <f t="shared" si="175"/>
        <v>28688</v>
      </c>
      <c r="R1499" s="763">
        <f t="shared" si="173"/>
        <v>48.22242019801315</v>
      </c>
    </row>
    <row r="1500" spans="2:18" ht="12.75">
      <c r="B1500" s="144">
        <f t="shared" si="172"/>
        <v>14</v>
      </c>
      <c r="C1500" s="137"/>
      <c r="D1500" s="188"/>
      <c r="E1500" s="979" t="s">
        <v>245</v>
      </c>
      <c r="F1500" s="166">
        <v>635</v>
      </c>
      <c r="G1500" s="199" t="s">
        <v>770</v>
      </c>
      <c r="H1500" s="341">
        <v>2000</v>
      </c>
      <c r="I1500" s="341">
        <v>0</v>
      </c>
      <c r="J1500" s="620">
        <f t="shared" si="174"/>
        <v>0</v>
      </c>
      <c r="K1500" s="139"/>
      <c r="L1500" s="150"/>
      <c r="M1500" s="462"/>
      <c r="N1500" s="620"/>
      <c r="O1500" s="139"/>
      <c r="P1500" s="960">
        <f>H1500+L1500</f>
        <v>2000</v>
      </c>
      <c r="Q1500" s="969">
        <f>I1500+M1500</f>
        <v>0</v>
      </c>
      <c r="R1500" s="763">
        <f t="shared" si="173"/>
        <v>0</v>
      </c>
    </row>
    <row r="1501" spans="2:18" ht="12.75">
      <c r="B1501" s="144">
        <f t="shared" si="172"/>
        <v>15</v>
      </c>
      <c r="C1501" s="137"/>
      <c r="D1501" s="188"/>
      <c r="E1501" s="979" t="s">
        <v>245</v>
      </c>
      <c r="F1501" s="166">
        <v>637</v>
      </c>
      <c r="G1501" s="199" t="s">
        <v>575</v>
      </c>
      <c r="H1501" s="341">
        <v>115</v>
      </c>
      <c r="I1501" s="341">
        <v>0</v>
      </c>
      <c r="J1501" s="620">
        <f t="shared" si="174"/>
        <v>0</v>
      </c>
      <c r="K1501" s="139"/>
      <c r="L1501" s="150"/>
      <c r="M1501" s="462"/>
      <c r="N1501" s="620"/>
      <c r="O1501" s="139"/>
      <c r="P1501" s="960">
        <f t="shared" si="175"/>
        <v>115</v>
      </c>
      <c r="Q1501" s="969">
        <f t="shared" si="175"/>
        <v>0</v>
      </c>
      <c r="R1501" s="763">
        <f t="shared" si="173"/>
        <v>0</v>
      </c>
    </row>
    <row r="1502" spans="2:18" ht="12.75">
      <c r="B1502" s="144">
        <f t="shared" si="172"/>
        <v>16</v>
      </c>
      <c r="C1502" s="137"/>
      <c r="D1502" s="137"/>
      <c r="E1502" s="979" t="s">
        <v>245</v>
      </c>
      <c r="F1502" s="166">
        <v>717</v>
      </c>
      <c r="G1502" s="199" t="s">
        <v>464</v>
      </c>
      <c r="H1502" s="341"/>
      <c r="I1502" s="341"/>
      <c r="J1502" s="620"/>
      <c r="K1502" s="139"/>
      <c r="L1502" s="150">
        <v>47802</v>
      </c>
      <c r="M1502" s="462">
        <v>23901</v>
      </c>
      <c r="N1502" s="620">
        <f>M1502/L1502*100</f>
        <v>50</v>
      </c>
      <c r="O1502" s="139"/>
      <c r="P1502" s="960">
        <f t="shared" si="175"/>
        <v>47802</v>
      </c>
      <c r="Q1502" s="969">
        <f t="shared" si="175"/>
        <v>23901</v>
      </c>
      <c r="R1502" s="763">
        <f t="shared" si="173"/>
        <v>50</v>
      </c>
    </row>
    <row r="1503" spans="2:18" ht="13.5" thickBot="1">
      <c r="B1503" s="642">
        <f t="shared" si="172"/>
        <v>17</v>
      </c>
      <c r="C1503" s="147"/>
      <c r="D1503" s="147"/>
      <c r="E1503" s="980" t="s">
        <v>245</v>
      </c>
      <c r="F1503" s="222">
        <v>716</v>
      </c>
      <c r="G1503" s="207" t="s">
        <v>464</v>
      </c>
      <c r="H1503" s="347"/>
      <c r="I1503" s="347"/>
      <c r="J1503" s="621"/>
      <c r="K1503" s="149"/>
      <c r="L1503" s="151">
        <v>9574</v>
      </c>
      <c r="M1503" s="521">
        <v>4787</v>
      </c>
      <c r="N1503" s="621">
        <f>M1503/L1503*100</f>
        <v>50</v>
      </c>
      <c r="O1503" s="149"/>
      <c r="P1503" s="961">
        <f t="shared" si="175"/>
        <v>9574</v>
      </c>
      <c r="Q1503" s="970">
        <f t="shared" si="175"/>
        <v>4787</v>
      </c>
      <c r="R1503" s="764">
        <f t="shared" si="173"/>
        <v>50</v>
      </c>
    </row>
  </sheetData>
  <sheetProtection/>
  <mergeCells count="175">
    <mergeCell ref="F1318:F1319"/>
    <mergeCell ref="D1318:D1319"/>
    <mergeCell ref="E1318:E1319"/>
    <mergeCell ref="H1318:H1319"/>
    <mergeCell ref="C1318:C1319"/>
    <mergeCell ref="I1318:I1319"/>
    <mergeCell ref="J1318:J1319"/>
    <mergeCell ref="M1318:M1319"/>
    <mergeCell ref="N1318:N1319"/>
    <mergeCell ref="Q1228:Q1230"/>
    <mergeCell ref="R1229:R1230"/>
    <mergeCell ref="P1228:P1230"/>
    <mergeCell ref="B1228:L1228"/>
    <mergeCell ref="R1318:R1319"/>
    <mergeCell ref="Q1317:Q1319"/>
    <mergeCell ref="B1317:M1317"/>
    <mergeCell ref="E1229:E1230"/>
    <mergeCell ref="F1229:F1230"/>
    <mergeCell ref="M1229:M1230"/>
    <mergeCell ref="N1229:N1230"/>
    <mergeCell ref="C1229:C1230"/>
    <mergeCell ref="L1229:L1230"/>
    <mergeCell ref="D1229:D1230"/>
    <mergeCell ref="H1229:H1230"/>
    <mergeCell ref="I1229:I1230"/>
    <mergeCell ref="J1229:J1230"/>
    <mergeCell ref="Q1142:Q1144"/>
    <mergeCell ref="R1143:R1144"/>
    <mergeCell ref="P1142:P1144"/>
    <mergeCell ref="D1143:D1144"/>
    <mergeCell ref="H1143:H1144"/>
    <mergeCell ref="F1143:F1144"/>
    <mergeCell ref="L1143:L1144"/>
    <mergeCell ref="B1142:L1142"/>
    <mergeCell ref="C1143:C1144"/>
    <mergeCell ref="E1143:E1144"/>
    <mergeCell ref="I1143:I1144"/>
    <mergeCell ref="J1143:J1144"/>
    <mergeCell ref="M1143:M1144"/>
    <mergeCell ref="N1143:N1144"/>
    <mergeCell ref="M1142:N1142"/>
    <mergeCell ref="R429:R430"/>
    <mergeCell ref="Q1064:Q1066"/>
    <mergeCell ref="R1065:R1066"/>
    <mergeCell ref="L1065:L1066"/>
    <mergeCell ref="N1065:N1066"/>
    <mergeCell ref="C1065:C1066"/>
    <mergeCell ref="F1065:F1066"/>
    <mergeCell ref="P1064:P1066"/>
    <mergeCell ref="E1065:E1066"/>
    <mergeCell ref="H1065:H1066"/>
    <mergeCell ref="D1065:D1066"/>
    <mergeCell ref="B1064:L1064"/>
    <mergeCell ref="I1065:I1066"/>
    <mergeCell ref="J1065:J1066"/>
    <mergeCell ref="M1065:M1066"/>
    <mergeCell ref="B427:H427"/>
    <mergeCell ref="B428:L428"/>
    <mergeCell ref="P428:P430"/>
    <mergeCell ref="Q428:Q430"/>
    <mergeCell ref="C429:C430"/>
    <mergeCell ref="D429:D430"/>
    <mergeCell ref="E429:E430"/>
    <mergeCell ref="F429:F430"/>
    <mergeCell ref="H429:H430"/>
    <mergeCell ref="I429:I430"/>
    <mergeCell ref="J429:J430"/>
    <mergeCell ref="L429:L430"/>
    <mergeCell ref="M429:M430"/>
    <mergeCell ref="N429:N430"/>
    <mergeCell ref="R254:R255"/>
    <mergeCell ref="B340:L340"/>
    <mergeCell ref="P340:P342"/>
    <mergeCell ref="Q340:Q342"/>
    <mergeCell ref="C341:C342"/>
    <mergeCell ref="D341:D342"/>
    <mergeCell ref="E341:E342"/>
    <mergeCell ref="F341:F342"/>
    <mergeCell ref="H341:H342"/>
    <mergeCell ref="I341:I342"/>
    <mergeCell ref="J341:J342"/>
    <mergeCell ref="L341:L342"/>
    <mergeCell ref="M341:M342"/>
    <mergeCell ref="N341:N342"/>
    <mergeCell ref="R341:R342"/>
    <mergeCell ref="B253:L253"/>
    <mergeCell ref="P253:P255"/>
    <mergeCell ref="Q253:Q255"/>
    <mergeCell ref="C254:C255"/>
    <mergeCell ref="D254:D255"/>
    <mergeCell ref="E254:E255"/>
    <mergeCell ref="F254:F255"/>
    <mergeCell ref="H254:H255"/>
    <mergeCell ref="I254:I255"/>
    <mergeCell ref="J254:J255"/>
    <mergeCell ref="L254:L255"/>
    <mergeCell ref="M254:M255"/>
    <mergeCell ref="N254:N255"/>
    <mergeCell ref="B168:L168"/>
    <mergeCell ref="P168:P170"/>
    <mergeCell ref="Q168:Q170"/>
    <mergeCell ref="R168:R170"/>
    <mergeCell ref="C169:C170"/>
    <mergeCell ref="D169:D170"/>
    <mergeCell ref="E169:E170"/>
    <mergeCell ref="F169:F170"/>
    <mergeCell ref="H169:H170"/>
    <mergeCell ref="I169:I170"/>
    <mergeCell ref="J169:J170"/>
    <mergeCell ref="L169:L170"/>
    <mergeCell ref="M169:M170"/>
    <mergeCell ref="N169:N170"/>
    <mergeCell ref="R84:R85"/>
    <mergeCell ref="C85:C86"/>
    <mergeCell ref="D85:D86"/>
    <mergeCell ref="E85:E86"/>
    <mergeCell ref="P84:P86"/>
    <mergeCell ref="B84:L84"/>
    <mergeCell ref="H85:H86"/>
    <mergeCell ref="L85:L86"/>
    <mergeCell ref="F85:F86"/>
    <mergeCell ref="I85:I86"/>
    <mergeCell ref="J85:J86"/>
    <mergeCell ref="M70:M71"/>
    <mergeCell ref="F70:F71"/>
    <mergeCell ref="H70:H71"/>
    <mergeCell ref="I70:I71"/>
    <mergeCell ref="J70:J71"/>
    <mergeCell ref="N70:N71"/>
    <mergeCell ref="M85:M86"/>
    <mergeCell ref="N85:N86"/>
    <mergeCell ref="Q84:Q86"/>
    <mergeCell ref="B69:L69"/>
    <mergeCell ref="P69:P71"/>
    <mergeCell ref="Q69:Q71"/>
    <mergeCell ref="C70:C71"/>
    <mergeCell ref="D70:D71"/>
    <mergeCell ref="E70:E71"/>
    <mergeCell ref="L70:L71"/>
    <mergeCell ref="Q5:Q7"/>
    <mergeCell ref="R6:R7"/>
    <mergeCell ref="D39:G39"/>
    <mergeCell ref="E20:G20"/>
    <mergeCell ref="E22:G22"/>
    <mergeCell ref="H6:H7"/>
    <mergeCell ref="B5:L5"/>
    <mergeCell ref="E6:E7"/>
    <mergeCell ref="F6:F7"/>
    <mergeCell ref="E18:G18"/>
    <mergeCell ref="C6:C7"/>
    <mergeCell ref="I6:I7"/>
    <mergeCell ref="J6:J7"/>
    <mergeCell ref="L6:L7"/>
    <mergeCell ref="E10:G10"/>
    <mergeCell ref="D6:D7"/>
    <mergeCell ref="F1485:F1486"/>
    <mergeCell ref="H1485:H1486"/>
    <mergeCell ref="I1485:I1486"/>
    <mergeCell ref="J1485:J1486"/>
    <mergeCell ref="E24:G24"/>
    <mergeCell ref="P5:P7"/>
    <mergeCell ref="N6:N7"/>
    <mergeCell ref="M6:M7"/>
    <mergeCell ref="L1318:L1319"/>
    <mergeCell ref="P1317:P1319"/>
    <mergeCell ref="L1485:L1486"/>
    <mergeCell ref="M1485:M1486"/>
    <mergeCell ref="N1485:N1486"/>
    <mergeCell ref="R1485:R1486"/>
    <mergeCell ref="B1484:L1484"/>
    <mergeCell ref="P1484:P1486"/>
    <mergeCell ref="Q1484:Q1486"/>
    <mergeCell ref="C1485:C1486"/>
    <mergeCell ref="D1485:D1486"/>
    <mergeCell ref="E1485:E1486"/>
  </mergeCells>
  <printOptions/>
  <pageMargins left="0.36" right="0.17" top="0.36" bottom="0.6" header="0.31496062992125984" footer="0.31496062992125984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44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10.57421875" style="0" customWidth="1"/>
    <col min="2" max="2" width="2.7109375" style="0" customWidth="1"/>
    <col min="3" max="3" width="49.7109375" style="0" customWidth="1"/>
    <col min="4" max="5" width="14.140625" style="0" customWidth="1"/>
    <col min="6" max="6" width="4.8515625" style="0" customWidth="1"/>
    <col min="7" max="8" width="14.00390625" style="0" customWidth="1"/>
    <col min="9" max="9" width="5.28125" style="0" customWidth="1"/>
    <col min="10" max="10" width="12.8515625" style="0" customWidth="1"/>
    <col min="11" max="11" width="13.421875" style="0" customWidth="1"/>
    <col min="12" max="12" width="5.28125" style="0" customWidth="1"/>
    <col min="13" max="13" width="10.140625" style="0" bestFit="1" customWidth="1"/>
  </cols>
  <sheetData>
    <row r="2" spans="2:10" ht="29.25" customHeight="1">
      <c r="B2" s="1113" t="s">
        <v>192</v>
      </c>
      <c r="C2" s="1113"/>
      <c r="D2" s="1113"/>
      <c r="E2" s="1113"/>
      <c r="F2" s="1113"/>
      <c r="G2" s="1113"/>
      <c r="H2" s="1113"/>
      <c r="I2" s="1113"/>
      <c r="J2" s="1113"/>
    </row>
    <row r="3" ht="15" customHeight="1" thickBot="1">
      <c r="B3" s="79"/>
    </row>
    <row r="4" spans="2:12" ht="24" customHeight="1" thickBot="1">
      <c r="B4" s="1114"/>
      <c r="C4" s="1115"/>
      <c r="D4" s="1030"/>
      <c r="E4" s="515"/>
      <c r="F4" s="515"/>
      <c r="G4" s="515"/>
      <c r="H4" s="515"/>
      <c r="I4" s="515"/>
      <c r="J4" s="515"/>
      <c r="K4" s="981"/>
      <c r="L4" s="575"/>
    </row>
    <row r="5" spans="2:12" ht="48" customHeight="1" thickBot="1">
      <c r="B5" s="1116"/>
      <c r="C5" s="1117"/>
      <c r="D5" s="1031" t="s">
        <v>807</v>
      </c>
      <c r="E5" s="601" t="s">
        <v>838</v>
      </c>
      <c r="F5" s="1013" t="s">
        <v>837</v>
      </c>
      <c r="G5" s="485" t="s">
        <v>808</v>
      </c>
      <c r="H5" s="601" t="s">
        <v>839</v>
      </c>
      <c r="I5" s="1013" t="s">
        <v>837</v>
      </c>
      <c r="J5" s="982" t="s">
        <v>809</v>
      </c>
      <c r="K5" s="601" t="s">
        <v>840</v>
      </c>
      <c r="L5" s="1028" t="s">
        <v>837</v>
      </c>
    </row>
    <row r="6" spans="2:12" ht="16.5" thickTop="1">
      <c r="B6" s="413">
        <v>1</v>
      </c>
      <c r="C6" s="1022" t="s">
        <v>172</v>
      </c>
      <c r="D6" s="1032">
        <f>Príjmy!H299</f>
        <v>30804280</v>
      </c>
      <c r="E6" s="1039">
        <f>Príjmy!I299</f>
        <v>16684210</v>
      </c>
      <c r="F6" s="1014">
        <f>E6/D6*100</f>
        <v>54.161986581085486</v>
      </c>
      <c r="G6" s="480">
        <f>Príjmy!H318</f>
        <v>1100000</v>
      </c>
      <c r="H6" s="606">
        <f>Príjmy!I318</f>
        <v>1288807</v>
      </c>
      <c r="I6" s="1018">
        <f>H6/G6*100</f>
        <v>117.16427272727272</v>
      </c>
      <c r="J6" s="983">
        <f>D6+G6</f>
        <v>31904280</v>
      </c>
      <c r="K6" s="998">
        <f>E6+H6</f>
        <v>17973017</v>
      </c>
      <c r="L6" s="763">
        <f>K6/J6*100</f>
        <v>56.33418776414951</v>
      </c>
    </row>
    <row r="7" spans="2:12" ht="15.75">
      <c r="B7" s="414">
        <f>B6+1</f>
        <v>2</v>
      </c>
      <c r="C7" s="1023" t="s">
        <v>173</v>
      </c>
      <c r="D7" s="1033">
        <f>SUM(D9:D20)</f>
        <v>29107755</v>
      </c>
      <c r="E7" s="1040">
        <f>SUM(E9:E20)</f>
        <v>13883368</v>
      </c>
      <c r="F7" s="1015">
        <f aca="true" t="shared" si="0" ref="F7:F21">E7/D7*100</f>
        <v>47.69645752480739</v>
      </c>
      <c r="G7" s="481">
        <f>SUM(G9:G20)</f>
        <v>3985511</v>
      </c>
      <c r="H7" s="607">
        <f>SUM(H9:H20)</f>
        <v>1301899</v>
      </c>
      <c r="I7" s="1018">
        <f aca="true" t="shared" si="1" ref="I7:I23">H7/G7*100</f>
        <v>32.66579868930233</v>
      </c>
      <c r="J7" s="983">
        <f>D7+G7</f>
        <v>33093266</v>
      </c>
      <c r="K7" s="998">
        <f>E7+H7</f>
        <v>15185267</v>
      </c>
      <c r="L7" s="763">
        <f>K7/J7*100</f>
        <v>45.88627486933444</v>
      </c>
    </row>
    <row r="8" spans="2:12" ht="11.25" customHeight="1">
      <c r="B8" s="226">
        <f>B7+1</f>
        <v>3</v>
      </c>
      <c r="C8" s="1024" t="s">
        <v>95</v>
      </c>
      <c r="D8" s="1034"/>
      <c r="E8" s="999"/>
      <c r="F8" s="1015"/>
      <c r="G8" s="477"/>
      <c r="H8" s="477"/>
      <c r="I8" s="639"/>
      <c r="J8" s="984"/>
      <c r="K8" s="999"/>
      <c r="L8" s="763"/>
    </row>
    <row r="9" spans="2:12" ht="15" customHeight="1">
      <c r="B9" s="226">
        <f>B8+1</f>
        <v>4</v>
      </c>
      <c r="C9" s="1025" t="s">
        <v>592</v>
      </c>
      <c r="D9" s="1035">
        <f>Výdavky!H8</f>
        <v>374059</v>
      </c>
      <c r="E9" s="1000">
        <f>Výdavky!I8</f>
        <v>216995</v>
      </c>
      <c r="F9" s="1015">
        <f t="shared" si="0"/>
        <v>58.010902023477584</v>
      </c>
      <c r="G9" s="476">
        <f>Výdavky!L8</f>
        <v>131200</v>
      </c>
      <c r="H9" s="476">
        <f>Výdavky!M8</f>
        <v>23791</v>
      </c>
      <c r="I9" s="639">
        <f t="shared" si="1"/>
        <v>18.133384146341463</v>
      </c>
      <c r="J9" s="985">
        <f aca="true" t="shared" si="2" ref="J9:K20">D9+G9</f>
        <v>505259</v>
      </c>
      <c r="K9" s="1000">
        <f t="shared" si="2"/>
        <v>240786</v>
      </c>
      <c r="L9" s="763">
        <f>K9/J9*100</f>
        <v>47.655954668793626</v>
      </c>
    </row>
    <row r="10" spans="2:12" ht="14.25">
      <c r="B10" s="226">
        <f aca="true" t="shared" si="3" ref="B10:B24">B9+1</f>
        <v>5</v>
      </c>
      <c r="C10" s="1026" t="s">
        <v>698</v>
      </c>
      <c r="D10" s="1035">
        <f>Výdavky!H72</f>
        <v>50721</v>
      </c>
      <c r="E10" s="1000">
        <f>Výdavky!I72</f>
        <v>18788</v>
      </c>
      <c r="F10" s="1015">
        <f t="shared" si="0"/>
        <v>37.04185643027543</v>
      </c>
      <c r="G10" s="476">
        <v>0</v>
      </c>
      <c r="H10" s="476">
        <v>0</v>
      </c>
      <c r="I10" s="639"/>
      <c r="J10" s="985">
        <f t="shared" si="2"/>
        <v>50721</v>
      </c>
      <c r="K10" s="1000">
        <f t="shared" si="2"/>
        <v>18788</v>
      </c>
      <c r="L10" s="763">
        <f aca="true" t="shared" si="4" ref="L10:L25">K10/J10*100</f>
        <v>37.04185643027543</v>
      </c>
    </row>
    <row r="11" spans="2:12" ht="14.25">
      <c r="B11" s="226">
        <f t="shared" si="3"/>
        <v>6</v>
      </c>
      <c r="C11" s="1026" t="s">
        <v>593</v>
      </c>
      <c r="D11" s="1035">
        <f>Výdavky!H87</f>
        <v>3278811</v>
      </c>
      <c r="E11" s="1000">
        <f>Výdavky!I87</f>
        <v>1561581</v>
      </c>
      <c r="F11" s="1015">
        <f t="shared" si="0"/>
        <v>47.62644141428097</v>
      </c>
      <c r="G11" s="476">
        <f>Výdavky!L87</f>
        <v>228566</v>
      </c>
      <c r="H11" s="476">
        <f>Výdavky!M87</f>
        <v>36822</v>
      </c>
      <c r="I11" s="639">
        <f t="shared" si="1"/>
        <v>16.110007612680803</v>
      </c>
      <c r="J11" s="985">
        <f t="shared" si="2"/>
        <v>3507377</v>
      </c>
      <c r="K11" s="1000">
        <f t="shared" si="2"/>
        <v>1598403</v>
      </c>
      <c r="L11" s="763">
        <f t="shared" si="4"/>
        <v>45.572603116231875</v>
      </c>
    </row>
    <row r="12" spans="2:12" ht="14.25">
      <c r="B12" s="226">
        <f t="shared" si="3"/>
        <v>7</v>
      </c>
      <c r="C12" s="1026" t="s">
        <v>594</v>
      </c>
      <c r="D12" s="1035">
        <f>Výdavky!H171</f>
        <v>419318</v>
      </c>
      <c r="E12" s="1000">
        <f>Výdavky!I171</f>
        <v>223850</v>
      </c>
      <c r="F12" s="1015">
        <f t="shared" si="0"/>
        <v>53.384304990484544</v>
      </c>
      <c r="G12" s="476">
        <f>Výdavky!L171</f>
        <v>262419</v>
      </c>
      <c r="H12" s="476">
        <f>Výdavky!M171</f>
        <v>792</v>
      </c>
      <c r="I12" s="639">
        <f t="shared" si="1"/>
        <v>0.30180741485944235</v>
      </c>
      <c r="J12" s="985">
        <f t="shared" si="2"/>
        <v>681737</v>
      </c>
      <c r="K12" s="1000">
        <f t="shared" si="2"/>
        <v>224642</v>
      </c>
      <c r="L12" s="763">
        <f t="shared" si="4"/>
        <v>32.95141674868754</v>
      </c>
    </row>
    <row r="13" spans="2:12" ht="14.25">
      <c r="B13" s="226">
        <f t="shared" si="3"/>
        <v>8</v>
      </c>
      <c r="C13" s="1026" t="s">
        <v>595</v>
      </c>
      <c r="D13" s="1035">
        <f>Výdavky!H256</f>
        <v>1562500</v>
      </c>
      <c r="E13" s="1000">
        <f>Výdavky!I256</f>
        <v>780150</v>
      </c>
      <c r="F13" s="1015">
        <f t="shared" si="0"/>
        <v>49.9296</v>
      </c>
      <c r="G13" s="476">
        <f>Výdavky!L256</f>
        <v>1197784</v>
      </c>
      <c r="H13" s="476">
        <f>Výdavky!M256</f>
        <v>587391</v>
      </c>
      <c r="I13" s="639">
        <f t="shared" si="1"/>
        <v>49.039810182804246</v>
      </c>
      <c r="J13" s="985">
        <f t="shared" si="2"/>
        <v>2760284</v>
      </c>
      <c r="K13" s="1000">
        <f t="shared" si="2"/>
        <v>1367541</v>
      </c>
      <c r="L13" s="763">
        <f t="shared" si="4"/>
        <v>49.54348900330546</v>
      </c>
    </row>
    <row r="14" spans="2:12" ht="14.25">
      <c r="B14" s="226">
        <f t="shared" si="3"/>
        <v>9</v>
      </c>
      <c r="C14" s="1026" t="s">
        <v>596</v>
      </c>
      <c r="D14" s="1035">
        <f>Výdavky!H343</f>
        <v>3335050</v>
      </c>
      <c r="E14" s="1000">
        <f>Výdavky!I343</f>
        <v>1738182</v>
      </c>
      <c r="F14" s="1015">
        <f t="shared" si="0"/>
        <v>52.118618911260704</v>
      </c>
      <c r="G14" s="476">
        <f>Výdavky!L343</f>
        <v>979401</v>
      </c>
      <c r="H14" s="476">
        <f>Výdavky!M343</f>
        <v>135559</v>
      </c>
      <c r="I14" s="639">
        <f t="shared" si="1"/>
        <v>13.841010985285903</v>
      </c>
      <c r="J14" s="985">
        <f t="shared" si="2"/>
        <v>4314451</v>
      </c>
      <c r="K14" s="1000">
        <f t="shared" si="2"/>
        <v>1873741</v>
      </c>
      <c r="L14" s="763">
        <f t="shared" si="4"/>
        <v>43.429418945770855</v>
      </c>
    </row>
    <row r="15" spans="2:12" ht="14.25">
      <c r="B15" s="226">
        <f t="shared" si="3"/>
        <v>10</v>
      </c>
      <c r="C15" s="1026" t="s">
        <v>597</v>
      </c>
      <c r="D15" s="1035">
        <f>Výdavky!H431</f>
        <v>11457657</v>
      </c>
      <c r="E15" s="1000">
        <f>Výdavky!I431</f>
        <v>5120113</v>
      </c>
      <c r="F15" s="1015">
        <f t="shared" si="0"/>
        <v>44.68726023130209</v>
      </c>
      <c r="G15" s="476">
        <f>Výdavky!L431</f>
        <v>346621</v>
      </c>
      <c r="H15" s="476">
        <f>Výdavky!M431</f>
        <v>110309</v>
      </c>
      <c r="I15" s="639">
        <f t="shared" si="1"/>
        <v>31.82409605880775</v>
      </c>
      <c r="J15" s="985">
        <f t="shared" si="2"/>
        <v>11804278</v>
      </c>
      <c r="K15" s="1000">
        <f t="shared" si="2"/>
        <v>5230422</v>
      </c>
      <c r="L15" s="763">
        <f t="shared" si="4"/>
        <v>44.30954608151384</v>
      </c>
    </row>
    <row r="16" spans="2:12" ht="14.25">
      <c r="B16" s="226">
        <f t="shared" si="3"/>
        <v>11</v>
      </c>
      <c r="C16" s="1026" t="s">
        <v>661</v>
      </c>
      <c r="D16" s="1035">
        <f>Výdavky!H1067</f>
        <v>1205145</v>
      </c>
      <c r="E16" s="1000">
        <f>Výdavky!I1067</f>
        <v>577980</v>
      </c>
      <c r="F16" s="1015">
        <f t="shared" si="0"/>
        <v>47.959374183189574</v>
      </c>
      <c r="G16" s="476">
        <f>Výdavky!L1067</f>
        <v>349075</v>
      </c>
      <c r="H16" s="476">
        <f>Výdavky!M1067</f>
        <v>158582</v>
      </c>
      <c r="I16" s="639">
        <f t="shared" si="1"/>
        <v>45.429205758074914</v>
      </c>
      <c r="J16" s="985">
        <f t="shared" si="2"/>
        <v>1554220</v>
      </c>
      <c r="K16" s="1000">
        <f t="shared" si="2"/>
        <v>736562</v>
      </c>
      <c r="L16" s="763">
        <f t="shared" si="4"/>
        <v>47.39110293266076</v>
      </c>
    </row>
    <row r="17" spans="2:12" ht="14.25">
      <c r="B17" s="226">
        <f t="shared" si="3"/>
        <v>12</v>
      </c>
      <c r="C17" s="1026" t="s">
        <v>598</v>
      </c>
      <c r="D17" s="1035">
        <f>Výdavky!H1145</f>
        <v>330400</v>
      </c>
      <c r="E17" s="1000">
        <f>Výdavky!I1145</f>
        <v>114891</v>
      </c>
      <c r="F17" s="1015">
        <f t="shared" si="0"/>
        <v>34.773305084745765</v>
      </c>
      <c r="G17" s="476">
        <f>Výdavky!L1145</f>
        <v>53088</v>
      </c>
      <c r="H17" s="476">
        <f>Výdavky!M1145</f>
        <v>14383</v>
      </c>
      <c r="I17" s="639">
        <f t="shared" si="1"/>
        <v>27.092751657625076</v>
      </c>
      <c r="J17" s="985">
        <f t="shared" si="2"/>
        <v>383488</v>
      </c>
      <c r="K17" s="1000">
        <f t="shared" si="2"/>
        <v>129274</v>
      </c>
      <c r="L17" s="763">
        <f t="shared" si="4"/>
        <v>33.710050901201605</v>
      </c>
    </row>
    <row r="18" spans="2:12" ht="14.25">
      <c r="B18" s="226">
        <f t="shared" si="3"/>
        <v>13</v>
      </c>
      <c r="C18" s="1026" t="s">
        <v>599</v>
      </c>
      <c r="D18" s="1035">
        <f>Výdavky!H1231</f>
        <v>4779690</v>
      </c>
      <c r="E18" s="1000">
        <f>Výdavky!I1231</f>
        <v>2243128</v>
      </c>
      <c r="F18" s="1015">
        <f t="shared" si="0"/>
        <v>46.9304076205779</v>
      </c>
      <c r="G18" s="476">
        <f>Výdavky!L1231</f>
        <v>322871</v>
      </c>
      <c r="H18" s="476">
        <f>Výdavky!M1231</f>
        <v>155125</v>
      </c>
      <c r="I18" s="639">
        <f t="shared" si="1"/>
        <v>48.04550424163211</v>
      </c>
      <c r="J18" s="985">
        <f t="shared" si="2"/>
        <v>5102561</v>
      </c>
      <c r="K18" s="1000">
        <f t="shared" si="2"/>
        <v>2398253</v>
      </c>
      <c r="L18" s="763">
        <f t="shared" si="4"/>
        <v>47.000966769432054</v>
      </c>
    </row>
    <row r="19" spans="2:12" ht="14.25">
      <c r="B19" s="226">
        <f t="shared" si="3"/>
        <v>14</v>
      </c>
      <c r="C19" s="1026" t="s">
        <v>600</v>
      </c>
      <c r="D19" s="1035">
        <f>Výdavky!H1320</f>
        <v>2127289</v>
      </c>
      <c r="E19" s="1000">
        <f>Výdavky!I1320</f>
        <v>1215189</v>
      </c>
      <c r="F19" s="1015">
        <f t="shared" si="0"/>
        <v>57.12383225786435</v>
      </c>
      <c r="G19" s="476">
        <f>Výdavky!L1320</f>
        <v>6650</v>
      </c>
      <c r="H19" s="476">
        <f>Výdavky!M1320</f>
        <v>0</v>
      </c>
      <c r="I19" s="639"/>
      <c r="J19" s="985">
        <f t="shared" si="2"/>
        <v>2133939</v>
      </c>
      <c r="K19" s="1000">
        <f t="shared" si="2"/>
        <v>1215189</v>
      </c>
      <c r="L19" s="763">
        <f t="shared" si="4"/>
        <v>56.94581710161349</v>
      </c>
    </row>
    <row r="20" spans="2:12" ht="14.25">
      <c r="B20" s="226">
        <f t="shared" si="3"/>
        <v>15</v>
      </c>
      <c r="C20" s="1026" t="s">
        <v>601</v>
      </c>
      <c r="D20" s="1035">
        <f>Výdavky!H1487</f>
        <v>187115</v>
      </c>
      <c r="E20" s="1000">
        <f>Výdavky!I1487</f>
        <v>72521</v>
      </c>
      <c r="F20" s="1015">
        <f t="shared" si="0"/>
        <v>38.757448627849186</v>
      </c>
      <c r="G20" s="476">
        <f>Výdavky!L1487</f>
        <v>107836</v>
      </c>
      <c r="H20" s="476">
        <f>Výdavky!M1487</f>
        <v>79145</v>
      </c>
      <c r="I20" s="639">
        <f t="shared" si="1"/>
        <v>73.39385733892206</v>
      </c>
      <c r="J20" s="985">
        <f t="shared" si="2"/>
        <v>294951</v>
      </c>
      <c r="K20" s="1000">
        <f t="shared" si="2"/>
        <v>151666</v>
      </c>
      <c r="L20" s="763">
        <f t="shared" si="4"/>
        <v>51.420744462639554</v>
      </c>
    </row>
    <row r="21" spans="2:12" ht="12.75" customHeight="1">
      <c r="B21" s="226">
        <f t="shared" si="3"/>
        <v>16</v>
      </c>
      <c r="C21" s="1118" t="s">
        <v>195</v>
      </c>
      <c r="D21" s="1124">
        <f>D6-D7</f>
        <v>1696525</v>
      </c>
      <c r="E21" s="1126">
        <f>E6-E7</f>
        <v>2800842</v>
      </c>
      <c r="F21" s="1128">
        <f t="shared" si="0"/>
        <v>165.09288103623584</v>
      </c>
      <c r="G21" s="482"/>
      <c r="H21" s="608"/>
      <c r="I21" s="1019"/>
      <c r="J21" s="986"/>
      <c r="K21" s="1001"/>
      <c r="L21" s="763"/>
    </row>
    <row r="22" spans="2:12" ht="12.75" customHeight="1">
      <c r="B22" s="226">
        <f t="shared" si="3"/>
        <v>17</v>
      </c>
      <c r="C22" s="1119"/>
      <c r="D22" s="1125"/>
      <c r="E22" s="1127"/>
      <c r="F22" s="1129"/>
      <c r="G22" s="483"/>
      <c r="H22" s="602"/>
      <c r="I22" s="1020"/>
      <c r="J22" s="987"/>
      <c r="K22" s="1002"/>
      <c r="L22" s="763"/>
    </row>
    <row r="23" spans="2:12" ht="11.25" customHeight="1">
      <c r="B23" s="226">
        <f t="shared" si="3"/>
        <v>18</v>
      </c>
      <c r="C23" s="1122" t="s">
        <v>612</v>
      </c>
      <c r="D23" s="1036"/>
      <c r="E23" s="1041"/>
      <c r="F23" s="1016"/>
      <c r="G23" s="1120">
        <f>G6-G7</f>
        <v>-2885511</v>
      </c>
      <c r="H23" s="1130">
        <f>H6-H7</f>
        <v>-13092</v>
      </c>
      <c r="I23" s="1132">
        <f t="shared" si="1"/>
        <v>0.4537151305262742</v>
      </c>
      <c r="J23" s="988"/>
      <c r="K23" s="1003"/>
      <c r="L23" s="763"/>
    </row>
    <row r="24" spans="2:12" ht="10.5" customHeight="1">
      <c r="B24" s="226">
        <f t="shared" si="3"/>
        <v>19</v>
      </c>
      <c r="C24" s="1123"/>
      <c r="D24" s="1037"/>
      <c r="E24" s="1042"/>
      <c r="F24" s="1014"/>
      <c r="G24" s="1121"/>
      <c r="H24" s="1131"/>
      <c r="I24" s="1133"/>
      <c r="J24" s="989"/>
      <c r="K24" s="1004"/>
      <c r="L24" s="763"/>
    </row>
    <row r="25" spans="1:12" ht="21.75" customHeight="1" thickBot="1">
      <c r="A25" s="19"/>
      <c r="B25" s="227">
        <f>B24+1</f>
        <v>20</v>
      </c>
      <c r="C25" s="1027" t="s">
        <v>613</v>
      </c>
      <c r="D25" s="1038"/>
      <c r="E25" s="1043"/>
      <c r="F25" s="1017"/>
      <c r="G25" s="484"/>
      <c r="H25" s="603"/>
      <c r="I25" s="1021"/>
      <c r="J25" s="990">
        <f>J6-J7</f>
        <v>-1188986</v>
      </c>
      <c r="K25" s="1005">
        <f>K6-K7</f>
        <v>2787750</v>
      </c>
      <c r="L25" s="1029">
        <f t="shared" si="4"/>
        <v>-234.46449327410076</v>
      </c>
    </row>
    <row r="26" spans="1:12" s="19" customFormat="1" ht="2.25" customHeight="1" thickBot="1">
      <c r="A26" s="27"/>
      <c r="B26" s="251"/>
      <c r="C26" s="267"/>
      <c r="D26" s="268"/>
      <c r="E26" s="268"/>
      <c r="F26" s="268"/>
      <c r="G26" s="268"/>
      <c r="H26" s="268"/>
      <c r="I26" s="268"/>
      <c r="J26" s="249"/>
      <c r="K26" s="1006"/>
      <c r="L26" s="609"/>
    </row>
    <row r="27" spans="1:12" ht="16.5" customHeight="1" thickBot="1">
      <c r="A27" s="19"/>
      <c r="B27" s="478" t="s">
        <v>588</v>
      </c>
      <c r="C27" s="479"/>
      <c r="D27" s="479"/>
      <c r="E27" s="479"/>
      <c r="F27" s="479"/>
      <c r="G27" s="479"/>
      <c r="H27" s="604"/>
      <c r="I27" s="604"/>
      <c r="J27" s="991"/>
      <c r="K27" s="1007"/>
      <c r="L27" s="997"/>
    </row>
    <row r="28" spans="1:13" ht="14.25" customHeight="1" thickTop="1">
      <c r="A28" s="19"/>
      <c r="B28" s="415">
        <f>B25+1</f>
        <v>21</v>
      </c>
      <c r="C28" s="473" t="s">
        <v>199</v>
      </c>
      <c r="D28" s="466"/>
      <c r="E28" s="466"/>
      <c r="F28" s="466"/>
      <c r="G28" s="466"/>
      <c r="H28" s="466"/>
      <c r="I28" s="466"/>
      <c r="J28" s="992">
        <f>SUM(J29:J33)</f>
        <v>2674578</v>
      </c>
      <c r="K28" s="1008">
        <f>SUM(K29:K33)</f>
        <v>2395021</v>
      </c>
      <c r="L28" s="763">
        <f>K28/J28*100</f>
        <v>89.54762209215808</v>
      </c>
      <c r="M28" s="15"/>
    </row>
    <row r="29" spans="1:13" ht="14.25" customHeight="1">
      <c r="A29" s="19"/>
      <c r="B29" s="385">
        <f aca="true" t="shared" si="5" ref="B29:B38">B28+1</f>
        <v>22</v>
      </c>
      <c r="C29" s="386" t="s">
        <v>615</v>
      </c>
      <c r="D29" s="387"/>
      <c r="E29" s="387"/>
      <c r="F29" s="387"/>
      <c r="G29" s="387"/>
      <c r="H29" s="387"/>
      <c r="I29" s="387"/>
      <c r="J29" s="993">
        <v>1300000</v>
      </c>
      <c r="K29" s="1009">
        <v>1300000</v>
      </c>
      <c r="L29" s="763">
        <f aca="true" t="shared" si="6" ref="L29:L39">K29/J29*100</f>
        <v>100</v>
      </c>
      <c r="M29" s="15"/>
    </row>
    <row r="30" spans="1:13" ht="14.25" customHeight="1">
      <c r="A30" s="19"/>
      <c r="B30" s="385">
        <f>B29+1</f>
        <v>23</v>
      </c>
      <c r="C30" s="386" t="s">
        <v>718</v>
      </c>
      <c r="D30" s="387"/>
      <c r="E30" s="387"/>
      <c r="F30" s="387"/>
      <c r="G30" s="387"/>
      <c r="H30" s="387"/>
      <c r="I30" s="387"/>
      <c r="J30" s="993">
        <f>395000+4910</f>
        <v>399910</v>
      </c>
      <c r="K30" s="1009">
        <v>120353</v>
      </c>
      <c r="L30" s="763">
        <f t="shared" si="6"/>
        <v>30.095021379810454</v>
      </c>
      <c r="M30" s="15"/>
    </row>
    <row r="31" spans="1:12" ht="14.25" customHeight="1">
      <c r="A31" s="19"/>
      <c r="B31" s="385">
        <f>B30+1</f>
        <v>24</v>
      </c>
      <c r="C31" s="386" t="s">
        <v>699</v>
      </c>
      <c r="D31" s="387"/>
      <c r="E31" s="387"/>
      <c r="F31" s="387"/>
      <c r="G31" s="387"/>
      <c r="H31" s="387"/>
      <c r="I31" s="387"/>
      <c r="J31" s="993">
        <v>200000</v>
      </c>
      <c r="K31" s="1009">
        <v>200000</v>
      </c>
      <c r="L31" s="763">
        <f t="shared" si="6"/>
        <v>100</v>
      </c>
    </row>
    <row r="32" spans="1:12" ht="14.25" customHeight="1">
      <c r="A32" s="19"/>
      <c r="B32" s="385">
        <f>B31+1</f>
        <v>25</v>
      </c>
      <c r="C32" s="386" t="s">
        <v>800</v>
      </c>
      <c r="D32" s="387"/>
      <c r="E32" s="387"/>
      <c r="F32" s="387"/>
      <c r="G32" s="387"/>
      <c r="H32" s="387"/>
      <c r="I32" s="387"/>
      <c r="J32" s="993">
        <v>189404</v>
      </c>
      <c r="K32" s="1009">
        <v>189404</v>
      </c>
      <c r="L32" s="763">
        <f t="shared" si="6"/>
        <v>100</v>
      </c>
    </row>
    <row r="33" spans="1:12" ht="14.25" customHeight="1">
      <c r="A33" s="19"/>
      <c r="B33" s="385">
        <f>B32+1</f>
        <v>26</v>
      </c>
      <c r="C33" s="386" t="s">
        <v>801</v>
      </c>
      <c r="D33" s="387"/>
      <c r="E33" s="387"/>
      <c r="F33" s="387"/>
      <c r="G33" s="387"/>
      <c r="H33" s="387"/>
      <c r="I33" s="387"/>
      <c r="J33" s="993">
        <v>585264</v>
      </c>
      <c r="K33" s="1009">
        <v>585264</v>
      </c>
      <c r="L33" s="763">
        <f t="shared" si="6"/>
        <v>100</v>
      </c>
    </row>
    <row r="34" spans="1:13" ht="15.75" customHeight="1">
      <c r="A34" s="19"/>
      <c r="B34" s="415">
        <f>B33+1</f>
        <v>27</v>
      </c>
      <c r="C34" s="473" t="s">
        <v>200</v>
      </c>
      <c r="D34" s="466"/>
      <c r="E34" s="466"/>
      <c r="F34" s="466"/>
      <c r="G34" s="466"/>
      <c r="H34" s="466"/>
      <c r="I34" s="466"/>
      <c r="J34" s="992">
        <f>J35+J39</f>
        <v>1485592</v>
      </c>
      <c r="K34" s="1008">
        <f>K35+K39</f>
        <v>809389</v>
      </c>
      <c r="L34" s="763">
        <f t="shared" si="6"/>
        <v>54.4825901054933</v>
      </c>
      <c r="M34" s="15"/>
    </row>
    <row r="35" spans="1:12" ht="14.25" customHeight="1">
      <c r="A35" s="19"/>
      <c r="B35" s="224">
        <f t="shared" si="5"/>
        <v>28</v>
      </c>
      <c r="C35" s="135" t="s">
        <v>197</v>
      </c>
      <c r="D35" s="136"/>
      <c r="E35" s="136"/>
      <c r="F35" s="136"/>
      <c r="G35" s="136"/>
      <c r="H35" s="136"/>
      <c r="I35" s="136"/>
      <c r="J35" s="993">
        <f>SUM(J36:J38)</f>
        <v>1463592</v>
      </c>
      <c r="K35" s="1009">
        <f>SUM(K36:K38)</f>
        <v>798203</v>
      </c>
      <c r="L35" s="763">
        <f t="shared" si="6"/>
        <v>54.5372617505425</v>
      </c>
    </row>
    <row r="36" spans="1:12" ht="13.5" customHeight="1">
      <c r="A36" s="19"/>
      <c r="B36" s="225">
        <f t="shared" si="5"/>
        <v>29</v>
      </c>
      <c r="C36" s="474" t="s">
        <v>201</v>
      </c>
      <c r="D36" s="125"/>
      <c r="E36" s="125"/>
      <c r="F36" s="125"/>
      <c r="G36" s="125"/>
      <c r="H36" s="125"/>
      <c r="I36" s="125"/>
      <c r="J36" s="994">
        <v>682200</v>
      </c>
      <c r="K36" s="1010">
        <v>407550</v>
      </c>
      <c r="L36" s="763">
        <f t="shared" si="6"/>
        <v>59.740545294635005</v>
      </c>
    </row>
    <row r="37" spans="1:12" ht="13.5" customHeight="1">
      <c r="A37" s="19"/>
      <c r="B37" s="225">
        <f t="shared" si="5"/>
        <v>30</v>
      </c>
      <c r="C37" s="474" t="s">
        <v>585</v>
      </c>
      <c r="D37" s="467"/>
      <c r="E37" s="467"/>
      <c r="F37" s="467"/>
      <c r="G37" s="467"/>
      <c r="H37" s="467"/>
      <c r="I37" s="467"/>
      <c r="J37" s="994">
        <v>655000</v>
      </c>
      <c r="K37" s="1010">
        <v>327473</v>
      </c>
      <c r="L37" s="763">
        <f t="shared" si="6"/>
        <v>49.99587786259542</v>
      </c>
    </row>
    <row r="38" spans="1:12" ht="13.5" customHeight="1">
      <c r="A38" s="19"/>
      <c r="B38" s="225">
        <f t="shared" si="5"/>
        <v>31</v>
      </c>
      <c r="C38" s="130" t="s">
        <v>196</v>
      </c>
      <c r="D38" s="125"/>
      <c r="E38" s="125"/>
      <c r="F38" s="125"/>
      <c r="G38" s="125"/>
      <c r="H38" s="125"/>
      <c r="I38" s="125"/>
      <c r="J38" s="994">
        <v>126392</v>
      </c>
      <c r="K38" s="1010">
        <v>63180</v>
      </c>
      <c r="L38" s="763">
        <f t="shared" si="6"/>
        <v>49.98734097094753</v>
      </c>
    </row>
    <row r="39" spans="1:12" ht="14.25" customHeight="1" thickBot="1">
      <c r="A39" s="19"/>
      <c r="B39" s="225">
        <f>B38+1</f>
        <v>32</v>
      </c>
      <c r="C39" s="135" t="s">
        <v>198</v>
      </c>
      <c r="D39" s="136"/>
      <c r="E39" s="136"/>
      <c r="F39" s="136"/>
      <c r="G39" s="136"/>
      <c r="H39" s="605"/>
      <c r="I39" s="605"/>
      <c r="J39" s="995">
        <v>22000</v>
      </c>
      <c r="K39" s="1011">
        <v>11186</v>
      </c>
      <c r="L39" s="763">
        <f t="shared" si="6"/>
        <v>50.84545454545455</v>
      </c>
    </row>
    <row r="40" spans="1:12" ht="20.25" customHeight="1" thickBot="1" thickTop="1">
      <c r="A40" s="19"/>
      <c r="B40" s="223">
        <f>B39+1</f>
        <v>33</v>
      </c>
      <c r="C40" s="475" t="s">
        <v>188</v>
      </c>
      <c r="D40" s="179"/>
      <c r="E40" s="179"/>
      <c r="F40" s="179"/>
      <c r="G40" s="179"/>
      <c r="H40" s="179"/>
      <c r="I40" s="179"/>
      <c r="J40" s="996">
        <f>J25+J28-J34</f>
        <v>0</v>
      </c>
      <c r="K40" s="1012">
        <f>K25+K28-K34</f>
        <v>4373382</v>
      </c>
      <c r="L40" s="621"/>
    </row>
    <row r="41" spans="1:12" ht="4.5" customHeight="1">
      <c r="A41" s="19"/>
      <c r="B41" s="269"/>
      <c r="C41" s="270"/>
      <c r="D41" s="140"/>
      <c r="E41" s="140"/>
      <c r="F41" s="140"/>
      <c r="G41" s="140"/>
      <c r="H41" s="140"/>
      <c r="I41" s="140"/>
      <c r="J41" s="140"/>
      <c r="L41" s="249"/>
    </row>
    <row r="42" spans="1:12" ht="39.75" customHeight="1">
      <c r="A42" s="19"/>
      <c r="B42" s="1135" t="s">
        <v>193</v>
      </c>
      <c r="C42" s="1135"/>
      <c r="D42" s="1135"/>
      <c r="E42" s="1135"/>
      <c r="F42" s="1135"/>
      <c r="G42" s="1135"/>
      <c r="H42" s="1135"/>
      <c r="I42" s="1135"/>
      <c r="J42" s="1135"/>
      <c r="L42" s="249"/>
    </row>
    <row r="43" spans="1:12" ht="41.25" customHeight="1">
      <c r="A43" s="19"/>
      <c r="B43" s="1134" t="s">
        <v>717</v>
      </c>
      <c r="C43" s="1134"/>
      <c r="D43" s="1134"/>
      <c r="E43" s="1134"/>
      <c r="F43" s="1134"/>
      <c r="G43" s="1134"/>
      <c r="H43" s="1134"/>
      <c r="I43" s="1134"/>
      <c r="J43" s="1134"/>
      <c r="L43" s="249"/>
    </row>
    <row r="44" spans="2:3" ht="15">
      <c r="B44" s="17"/>
      <c r="C44" s="18"/>
    </row>
  </sheetData>
  <sheetProtection/>
  <mergeCells count="12">
    <mergeCell ref="B43:J43"/>
    <mergeCell ref="B42:J42"/>
    <mergeCell ref="B2:J2"/>
    <mergeCell ref="B4:C5"/>
    <mergeCell ref="C21:C22"/>
    <mergeCell ref="G23:G24"/>
    <mergeCell ref="C23:C24"/>
    <mergeCell ref="D21:D22"/>
    <mergeCell ref="E21:E22"/>
    <mergeCell ref="F21:F22"/>
    <mergeCell ref="H23:H24"/>
    <mergeCell ref="I23:I24"/>
  </mergeCells>
  <printOptions/>
  <pageMargins left="1.07" right="0.1968503937007874" top="0.31496062992125984" bottom="0.1968503937007874" header="0.2362204724409449" footer="0.196850393700787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MÚ Trenčín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MUTN</dc:creator>
  <cp:keywords/>
  <dc:description/>
  <cp:lastModifiedBy>zilkova</cp:lastModifiedBy>
  <cp:lastPrinted>2014-09-08T08:26:59Z</cp:lastPrinted>
  <dcterms:created xsi:type="dcterms:W3CDTF">2006-06-21T07:20:26Z</dcterms:created>
  <dcterms:modified xsi:type="dcterms:W3CDTF">2014-09-12T08:53:11Z</dcterms:modified>
  <cp:category/>
  <cp:version/>
  <cp:contentType/>
  <cp:contentStatus/>
</cp:coreProperties>
</file>